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97d62a7607d3ee9b/Hillsport Media/PREM/2025-26/"/>
    </mc:Choice>
  </mc:AlternateContent>
  <xr:revisionPtr revIDLastSave="32172" documentId="8_{6D9BC8D5-B31B-4C1C-B3F8-2D6B12AD92E9}" xr6:coauthVersionLast="47" xr6:coauthVersionMax="47" xr10:uidLastSave="{5827CDE9-3444-49B5-801A-917FA032BA7C}"/>
  <bookViews>
    <workbookView xWindow="-109" yWindow="-109" windowWidth="26301" windowHeight="14169" tabRatio="676" xr2:uid="{00000000-000D-0000-FFFF-FFFF00000000}"/>
  </bookViews>
  <sheets>
    <sheet name="BTH" sheetId="1" r:id="rId1"/>
    <sheet name="BRI" sheetId="16" r:id="rId2"/>
    <sheet name="EXE" sheetId="20" r:id="rId3"/>
    <sheet name="GLO" sheetId="18" r:id="rId4"/>
    <sheet name="HAR" sheetId="19" r:id="rId5"/>
    <sheet name="LEI" sheetId="21" r:id="rId6"/>
    <sheet name="NRB" sheetId="25" r:id="rId7"/>
    <sheet name="NOR" sheetId="23" r:id="rId8"/>
    <sheet name="SAL" sheetId="17" r:id="rId9"/>
    <sheet name="SAR" sheetId="24" r:id="rId10"/>
  </sheets>
  <externalReferences>
    <externalReference r:id="rId11"/>
  </externalReferences>
  <definedNames>
    <definedName name="abendanonnickbhcorrect">[1]BH!$D$1:$G$1</definedName>
    <definedName name="addisonwillsl">[1]SL!$D$2:$G$2</definedName>
    <definedName name="afujoshnw">[1]NW!$D$1:$G$1</definedName>
    <definedName name="agueromatiassn">[1]SN!$D$1:$G$1</definedName>
    <definedName name="agullahoraciole">[1]LE!$D$4:$G$4</definedName>
    <definedName name="alcottsimonex">[1]EX!$D$1:$G$1</definedName>
    <definedName name="alexandertomli">[1]LI!$D$1:$G$1</definedName>
    <definedName name="allenanthonygl">[1]GL!$D$3:$G$3</definedName>
    <definedName name="allenanthonyle">[1]LE!$D$7:$G$7</definedName>
    <definedName name="allenharrysn">[1]SN!$D$2:$G$2</definedName>
    <definedName name="allinsondarrenli">[1]LI!$D$5:$G$5</definedName>
    <definedName name="alonsomiguelld">[1]LD!$D$2:$G$2</definedName>
    <definedName name="amesburycharliehq">[1]HQ!$D$4:$G$4</definedName>
    <definedName name="amesburycharlienw">[1]NW!$D$3:$G$3</definedName>
    <definedName name="amesburycharliesl">[1]SL!$D$3:$G$3</definedName>
    <definedName name="amorosinolucasle">[1]LE!$D$8:$G$8</definedName>
    <definedName name="andressjohnex">[1]EX!$D$2:$G$2</definedName>
    <definedName name="andressjohnhqcorrect">[1]HQ!$D$5:$G$5</definedName>
    <definedName name="ansbrojoeli">[1]LI!$D$7:$G$7</definedName>
    <definedName name="ansbrojoenh">[1]NH!$D$5:$G$5</definedName>
    <definedName name="armestomle">[1]LE!$D$9:$G$9</definedName>
    <definedName name="armitagedelonli">[1]LI!$D$9:$G$9</definedName>
    <definedName name="armitageguyli">[1]LI!$D$10:$G$10</definedName>
    <definedName name="armitagesteffonli">[1]LI!$D$11:$G$11</definedName>
    <definedName name="armitagesteffonsn">[1]SN!$D$4:$G$4</definedName>
    <definedName name="armstrongscottld">[1]LD!$D$3:$G$3</definedName>
    <definedName name="armstrongscottnh">[1]NH!$D$6:$G$6</definedName>
    <definedName name="arrjohnnywr">[1]WR!$D$2:$G$2</definedName>
    <definedName name="arscottlukebs">[1]BS!$D$10:$G$10</definedName>
    <definedName name="arscottlukeex">[1]EX!$D$3:$G$3</definedName>
    <definedName name="arscotttombs">[1]BS!$D$11:$G$11</definedName>
    <definedName name="arscotttomwr">[1]WR!$D$3:$G$3</definedName>
    <definedName name="artemyevvasilynh">[1]NH!$D$7:$G$7</definedName>
    <definedName name="ashtonchrisnh">[1]NH!$D$8:$G$8</definedName>
    <definedName name="atkinsonmarklw">[1]LW!$D$6:$G$6</definedName>
    <definedName name="attwooddavebh">[1]BH!$D$4:$G$4</definedName>
    <definedName name="attwooddavebs">[1]BS!$D$13:$G$13</definedName>
    <definedName name="attwooddavegl">[1]GL!$D$5:$G$5</definedName>
    <definedName name="auvaaonosaiisl">[1]SL!$D$7:$G$7</definedName>
    <definedName name="ayerzamarcoslecorrect">[1]LE!$D$10:$G$10</definedName>
    <definedName name="azamoliviergl">[1]GL!$D$6:$G$6</definedName>
    <definedName name="bakerboblw">[1]LW!$D$7:$G$7</definedName>
    <definedName name="baldingadamgl">[1]GL!$D$8:$G$8</definedName>
    <definedName name="baldingadamld">[1]LD!$D$6:$G$6</definedName>
    <definedName name="baldingadamlecorrect">[1]LE!$D$12:$G$12</definedName>
    <definedName name="baldingadamnw">[1]NW!$D$11:$G$11</definedName>
    <definedName name="baldingadamwr">[1]WR!$D$5:$G$5</definedName>
    <definedName name="baldwinlukesn">[1]SN!$D$6:$G$6</definedName>
    <definedName name="banahanmattbhcorrect">[1]BH!$D$6:$G$6</definedName>
    <definedName name="barkleyollybhcorrect">[1]BH!$D$7:$G$7</definedName>
    <definedName name="barkleyollygl">[1]GL!$D$10:$G$10</definedName>
    <definedName name="barnesdavidbhdefinitive">[1]BH!$D$8:$G$8</definedName>
    <definedName name="barnesdavidhqcorrect">[1]HQ!$D$6:$G$6</definedName>
    <definedName name="barrettkevinex">[1]EX!$D$4:$G$4</definedName>
    <definedName name="barrettkevinli">[1]LI!$D$15:$G$15</definedName>
    <definedName name="barrettkevinsn">[1]SN!$D$8:$G$8</definedName>
    <definedName name="barrittbradsn">[1]SN!$D$9:$G$9</definedName>
    <definedName name="battyrossbh">[1]BH!$D$9:$G$9</definedName>
    <definedName name="battyrossnw">[1]NW!$D$13:$G$13</definedName>
    <definedName name="baxtermikebh">[1]BH!$D$10:$G$10</definedName>
    <definedName name="baxterrichardex">[1]EX!$D$5:$G$5</definedName>
    <definedName name="beattieandybhcorrect">[1]BH!$D$11:$G$11</definedName>
    <definedName name="bedfordtomnw">[1]NW!$D$16:$G$16</definedName>
    <definedName name="beechcharliebh">[1]BH!$D$12:$G$12</definedName>
    <definedName name="beechcharlielw">[1]LW!$D$12:$G$12</definedName>
    <definedName name="bellchrishqcorrect">[1]HQ!$D$9:$G$9</definedName>
    <definedName name="bellchrisld">[1]LD!$D$11:$G$11</definedName>
    <definedName name="bellchrislw">[1]LW!$D$13:$G$13</definedName>
    <definedName name="bellchrisslcorrect">[1]SL!$D$11:$G$11</definedName>
    <definedName name="bellduncanbhdefinitive">[1]BH!$D$13:$G$13</definedName>
    <definedName name="bellduncansl">[1]SL!$D$12:$G$12</definedName>
    <definedName name="bemandscottbhsecondcorrection">[1]BH!$D$15:$G$15</definedName>
    <definedName name="bemandscotthqcorrect">[1]HQ!$D$11:$G$11</definedName>
    <definedName name="bemandscottlecorrect">[1]LE!$D$16:$G$16</definedName>
    <definedName name="benjaminmileswr">[1]WR!$D$6:$G$6</definedName>
    <definedName name="bentleychrisex">[1]EX!$D$6:$G$6</definedName>
    <definedName name="berryniclw">[1]LW!$D$14:$G$14</definedName>
    <definedName name="bestneilnh">[1]NH!$D$16:$G$16</definedName>
    <definedName name="bestneilwr">[1]WR!$D$8:$G$8</definedName>
    <definedName name="betsensergelw">[1]LW!$D$15:$G$15</definedName>
    <definedName name="bettysamwr">[1]WR!$D$9:$G$9</definedName>
    <definedName name="biggstombh">[1]BH!$D$18:$G$18</definedName>
    <definedName name="biggstomld">[1]LD!$D$14:$G$14</definedName>
    <definedName name="biggstomnw">[1]NW!$D$19:$G$19</definedName>
    <definedName name="billerchrisbh">[1]BH!$D$19:$G$19</definedName>
    <definedName name="birkettrichardlw">[1]LW!$D$17:$G$17</definedName>
    <definedName name="bishopdavidsl">[1]SL!$D$14:$G$14</definedName>
    <definedName name="blackadambd">[1]BD!$D$10:$G$10</definedName>
    <definedName name="blackadamlw">[1]LW!$D$19:$G$19</definedName>
    <definedName name="blackadamsl">[1]SL!$D$15:$G$15</definedName>
    <definedName name="blackadamwr">[1]WR!$D$10:$G$10</definedName>
    <definedName name="blackalexld">[1]LD!$D$15:$G$15</definedName>
    <definedName name="blackettleeld">[1]LD!$D$16:$G$16</definedName>
    <definedName name="blackettleerh">[1]RH!$D$7:$G$7</definedName>
    <definedName name="blaneybrianli">[1]LI!$D$21:$G$21</definedName>
    <definedName name="bobogcobaninw">[1]NW!$D$20:$G$20</definedName>
    <definedName name="boccagabriellw">[1]LW!$D$20:$G$20</definedName>
    <definedName name="boerjakegl">[1]GL!$D$15:$G$15</definedName>
    <definedName name="boerjakeli">[1]LI!$D$22:$G$22</definedName>
    <definedName name="bokoasaelisl">[1]SL!$D$18:$G$18</definedName>
    <definedName name="boltrichardhq">[1]HQ!$D$14:$G$14</definedName>
    <definedName name="borthwickstevebhcorrect">[1]BH!$D$22:$G$22</definedName>
    <definedName name="borthwickstevesncorrect">[1]SN!$D$15:$G$15</definedName>
    <definedName name="bothamouritzsn">[1]SN!$D$16:$G$16</definedName>
    <definedName name="boussugejacquesbh">[1]BH!$D$24:$G$24</definedName>
    <definedName name="bowdendanli">[1]LI!$D$23:$G$23</definedName>
    <definedName name="bowerryanle">[1]LE!$D$19:$G$19</definedName>
    <definedName name="bowleywillwr">[1]WR!$D$13:$G$13</definedName>
    <definedName name="bradytomsale">[1]SL!$D$24:$G$24</definedName>
    <definedName name="briggsneilsl">[1]SL!$D$27:$G$27</definedName>
    <definedName name="brightwellchrissl">[1]SL!$D$28:$G$28</definedName>
    <definedName name="britsschalksn">[1]SN!$D$19:$G$19</definedName>
    <definedName name="brookerchrishqcorrect">[1]HQ!$D$19:$G$19</definedName>
    <definedName name="brookeskieranle">[1]LE!$D$21:$G$21</definedName>
    <definedName name="brookeskierannw">[1]NW!$D$23:$G$23</definedName>
    <definedName name="brosterbenlw">[1]LW!$D$23:$G$23</definedName>
    <definedName name="brosterbensn">[1]SN!$D$20:$G$20</definedName>
    <definedName name="BROWNALEXBSSBS">[1]BS!$E$32</definedName>
    <definedName name="BROWNALEXBSSTS">[1]BS!$D$32</definedName>
    <definedName name="BROWNALEXGLSBS">[1]GL!$E$18</definedName>
    <definedName name="BROWNALEXGLSTS">[1]GL!$D$18</definedName>
    <definedName name="brownalexsnprpcorrect">[1]SN!$D$21:$G$21</definedName>
    <definedName name="brownedanielbh">[1]BH!$D$27:$G$27</definedName>
    <definedName name="brownedanielld">[1]LD!$D$20:$G$20</definedName>
    <definedName name="brownedanielnh">[1]NH!$D$28:$G$28</definedName>
    <definedName name="brownepetehqcorrect">[1]HQ!$D$22:$G$22</definedName>
    <definedName name="brownepetenw">[1]NW!$D$25:$G$25</definedName>
    <definedName name="brownkellysn">[1]SN!$D$22:$G$22</definedName>
    <definedName name="brownmike6ndg">#REF!</definedName>
    <definedName name="brownmike6npts">#REF!</definedName>
    <definedName name="brownmike6nreps">#REF!</definedName>
    <definedName name="brownmike6nstarts">#REF!</definedName>
    <definedName name="brownmike6ntries">#REF!</definedName>
    <definedName name="brownmikedeb">#REF!</definedName>
    <definedName name="brownmikehqcorrect">[1]HQ!$D$21:$G$21</definedName>
    <definedName name="brownmikeotherdg">#REF!</definedName>
    <definedName name="brownmikeotherpts">#REF!</definedName>
    <definedName name="brownmikeotherresp">#REF!</definedName>
    <definedName name="brownmikeotherstarts">#REF!</definedName>
    <definedName name="brownmikeothertries">#REF!</definedName>
    <definedName name="brownmikewcdgs">#REF!</definedName>
    <definedName name="brownmikewcpts">#REF!</definedName>
    <definedName name="brownmikewcreps">#REF!</definedName>
    <definedName name="brownmikewcstarts">#REF!</definedName>
    <definedName name="brownmikewctries">#REF!</definedName>
    <definedName name="buchananrobhqcorrect">[1]HQ!$D$23:$G$23</definedName>
    <definedName name="bucklandjameslecorrect">[1]LE!$D$22:$G$22</definedName>
    <definedName name="bucklandjamesli">[1]LI!$D$26:$G$26</definedName>
    <definedName name="bucklandjameslw">[1]LW!$D$24:$G$24</definedName>
    <definedName name="buckleytonysl">[1]SL!$D$30:$G$30</definedName>
    <definedName name="bucknallpeteld">[1]LD!$D$21:$G$21</definedName>
    <definedName name="bucknallpetelecorrect">[1]LE!$D$23:$G$23</definedName>
    <definedName name="budgenchrisex">[1]EX!$D$7:$G$7</definedName>
    <definedName name="budgenchrisnh">[1]NH!$D$29:$G$29</definedName>
    <definedName name="burgerjacquessn">[1]SN!$D$23:$G$23</definedName>
    <definedName name="burrelllutherld">[1]LD!$D$23:$G$23</definedName>
    <definedName name="burrellluthersl">[1]SL!$D$31:$G$31</definedName>
    <definedName name="burtonjoelw">[1]LW!$D$25:$G$25</definedName>
    <definedName name="buxtonpetergl">[1]GL!$D$20:$G$20</definedName>
    <definedName name="cairnsmatthqcorrect">[1]HQ!$D$27:$G$27</definedName>
    <definedName name="cairnsmattnh">[1]NH!$D$30:$G$30</definedName>
    <definedName name="cairnsmattsl">[1]SL!$D$33:$G$33</definedName>
    <definedName name="cairnsmattsn">[1]SN!$D$25:$G$25</definedName>
    <definedName name="caldwellryanbh">[1]BH!$D$30:$G$30</definedName>
    <definedName name="camachogonzaloex">[1]EX!$D$8:$G$8</definedName>
    <definedName name="camachogonzalohqcorrect">[1]HQ!$D$28:$G$28</definedName>
    <definedName name="cannonjameslw">[1]LW!$D$26:$G$26</definedName>
    <definedName name="cannonjamesnh">[1]NH!$D$31:$G$31</definedName>
    <definedName name="capdeviellepierregl">[1]GL!$D$24:$G$24</definedName>
    <definedName name="caredannyhqcorrect">[1]HQ!$D$31:$G$31</definedName>
    <definedName name="caredannyld">[1]LD!$D$26:$G$26</definedName>
    <definedName name="carlislejoewr">[1]WR!$D$15:$G$15</definedName>
    <definedName name="carraromattbh">[1]BH!$D$32:$G$32</definedName>
    <definedName name="carstensdeonsn">[1]SN!$D$27:$G$27</definedName>
    <definedName name="caseybobli">[1]LI!$D$32:$G$32</definedName>
    <definedName name="cassontomhq">[1]HQ!$D$33:$G$33</definedName>
    <definedName name="castexjeremylw">[1]LW!$D$27:$G$27</definedName>
    <definedName name="castrogiovannimartinlecorrect">[1]LE!$D$26:$G$26</definedName>
    <definedName name="catonoahnh">[1]NH!$D$33:$G$33</definedName>
    <definedName name="catonoahsncorrect">[1]SN!$D$29:$G$29</definedName>
    <definedName name="cattmikebhcorrect">[1]BH!$D$33:$G$33</definedName>
    <definedName name="cattmikelicorrect">[1]LI!$D$33:$G$33</definedName>
    <definedName name="cattnathanbh">[1]BH!$D$34:$G$34</definedName>
    <definedName name="CFORTEYGLSBS">[1]GL!$E$63</definedName>
    <definedName name="CFORTEYGLSTS">[1]GL!$D$63</definedName>
    <definedName name="CFORTEYWRSBS">[1]WR!$E$34</definedName>
    <definedName name="CFORTEYWRSTS">[1]WR!$D$34</definedName>
    <definedName name="charlesnathangl">[1]GL!$D$28:$G$28</definedName>
    <definedName name="charltonhallnw">[1]NW!$D$30:$G$30</definedName>
    <definedName name="cheesemantombh">[1]BH!$D$35:$G$35</definedName>
    <definedName name="CHESNEYBSSBS">[1]BS!$E$43</definedName>
    <definedName name="CHESNEYBSSTS">[1]BS!$D$43</definedName>
    <definedName name="CHESNEYSNSBS">[1]SN!$E$32</definedName>
    <definedName name="CHESNEYSNSTS">[1]SN!$D$32</definedName>
    <definedName name="chisholmrosshq">[1]HQ!$D$36:$G$36</definedName>
    <definedName name="chistolinidariogl">[1]GL!$D$29:$G$29</definedName>
    <definedName name="chudleywillnw">[1]NW!$D$35:$G$35</definedName>
    <definedName name="chutergeorgelecorrect">[1]LE!$D$27:$G$27</definedName>
    <definedName name="chutergeorgesn">[1]SN!$D$33:$G$33</definedName>
    <definedName name="ciprianidannylw">[1]LW!$D$29:$G$29</definedName>
    <definedName name="claassenserniewr">[1]WR!$D$16:$G$16</definedName>
    <definedName name="claassensmichaelbhcorrect">[1]BH!$D$37:$G$37</definedName>
    <definedName name="clarkcalumld">[1]LD!$D$29:$G$29</definedName>
    <definedName name="clarkcalumnh">[1]NH!$D$35:$G$35</definedName>
    <definedName name="clarkejonnh">[1]NH!$D$37:$G$37</definedName>
    <definedName name="clarkneilbs">[1]BS!$D$46:$G$46</definedName>
    <definedName name="clarkneilex">[1]EX!$D$9:$G$9</definedName>
    <definedName name="cleggroryhqcorrect">[1]HQ!$D$37:$G$37</definedName>
    <definedName name="cleggrorynw">[1]NW!$D$36:$G$36</definedName>
    <definedName name="cliffwillsl">[1]SL!$D$37:$G$37</definedName>
    <definedName name="cobilasvadimsl">[1]SL!$D$38:$G$38</definedName>
    <definedName name="cockbainbrentli">[1]LI!$D$36:$G$36</definedName>
    <definedName name="cockbainbrentsl">[1]SL!$D$39:$G$39</definedName>
    <definedName name="cohenbennh">[1]NH!$D$39:$G$39</definedName>
    <definedName name="cohenbensl">[1]SL!$D$40:$G$40</definedName>
    <definedName name="coledanlecorrect">[1]LE!$D$29:$G$29</definedName>
    <definedName name="collinsjameswr">[1]WR!$D$19:$G$19</definedName>
    <definedName name="comminsstuartnh">[1]NH!$D$40:$G$40</definedName>
    <definedName name="cookchrisbh">[1]BH!$D$39:$G$39</definedName>
    <definedName name="cortesematiasgl">[1]GL!$D$34:$G$34</definedName>
    <definedName name="cortesematiasnh">[1]NH!$D$42:$G$42</definedName>
    <definedName name="cowanblairwr">[1]WR!$D$20:$G$20</definedName>
    <definedName name="cowleygarrickex">[1]EX!$D$10:$G$10</definedName>
    <definedName name="coxmattgl">[1]GL!$D$35:$G$35</definedName>
    <definedName name="coxmattwr">[1]WR!$D$21:$G$21</definedName>
    <definedName name="coxseansl">[1]SL!$D$43:$G$43</definedName>
    <definedName name="cracknellchrisbhthisiscorrect">[1]BH!$D$42:$G$42</definedName>
    <definedName name="cracknellchriswr">[1]WR!$D$22:$G$22</definedName>
    <definedName name="craigjamesld">[1]LD!$D$33:$G$33</definedName>
    <definedName name="craigjamesnh">[1]NH!$D$43:$G$43</definedName>
    <definedName name="cranejordanld">[1]LD!$D$34:$G$34</definedName>
    <definedName name="cranejordanlecorrect">[1]LE!$D$34:$G$34</definedName>
    <definedName name="cranerhyssl">[1]SL!$D$44:$G$44</definedName>
    <definedName name="croallastonhqcorrect">[1]HQ!$D$40:$G$40</definedName>
    <definedName name="croallastonsale">[1]SL!$D$45:$G$45</definedName>
    <definedName name="croallastonsn">[1]SN!$D$39:$G$39</definedName>
    <definedName name="crockettalexbh">[1]BH!$D$43:$G$43</definedName>
    <definedName name="crockettalexwr">[1]WR!$D$24:$G$24</definedName>
    <definedName name="crofttomlecorrect">[1]LE!$D$35:$G$35</definedName>
    <definedName name="crombieseannw">[1]NW!$D$40:$G$40</definedName>
    <definedName name="cuetomarksl">[1]SL!$D$46:$G$46</definedName>
    <definedName name="cuthbertjackbhcorrect">[1]BH!$D$45:$G$45</definedName>
    <definedName name="dalyelliotlw">[1]LW!$D$35:$G$35</definedName>
    <definedName name="danaherdeclanli">[1]LI!$D$43:$G$43</definedName>
    <definedName name="daveyspencerbh">[1]BH!$D$49:$G$49</definedName>
    <definedName name="daveyspencernw">[1]NW!$D$41:$G$41</definedName>
    <definedName name="daviescharlielw">[1]LW!$D$36:$G$36</definedName>
    <definedName name="daviesjordansl">[1]SL!$D$48:$G$48</definedName>
    <definedName name="daviesmefingl">[1]GL!$D$40:$G$40</definedName>
    <definedName name="daviesmefinlecorr">[1]LE!$D$37:$G$37</definedName>
    <definedName name="davisryanbhcorrect">[1]BH!$D$51:$G$51</definedName>
    <definedName name="davisryanex">[1]EX!$D$11:$G$11</definedName>
    <definedName name="davisryanlw">[1]LW!$D$37:$G$37</definedName>
    <definedName name="dawidiukdarrengl">[1]GL!$D$42:$G$42</definedName>
    <definedName name="daychristiannh">[1]NH!$D$46:$G$46</definedName>
    <definedName name="daychristiansl">[1]SL!$D$51:$G$51</definedName>
    <definedName name="deaconbrettgl">[1]GL!$D$45:$G$45</definedName>
    <definedName name="deaconbrettlecorrect">[1]LE!$D$38:$G$38</definedName>
    <definedName name="deaconlouislecorrect">[1]LE!$D$39:$G$39</definedName>
    <definedName name="dekockneilsn">[1]SN!$D$45:$G$45</definedName>
    <definedName name="delvegarethbh">[1]BH!$D$57:$G$57</definedName>
    <definedName name="delvegarethgl">[1]GL!$D$47:$G$47</definedName>
    <definedName name="denmangarethld">[1]LD!$D$38:$G$38</definedName>
    <definedName name="dentontomld">[1]LD!$D$39:$G$39</definedName>
    <definedName name="dermodyclarkeli">[1]LI!$D$48:$G$48</definedName>
    <definedName name="dickensalanld">[1]LD!$D$41:$G$41</definedName>
    <definedName name="dickensalannh">[1]NH!$D$47:$G$47</definedName>
    <definedName name="dickensalansl">[1]SL!$D$56:$G$56</definedName>
    <definedName name="dickensalansn">[1]SN!$D$47:$G$47</definedName>
    <definedName name="dickinsonalasdairgl">[1]GL!$D$49:$G$49</definedName>
    <definedName name="dickinsonalasdairsl">[1]SL!$D$57:$G$57</definedName>
    <definedName name="dicksonkarlhqcorrect">[1]HQ!$D$51:$G$51</definedName>
    <definedName name="dicksonleenh">[1]NH!$D$48:$G$48</definedName>
    <definedName name="dicksonleenw">[1]NW!$D$44:$G$44</definedName>
    <definedName name="digginpaulnh">[1]NH!$D$49:$G$49</definedName>
    <definedName name="dixonpieterbhcorrect">[1]BH!$D$55:$G$55</definedName>
    <definedName name="dollmanphilex">[1]EX!$D$12:$G$12</definedName>
    <definedName name="donaldstephenbh">[1]BH!$D$56:$G$56</definedName>
    <definedName name="doranjonespaulgl">[1]GL!$D$51:$G$51</definedName>
    <definedName name="doranjonespaulnh">[1]NH!$D$50:$G$50</definedName>
    <definedName name="douglasbrucehq">[1]HQ!$D$54:$G$54</definedName>
    <definedName name="douglasbrucewr">[1]WR!$D$29:$G$29</definedName>
    <definedName name="downeyjamesnh">[1]NH!$D$51:$G$51</definedName>
    <definedName name="dowsonphilnh">[1]NH!$D$52:$G$52</definedName>
    <definedName name="dowsonphilnw">[1]NW!$D$46:$G$46</definedName>
    <definedName name="dreyerregardtnh">[1]NH!$D$54:$G$54</definedName>
    <definedName name="duffeyjoelecorrect">[1]LE!$D$43:$G$43</definedName>
    <definedName name="duplessistinuslw">[1]LW!$D$45:$G$45</definedName>
    <definedName name="eastermarknh">[1]NH!$D$55:$G$55</definedName>
    <definedName name="eastermarksl">[1]SL!$D$61:$G$61</definedName>
    <definedName name="easternickhqcorrect">[1]HQ!$D$59:$G$59</definedName>
    <definedName name="eastmondkylebh">[1]BH!$D$60:$G$60</definedName>
    <definedName name="ellershawjamessn">[1]SN!$D$51:$G$51</definedName>
    <definedName name="elliottjamienh">[1]NH!$D$56:$G$56</definedName>
    <definedName name="ellishugolw">[1]LW!$D$46:$G$46</definedName>
    <definedName name="elosuignacioex">[1]EX!$D$13:$G$13</definedName>
    <definedName name="emerickpaullw">[1]LW!$D$47:$G$47</definedName>
    <definedName name="eustaceadamgl">[1]GL!$D$56:$G$56</definedName>
    <definedName name="eustaceadamnh">[1]NH!$D$58:$G$58</definedName>
    <definedName name="evansbrynli">[1]LI!$D$54:$G$54</definedName>
    <definedName name="evansgarethgl">[1]GL!$D$57:$G$57</definedName>
    <definedName name="evansnickhqcorrect">[1]HQ!$D$61:$G$61</definedName>
    <definedName name="everardmattlw">[1]LW!$D$50:$G$50</definedName>
    <definedName name="everittbarryli">[1]LI!$D$55:$G$55</definedName>
    <definedName name="everittbarrynh">[1]NH!$D$60:$G$60</definedName>
    <definedName name="eveslukebs">[1]BS!$D$70:$G$70</definedName>
    <definedName name="eveslukenw">[1]NW!$D$49:$G$49</definedName>
    <definedName name="ewersdaveex">[1]EX!$D$14:$G$14</definedName>
    <definedName name="faafilihenryld">[1]LD!$D$46:$G$46</definedName>
    <definedName name="faamatuainujonnybhcorrect">[1]BH!$D$65:$G$65</definedName>
    <definedName name="faasavalumauriehq">[1]HQ!$D$62:$G$62</definedName>
    <definedName name="fairbrotherlloydex">[1]EX!$D$15:$G$15</definedName>
    <definedName name="fairbrothertimhq">[1]HQ!$D$63:$G$63</definedName>
    <definedName name="farrellowensn">[1]SN!$D$53:$G$53</definedName>
    <definedName name="fatiakiravaiwr">[1]WR!$D$31:$G$31</definedName>
    <definedName name="fearndarrennw">[1]NW!$D$50:$G$50</definedName>
    <definedName name="fearnscarlbh">[1]BH!$D$67:$G$67</definedName>
    <definedName name="fearnscarlsl">[1]SL!$D$67:$G$67</definedName>
    <definedName name="fernandezlobbeignaciobh">[1]BH!$D$69:$G$69</definedName>
    <definedName name="fernandezlobbeignacionh">[1]NH!$D$61:$G$61</definedName>
    <definedName name="fernandezlobbeignaciosl">[1]SL!$D$68:$G$68</definedName>
    <definedName name="fieldenlukenw">[1]NW!$D$52:$G$52</definedName>
    <definedName name="filiporosslw">[1]LW!$D$51:$G$51</definedName>
    <definedName name="fisherjonli">[1]LI!$D$60:$G$60</definedName>
    <definedName name="fitzpatrickjamesnw">[1]NW!$D$54:$G$54</definedName>
    <definedName name="flatmandavidbhcorrect">[1]BH!$D$74:$G$74</definedName>
    <definedName name="flatmandavidsn">[1]SN!$D$54:$G$54</definedName>
    <definedName name="floodtobylecorrect">[1]LE!$D$52:$G$52</definedName>
    <definedName name="floodtobynw">[1]NW!$D$55:$G$55</definedName>
    <definedName name="fluteyrikili">[1]LI!$D$64:$G$64</definedName>
    <definedName name="fluteyrikilw">[1]LW!$D$53:$G$53</definedName>
    <definedName name="fondseadriaannw">[1]NW!$D$56:$G$56</definedName>
    <definedName name="Ford">BTH!#REF!</definedName>
    <definedName name="fordgeorgele">[1]LE!$D$53:$G$53</definedName>
    <definedName name="fordjoeld">[1]LD!$D$48:$G$48</definedName>
    <definedName name="fordmikeaw">BTH!#REF!</definedName>
    <definedName name="fordmikebathaw">BTH!#REF!</definedName>
    <definedName name="fordmikebathcoachpremplayed">BTH!#REF!</definedName>
    <definedName name="fordmikebathecc">BTH!#REF!</definedName>
    <definedName name="fordmikebathhc">BTH!#REF!</definedName>
    <definedName name="fordmikebathother">BTH!#REF!</definedName>
    <definedName name="fordmikebathplayed">BTH!#REF!</definedName>
    <definedName name="fordmikebathpremplayed">BTH!#REF!</definedName>
    <definedName name="fordmikeecc">BTH!#REF!</definedName>
    <definedName name="fordmikehc">BTH!#REF!</definedName>
    <definedName name="fordmikeother">BTH!#REF!</definedName>
    <definedName name="fordmikeprem">BTH!#REF!</definedName>
    <definedName name="forsterjackgl">[1]GL!$D$62:$G$62</definedName>
    <definedName name="forsterjacksl">[1]SL!$D$73:$G$73</definedName>
    <definedName name="forsythandrewlecorrect">[1]LE!$D$54:$G$54</definedName>
    <definedName name="fostermarkex">[1]EX!$D$16:$G$16</definedName>
    <definedName name="fostermarkgl">[1]GL!$D$64:$G$64</definedName>
    <definedName name="fouriehendreld">[1]LD!$D$49:$G$49</definedName>
    <definedName name="fouriehendresl">[1]SL!$D$74:$G$74</definedName>
    <definedName name="fraserwillsn">[1]SN!$D$55:$G$55</definedName>
    <definedName name="frazierdanhqcorrect">[1]HQ!$D$66:$G$66</definedName>
    <definedName name="frazierdannw">[1]NW!$D$58:$G$58</definedName>
    <definedName name="freerscottld">[1]LD!$D$50:$G$50</definedName>
    <definedName name="frostolliewr">[1]WR!$D$36:$G$36</definedName>
    <definedName name="fugatanihqcorrect">[1]HQ!$D$68:$G$68</definedName>
    <definedName name="fuimaonosapolueliotabh">[1]BH!$D$78:$G$78</definedName>
    <definedName name="fuimaonosapolueliotagl">[1]GL!$D$67:$G$67</definedName>
    <definedName name="furywarrenld">[1]LD!$D$52:$G$52</definedName>
    <definedName name="furywarrenli">[1]LI!$D$68:$G$68</definedName>
    <definedName name="furywarrenlw">[1]LW!$D$56:$G$56</definedName>
    <definedName name="gannondavidex">[1]EX!$D$17:$G$17</definedName>
    <definedName name="garveymarcelgl">[1]GL!$D$68:$G$68</definedName>
    <definedName name="garveymarcelwr">[1]WR!$D$38:$G$38</definedName>
    <definedName name="gaskelljamessalecorr">[1]SL!$D$77:$G$77</definedName>
    <definedName name="gearricowr">[1]WR!$D$39:$G$39</definedName>
    <definedName name="georgejamiesn">[1]SN!$D$58:$G$58</definedName>
    <definedName name="georgemarkli">[1]LI!$D$72:$G$72</definedName>
    <definedName name="geraghtyshaneli">[1]LI!$D$73:$G$73</definedName>
    <definedName name="geraghtyshanenh">[1]NH!$D$66:$G$66</definedName>
    <definedName name="gibsonjamieli">[1]LI!$D$74:$G$74</definedName>
    <definedName name="gildingjackwr">[1]WR!$D$40:$G$40</definedName>
    <definedName name="gillescraigwr">[1]WR!$D$41:$G$41</definedName>
    <definedName name="gilliescraigrm">[1]RM!$D$28:$G$28</definedName>
    <definedName name="gillrhyssn">[1]SN!$D$59:$G$59</definedName>
    <definedName name="glynnryannh">[1]NH!$D$68:$G$68</definedName>
    <definedName name="goldingjonnh">[1]NH!$D$70:$G$70</definedName>
    <definedName name="goldingjonnw">[1]NW!$D$61:$G$61</definedName>
    <definedName name="gomarsallandybd">[1]BD!$D$39:$G$39</definedName>
    <definedName name="gomarsallandybh">[1]BH!$D$81:$G$81</definedName>
    <definedName name="gomarsallandygl">[1]GL!$D$71:$G$71</definedName>
    <definedName name="gomarsallandyhqcorrect">[1]HQ!$D$72:$G$72</definedName>
    <definedName name="gomarsallandyld">[1]LD!$D$54:$G$54</definedName>
    <definedName name="gomarsallandylw">[1]LW!$D$57:$G$57</definedName>
    <definedName name="gomarsallandywr">[1]WR!$D$43:$G$43</definedName>
    <definedName name="gomezjuanfranciscold">[1]LD!$D$55:$G$55</definedName>
    <definedName name="goodealexsn">[1]SN!$D$60:$G$60</definedName>
    <definedName name="goodeandyle">[1]LE!$D$63:$G$63</definedName>
    <definedName name="goodeandysn">[1]SN!$D$61:$G$61</definedName>
    <definedName name="goodeandywr">[1]WR!$D$44:$G$44</definedName>
    <definedName name="goodejamesnw">[1]NW!$D$63:$G$63</definedName>
    <definedName name="goodridgejongl">[1]GL!$D$72:$G$72</definedName>
    <definedName name="goodridgejonld">[1]LD!$D$56:$G$56</definedName>
    <definedName name="goosengregnw">[1]NW!$D$64:$G$64</definedName>
    <definedName name="gopperthjimmynw">[1]NW!$D$65:$G$65</definedName>
    <definedName name="grahamjoenw">[1]NW!$D$67:$G$67</definedName>
    <definedName name="grayalexli">[1]LI!$D$76:$G$76</definedName>
    <definedName name="grayalexnw">[1]NW!$D$68:$G$68</definedName>
    <definedName name="graydannybs">[1]BS!$D$78:$G$78</definedName>
    <definedName name="graydannywr">[1]WR!$D$46:$G$46</definedName>
    <definedName name="grayjoehq">[1]HQ!$D$75:$G$75</definedName>
    <definedName name="grayjoenh">[1]NH!$D$73:$G$73</definedName>
    <definedName name="greencalumle">[1]LE!$D$64:$G$64</definedName>
    <definedName name="grewcockdannybhcorrect">[1]BH!$D$84:$G$84</definedName>
    <definedName name="grewcockdannysn">[1]SN!$D$63:$G$63</definedName>
    <definedName name="grindaljamesle">[1]LE!$D$66:$G$66</definedName>
    <definedName name="grindaljamesnw">[1]NW!$D$70:$G$70</definedName>
    <definedName name="grovealexwr">[1]WR!$D$48:$G$48</definedName>
    <definedName name="guesttomhqcorrect">[1]HQ!$D$79:$G$79</definedName>
    <definedName name="gulliverbenwr">[1]WR!$D$49:$G$49</definedName>
    <definedName name="halaufiachrisli">[1]LI!$D$79:$G$79</definedName>
    <definedName name="halavatauleoli">[1]LI!$D$80:$G$80</definedName>
    <definedName name="halljamesnw">[1]NW!$D$72:$G$72</definedName>
    <definedName name="halsallmartinsl">[1]SL!$D$83:$G$83</definedName>
    <definedName name="hamiltonjimgl">[1]GL!$D$76:$G$76</definedName>
    <definedName name="hamiltonjimle">[1]LE!$D$69:$G$69</definedName>
    <definedName name="hamiltonscottle">[1]LE!$D$70:$G$70</definedName>
    <definedName name="hanksjamesex">[1]EX!$D$18:$G$18</definedName>
    <definedName name="hannanharryld">[1]LD!$D$60:$G$60</definedName>
    <definedName name="hapeshontaynebhcorrect">[1]BH!$D$87:$G$87</definedName>
    <definedName name="hapeshontayneli">[1]LI!$D$85:$G$85</definedName>
    <definedName name="hardygarethld">[1]LD!$D$62:$G$62</definedName>
    <definedName name="harrisjameslw">[1]LW!$D$63:$G$63</definedName>
    <definedName name="harrisjonnyle">[1]LE!$D$71:$G$71</definedName>
    <definedName name="harrisonrosssl">[1]SL!$D$86:$G$86</definedName>
    <definedName name="harrisonsamle">[1]LE!$D$73:$G$73</definedName>
    <definedName name="harrisrobbiele">[1]LE!$D$72:$G$72</definedName>
    <definedName name="hartjohnlw">[1]LW!$D$64:$G$64</definedName>
    <definedName name="hartleydylannh">[1]NH!$D$80:$G$80</definedName>
    <definedName name="haughtonrichardlw">[1]LW!$D$66:$G$66</definedName>
    <definedName name="haughtonrichardsn">[1]SN!$D$70:$G$70</definedName>
    <definedName name="hawkinsrobbh">[1]BH!$D$91:$G$91</definedName>
    <definedName name="hawkinsroble">[1]LE!$D$74:$G$74</definedName>
    <definedName name="hayestomex">[1]EX!$D$19:$G$19</definedName>
    <definedName name="haymancarlnw">[1]NW!$D$75:$G$75</definedName>
    <definedName name="haywoodmikenh">[1]NH!$D$81:$G$81</definedName>
    <definedName name="hazellandygl">[1]GL!$D$79:$G$79</definedName>
    <definedName name="heathcotetombh">[1]BH!$D$92:$G$92</definedName>
    <definedName name="helleurjamienw">[1]NW!$D$76:$G$76</definedName>
    <definedName name="hemingwaydanle">[1]LE!$D$76:$G$76</definedName>
    <definedName name="hendersonandrewnw">[1]NW!$D$77:$G$77</definedName>
    <definedName name="hensongavinsn">[1]SN!$D$71:$G$71</definedName>
    <definedName name="hepworthjonnyld">[1]LD!$D$64:$G$64</definedName>
    <definedName name="herringrobertli">[1]LI!$D$92:$G$92</definedName>
    <definedName name="hewatpeterli">[1]LI!$D$93:$G$93</definedName>
    <definedName name="higginsandrewbh">[1]BH!$D$93:$G$93</definedName>
    <definedName name="higginsandrewbs">[1]BS!$D$83:$G$83</definedName>
    <definedName name="higginsandrewex">[1]EX!$D$20:$G$20</definedName>
    <definedName name="higginsandrewsl">[1]SL!$D$90:$G$90</definedName>
    <definedName name="hintonleighld">[1]LD!$D$65:$G$65</definedName>
    <definedName name="hipkissdanbh">[1]BH!$D$95:$G$95</definedName>
    <definedName name="hipkissdanlecorrect">[1]LE!$D$79:$G$79</definedName>
    <definedName name="hobsonjasonbs">[1]BS!$D$87:$G$87</definedName>
    <definedName name="hobsonjasonlw">[1]LW!$D$70:$G$70</definedName>
    <definedName name="hobsonscottbh">[1]BH!$D$96:$G$96</definedName>
    <definedName name="hodgsoncharliesl">[1]SL!$D$92:$G$92</definedName>
    <definedName name="hodgsoncharliesn">[1]SN!$D$73:$G$73</definedName>
    <definedName name="hodgsonjoelnw">[1]NW!$D$78:$G$78</definedName>
    <definedName name="hodgsonpaulbs">[1]BS!$D$89:$G$89</definedName>
    <definedName name="hodgsonpaulli">[1]LI!$D$96:$G$96</definedName>
    <definedName name="hoggallynw">[1]NW!$D$79:$G$79</definedName>
    <definedName name="hohneckseanbs">[1]BS!$D$91:$G$91</definedName>
    <definedName name="hohneckseanld">[1]LD!$D$68:$G$68</definedName>
    <definedName name="holfordmichaelle">[1]LE!$D$80:$G$80</definedName>
    <definedName name="holfordmichaellw">[1]LW!$D$71:$G$71</definedName>
    <definedName name="holmesjonahlw">[1]LW!$D$72:$G$72</definedName>
    <definedName name="holmestomsl">[1]SL!$D$93:$G$93</definedName>
    <definedName name="homertomli">[1]LI!$D$98:$G$98</definedName>
    <definedName name="honeybenjameslw">[1]LW!$D$73:$G$73</definedName>
    <definedName name="hooperstuartbathcorrect">[1]BH!$D$97:$G$97</definedName>
    <definedName name="hooperstuartld">[1]LD!$D$71:$G$71</definedName>
    <definedName name="hooperstuartsn">[1]SN!$D$75:$G$75</definedName>
    <definedName name="hopleymarknh">[1]NH!$D$85:$G$85</definedName>
    <definedName name="hoppermatthq">[1]HQ!$D$86:$G$86</definedName>
    <definedName name="horstmannkaihqsecondcorrect">[1]HQ!$D$87:$G$87</definedName>
    <definedName name="horstmannkaiwr">[1]WR!$D$60:$G$60</definedName>
    <definedName name="hougaardderickle">[1]LE!$D$83:$G$83</definedName>
    <definedName name="hougaarddericksn">[1]SN!$D$77:$G$77</definedName>
    <definedName name="hudsonjamesbh">[1]BH!$D$100:$G$100</definedName>
    <definedName name="hudsonjameslicorrect">[1]LI!$D$101:$G$101</definedName>
    <definedName name="hudsonjamesnw">[1]NW!$D$84:$G$84</definedName>
    <definedName name="hufangasukanaivalunw">[1]NW!$D$85:$G$85</definedName>
    <definedName name="ionpaulicabhcorrect">[1]BH!$D$102:$G$102</definedName>
    <definedName name="ionpaulicali">[1]LI!$D$105:$G$105</definedName>
    <definedName name="jacksonglensn">[1]SN!$D$81:$G$81</definedName>
    <definedName name="jacobsbenlw">[1]LW!$D$78:$G$78</definedName>
    <definedName name="jacobsbensn">[1]SN!$D$82:$G$82</definedName>
    <definedName name="jamesbutchbhcorrect">[1]BH!$D$103:$G$103</definedName>
    <definedName name="jamesdafyddhqcorrect">[1]HQ!$D$90:$G$90</definedName>
    <definedName name="jamesdafyddsl">[1]SL!$D$99:$G$99</definedName>
    <definedName name="jamesmattysale">[1]SL!$D$100:$G$100</definedName>
    <definedName name="jameswillgl">[1]GL!$D$81:$G$81</definedName>
    <definedName name="jarvisaaronbhcorrect">[1]BH!$D$104:$G$104</definedName>
    <definedName name="jarvisadrianbs">[1]BS!$D$96:$G$96</definedName>
    <definedName name="jarvisadrianhq">[1]HQ!$D$89:$G$89</definedName>
    <definedName name="jarvisadrianld">[1]LD!$D$75:$G$75</definedName>
    <definedName name="jarvisadrianli">[1]LI!$D$107:$G$107</definedName>
    <definedName name="jessmattex">[1]EX!$D$21:$G$21</definedName>
    <definedName name="jewellseblw">[1]LW!$D$81:$G$81</definedName>
    <definedName name="johnsongaryli">[1]LI!$D$109:$G$109</definedName>
    <definedName name="johnsontomex">[1]EX!$D$22:$G$22</definedName>
    <definedName name="johnsonwillli">[1]LI!$D$110:$G$110</definedName>
    <definedName name="johnstonjameshqcorrect">[1]HQ!$D$93:$G$93</definedName>
    <definedName name="jonesbennh">[1]NH!$D$94:$G$94</definedName>
    <definedName name="jonesbenwr">[1]WR!$D$62:$G$62</definedName>
    <definedName name="jonescerihqsecondcorrect">[1]HQ!$D$95:$G$95</definedName>
    <definedName name="jonesceriwr">[1]WR!$D$63:$G$63</definedName>
    <definedName name="joneschrisld">[1]LD!$D$76:$G$76</definedName>
    <definedName name="joneschrisslback">[1]SL!$D$101:$G$101</definedName>
    <definedName name="joneschrisslforward">[1]SL!$D$102:$G$102</definedName>
    <definedName name="joneschriswr">[1]WR!$D$64:$G$64</definedName>
    <definedName name="jonesiangl">[1]GL!$D$87:$G$87</definedName>
    <definedName name="jonesianlw">[1]LW!$D$82:$G$82</definedName>
    <definedName name="jonesmarcslhkr">[1]SL!$D$103:$G$103</definedName>
    <definedName name="jonesmatthewwr">[1]WR!$D$65:$G$65</definedName>
    <definedName name="jonessamlw">[1]LW!$D$83:$G$83</definedName>
    <definedName name="josephjonathanli">[1]LI!$D$112:$G$112</definedName>
    <definedName name="jouberternstsn">[1]SN!$D$88:$G$88</definedName>
    <definedName name="kaybenle">[1]LE!$D$93:$G$93</definedName>
    <definedName name="kefustevelw">[1]LW!$D$84:$G$84</definedName>
    <definedName name="kenchiansl">[1]SL!$D$107:$G$107</definedName>
    <definedName name="kennedyjonnysl">[1]SL!$D$108:$G$108</definedName>
    <definedName name="kennedynickli">[1]LI!$D$114:$G$114</definedName>
    <definedName name="kerrgavinld">[1]LD!$D$79:$G$79</definedName>
    <definedName name="kerrgavinsl">[1]SL!$D$110:$G$110</definedName>
    <definedName name="kimlinpeterex">[1]EX!$D$23:$G$23</definedName>
    <definedName name="kitchenergrahamle">[1]LE!$D$95:$G$95</definedName>
    <definedName name="kitchenergrahamwr">[1]WR!$D$69:$G$69</definedName>
    <definedName name="knightshaungl">[1]GL!$D$91:$G$91</definedName>
    <definedName name="kohnolliehqcorrect">[1]HQ!$D$99:$G$99</definedName>
    <definedName name="kollheinzlw">[1]LW!$D$87:$G$87</definedName>
    <definedName name="korshunovvladislavlw">[1]LW!$D$88:$G$88</definedName>
    <definedName name="koyamaibolesisasl">[1]SL!$D$113:$G$113</definedName>
    <definedName name="krugerjuandrenh">[1]NH!$D$99:$G$99</definedName>
    <definedName name="kruisgeorgesn">[1]SN!$D$91:$G$91</definedName>
    <definedName name="kvesicmattwr">[1]WR!$D$70:$G$70</definedName>
    <definedName name="lahiffmaxli">[1]LI!$D$117:$G$117</definedName>
    <definedName name="lambertmarkhqcorrect">[1]HQ!$D$101:$G$101</definedName>
    <definedName name="lambryangl">[1]GL!$D$92:$G$92</definedName>
    <definedName name="lambryanli">[1]LI!$D$120:$G$120</definedName>
    <definedName name="lambryannh">[1]NH!$D$104:$G$104</definedName>
    <definedName name="lathamchriswr">[1]WR!$D$71:$G$71</definedName>
    <definedName name="launchburyjoelw">[1]LW!$D$90:$G$90</definedName>
    <definedName name="laveatasesasl">[1]SL!$D$118:$G$118</definedName>
    <definedName name="lawescourtneynh">[1]NH!$D$106:$G$106</definedName>
    <definedName name="lawsonrorygl">[1]GL!$D$93:$G$93</definedName>
    <definedName name="lawsonscottgl">[1]GL!$D$94:$G$94</definedName>
    <definedName name="lawsonscottsl">[1]SL!$D$119:$G$119</definedName>
    <definedName name="lealamanuakassn">[1]SN!$D$98:$G$98</definedName>
    <definedName name="leckchrissalecorr">[1]SL!$D$120:$G$120</definedName>
    <definedName name="lemidavidbs">[1]BS!$D$104:$G$104</definedName>
    <definedName name="lemidavidlw">[1]LW!$D$94:$G$94</definedName>
    <definedName name="lennardjamieli">[1]LI!$D$123:$G$123</definedName>
    <definedName name="leodaniellw">[1]LW!$D$95:$G$95</definedName>
    <definedName name="leotajohnnysl">[1]SL!$D$121:$G$121</definedName>
    <definedName name="levifiliponw">[1]NW!$D$95:$G$95</definedName>
    <definedName name="lewaravuwarnesale">[1]SL!$D$122:$G$122</definedName>
    <definedName name="lewisdavegl">[1]GL!$D$95:$G$95</definedName>
    <definedName name="lewseyjoshbs">[1]BS!$D$107:$G$107</definedName>
    <definedName name="lewseyjoshlw">[1]LW!$D$98:$G$98</definedName>
    <definedName name="lewsiprattchrisld">[1]LD!$D$83:$G$83</definedName>
    <definedName name="lilleymarkbh">[1]BH!$D$113:$G$113</definedName>
    <definedName name="lindsayhagueolliehq">[1]HQ!$D$107:$G$107</definedName>
    <definedName name="lindsaytomlw">[1]LW!$D$99:$G$99</definedName>
    <definedName name="littlenickybhcorrect">[1]BH!$D$115:$G$115</definedName>
    <definedName name="littlenickysl">[1]SL!$D$124:$G$124</definedName>
    <definedName name="littlenickysn">[1]SN!$D$104:$G$104</definedName>
    <definedName name="longandybhcorrect">[1]BH!$D$119:$G$119</definedName>
    <definedName name="longandynh">[1]NH!$D$109:$G$109</definedName>
    <definedName name="longandynw">[1]NW!$D$97:$G$97</definedName>
    <definedName name="longandyrhcorrect">[1]RH!$D$38:$G$38</definedName>
    <definedName name="louwfrancoisbh">[1]BH!$D$120:$G$120</definedName>
    <definedName name="lowegeorgehqcorrect">[1]HQ!$D$109:$G$109</definedName>
    <definedName name="lowkieranli">[1]LI!$D$124:$G$124</definedName>
    <definedName name="lunderikld">[1]LD!$D$86:$G$86</definedName>
    <definedName name="lutuialekiwr">[1]WR!$D$75:$G$75</definedName>
    <definedName name="lyonsdavidgl">[1]GL!$D$101:$G$101</definedName>
    <definedName name="lyonsdavidwr">[1]WR!$D$77:$G$77</definedName>
    <definedName name="maasivilild">[1]LD!$D$88:$G$88</definedName>
    <definedName name="macdonaldmikeld">[1]LD!$D$89:$G$89</definedName>
    <definedName name="macdonaldmikewr">[1]WR!$D$78:$G$78</definedName>
    <definedName name="mackaylachield">[1]LD!$D$91:$G$91</definedName>
    <definedName name="macleodnicksl">[1]SL!$D$128:$G$128</definedName>
    <definedName name="macraecalumwr">[1]WR!$D$80:$G$80</definedName>
    <definedName name="maddockjoebhcorrect">[1]BH!$D$124:$G$124</definedName>
    <definedName name="maddockjoesn">[1]SN!$D$108:$G$108</definedName>
    <definedName name="mafistevele">[1]LE!$D$103:$G$103</definedName>
    <definedName name="malonechrisbhdefinitive">[1]BH!$D$127:$G$127</definedName>
    <definedName name="malonechrishqcorrect">[1]HQ!$D$114:$G$114</definedName>
    <definedName name="malonechrisli">[1]LI!$D$127:$G$127</definedName>
    <definedName name="manningjeremynw">[1]NW!$D$105:$G$105</definedName>
    <definedName name="manoasamunh">[1]NH!$D$115:$G$115</definedName>
    <definedName name="mapusuaseilalali">[1]LI!$D$129:$G$129</definedName>
    <definedName name="marfodarylhq">[1]HQ!$D$116:$G$116</definedName>
    <definedName name="marlerjoehqcorrect">[1]HQ!$D$117:$G$117</definedName>
    <definedName name="marshalljustinld">[1]LD!$D$92:$G$92</definedName>
    <definedName name="marshalljustinsn">[1]SN!$D$111:$G$111</definedName>
    <definedName name="mathiescottld">[1]LD!$D$94:$G$94</definedName>
    <definedName name="mathiescottsl">[1]SL!$D$135:$G$135</definedName>
    <definedName name="matthewscharliehq">[1]HQ!$D$120:$G$120</definedName>
    <definedName name="matthewswillgl">[1]GL!$D$104:$G$104</definedName>
    <definedName name="matthewswilllw">[1]LW!$D$103:$G$103</definedName>
    <definedName name="mayhewmikenw">[1]NW!$D$106:$G$106</definedName>
    <definedName name="mayhewnichq">[1]HQ!$D$122:$G$122</definedName>
    <definedName name="mayhewrichardnw">[1]NW!$D$107:$G$107</definedName>
    <definedName name="mayjonnygl">[1]GL!$D$106:$G$106</definedName>
    <definedName name="mayorchrislw">[1]LW!$D$104:$G$104</definedName>
    <definedName name="mayorchrisnh">[1]NH!$D$118:$G$118</definedName>
    <definedName name="mayorchrissl">[1]SL!$D$136:$G$136</definedName>
    <definedName name="maytomnh">[1]NH!$D$117:$G$117</definedName>
    <definedName name="maytomnw">[1]NW!$D$101:$G$101</definedName>
    <definedName name="mcintyresimonlw">[1]LW!$D$107:$G$107</definedName>
    <definedName name="mcintyresimonsl">[1]SL!$D$138:$G$138</definedName>
    <definedName name="mckenziefrasersl">[1]SL!$D$139:$G$139</definedName>
    <definedName name="mckenziepaulex">[1]EX!$D$24:$G$24</definedName>
    <definedName name="mcmillanmarkbh">[1]BH!$D$123:$G$123</definedName>
    <definedName name="mcmillanmarkld">[1]LD!$D$97:$G$97</definedName>
    <definedName name="mcmillanmarklw">[1]LW!$D$109:$G$109</definedName>
    <definedName name="mcmillanneilhq">[1]HQ!$D$124:$G$124</definedName>
    <definedName name="mcmillanneilsl">[1]SL!$D$140:$G$140</definedName>
    <definedName name="mcmillanrossnh">[1]NH!$D$119:$G$119</definedName>
    <definedName name="mearsleebathcorrect">[1]BH!$D$129:$G$129</definedName>
    <definedName name="melckjustinsn">[1]SN!$D$117:$G$117</definedName>
    <definedName name="mercerguybh">[1]BH!$D$131:$G$131</definedName>
    <definedName name="merceytomnh">[1]NH!$D$122:$G$122</definedName>
    <definedName name="merceytomsn">[1]SN!$D$118:$G$118</definedName>
    <definedName name="mieresignacioex">[1]EX!$D$25:$G$25</definedName>
    <definedName name="millerrobnw">[1]NW!$D$109:$G$109</definedName>
    <definedName name="millerrobsl">[1]SL!$D$141:$G$141</definedName>
    <definedName name="millsryangl">[1]GL!$D$112:$G$112</definedName>
    <definedName name="mitchellcraigex">[1]EX!$D$26:$G$26</definedName>
    <definedName name="molenaartimgl">[1]GL!$D$113:$G$113</definedName>
    <definedName name="monyeugohqcorrect">[1]HQ!$D$131:$G$131</definedName>
    <definedName name="moodylewisbh">[1]BH!$D$133:$G$133</definedName>
    <definedName name="moodylewisle">[1]LE!$D$110:$G$110</definedName>
    <definedName name="moonbenex">[1]EX!$D$27:$G$27</definedName>
    <definedName name="mooredavehq">[1]HQ!$D$132:$G$132</definedName>
    <definedName name="mordtnilshqcorrect">[1]HQ!$D$134:$G$134</definedName>
    <definedName name="mordtnilsli">[1]LI!$D$138:$G$138</definedName>
    <definedName name="mordtnilsnh">[1]NH!$D$127:$G$127</definedName>
    <definedName name="mordtnilssn">[1]SN!$D$121:$G$121</definedName>
    <definedName name="morenoalejandrold">[1]LD!$D$99:$G$99</definedName>
    <definedName name="morenoalejandrole">[1]LE!$D$111:$G$111</definedName>
    <definedName name="morganollygl">[1]GL!$D$116:$G$116</definedName>
    <definedName name="morrisdarrenle">[1]LE!$D$112:$G$112</definedName>
    <definedName name="morrisdarrennh">[1]NH!$D$129:$G$129</definedName>
    <definedName name="morrisdarrenwr">[1]WR!$D$83:$G$83</definedName>
    <definedName name="morrisniallle">[1]LE!$D$113:$G$113</definedName>
    <definedName name="mujatibriannh">[1]NH!$D$130:$G$130</definedName>
    <definedName name="muldowneyalyex">[1]EX!$D$28:$G$28</definedName>
    <definedName name="mulipolalogoviile">[1]LE!$D$114:$G$114</definedName>
    <definedName name="mullanmattwr">[1]WR!$D$84:$G$84</definedName>
    <definedName name="murphydangl">[1]GL!$D$117:$G$117</definedName>
    <definedName name="murphydanli">[1]LI!$D$140:$G$140</definedName>
    <definedName name="murphygeordanle">[1]LE!$D$116:$G$116</definedName>
    <definedName name="murphyjohnele">[1]LE!$D$117:$G$117</definedName>
    <definedName name="murphyruaidhriex">[1]EX!$D$29:$G$29</definedName>
    <definedName name="murrayeuannh">[1]NH!$D$131:$G$131</definedName>
    <definedName name="murrayeuannw">[1]NW!$D$112:$G$112</definedName>
    <definedName name="myallkearnanld">[1]LD!$D$104:$G$104</definedName>
    <definedName name="myallkearnansl">[1]SL!$D$147:$G$147</definedName>
    <definedName name="mylerstephennh">[1]NH!$D$132:$G$132</definedName>
    <definedName name="nadolonemaniex">[1]EX!$D$30:$G$30</definedName>
    <definedName name="naqelevukisireliex">[1]EX!$D$31:$G$31</definedName>
    <definedName name="narrawaylukegl">[1]GL!$D$119:$G$119</definedName>
    <definedName name="newbycraigle">[1]LE!$D$122:$G$122</definedName>
    <definedName name="newbycraignw">[1]NW!$D$115:$G$115</definedName>
    <definedName name="nietocarlosgl">[1]GL!$D$120:$G$120</definedName>
    <definedName name="nietocarlossn">[1]SN!$D$123:$G$123</definedName>
    <definedName name="nilsenphilld">[1]LD!$D$105:$G$105</definedName>
    <definedName name="nutleybarrynh">[1]NH!$D$137:$G$137</definedName>
    <definedName name="oakleyrhysbs">[1]BS!$D$133:$G$133</definedName>
    <definedName name="oakleyrhysld">[1]LD!$D$108:$G$108</definedName>
    <definedName name="odonoghueedlw">[1]LW!$D$115:$G$115</definedName>
    <definedName name="odonoghueednh">[1]NH!$D$138:$G$138</definedName>
    <definedName name="odonoghueedwr">[1]WR!$D$87:$G$87</definedName>
    <definedName name="oduozaucheld">[1]LD!$D$109:$G$109</definedName>
    <definedName name="oduozauchewr">[1]WR!$D$89:$G$89</definedName>
    <definedName name="ojotopsyli">[1]LI!$D$145:$G$145</definedName>
    <definedName name="ormsbykrissl">[1]SL!$D$152:$G$152</definedName>
    <definedName name="ostrikovandreisl">[1]SL!$D$153:$G$153</definedName>
    <definedName name="ovensjoshbh">[1]BH!$D$136:$G$136</definedName>
    <definedName name="ovenslaurencebhcorrect">[1]BH!$D$135:$G$135</definedName>
    <definedName name="ovenslaurencenw">[1]NW!$D$120:$G$120</definedName>
    <definedName name="paicedavidli">[1]LI!$D$147:$G$147</definedName>
    <definedName name="palmanewportkanebh">[1]BH!$D$137:$G$137</definedName>
    <definedName name="parlinggeoffle">[1]LE!$D$128:$G$128</definedName>
    <definedName name="parlinggeoffnw">[1]NW!$D$122:$G$122</definedName>
    <definedName name="parrmattsl">[1]SL!$D$154:$G$154</definedName>
    <definedName name="parrmattsn">[1]SN!$D$131:$G$131</definedName>
    <definedName name="pasqualinjordigl">[1]GL!$D$129:$G$129</definedName>
    <definedName name="pasqualinjordinw">[1]NW!$D$123:$G$123</definedName>
    <definedName name="pauldannyld">[1]LD!$D$115:$G$115</definedName>
    <definedName name="paulhenryglcorrect">[1]GL!$D$131:$G$131</definedName>
    <definedName name="paulhenryld">[1]LD!$D$116:$G$116</definedName>
    <definedName name="paveralanex">[1]EX!$D$32:$G$32</definedName>
    <definedName name="paynetimbs">[1]BS!$D$135:$G$135</definedName>
    <definedName name="paynetimlw">[1]LW!$D$118:$G$118</definedName>
    <definedName name="peeldwaynesl">[1]SL!$D$156:$G$156</definedName>
    <definedName name="pendleburyjongl">[1]GL!$D$134:$G$134</definedName>
    <definedName name="pendleburyjonld">[1]LD!$D$117:$G$117</definedName>
    <definedName name="pendleburyjonrh">[1]RH!$D$50:$G$50</definedName>
    <definedName name="pennellchriswr">[1]WR!$D$92:$G$92</definedName>
    <definedName name="penneyrhodli">[1]LI!$D$148:$G$148</definedName>
    <definedName name="penneyroddsn">[1]SN!$D$134:$G$134</definedName>
    <definedName name="pennycookredfordbs">[1]BS!$D$138:$G$138</definedName>
    <definedName name="pennycookredfordnw">[1]NW!$D$126:$G$126</definedName>
    <definedName name="percivaljameshqcorrect">[1]HQ!$D$150:$G$150</definedName>
    <definedName name="percivaljameswrcorrect">[1]WR!$D$93:$G$93</definedName>
    <definedName name="pereniseanthonybh">[1]BH!$D$139:$G$139</definedName>
    <definedName name="perryandyli">[1]LI!$D$149:$G$149</definedName>
    <definedName name="perryandynw">[1]NW!$D$127:$G$127</definedName>
    <definedName name="perryshaunbs">[1]BS!$D$139:$G$139</definedName>
    <definedName name="perryshaunwr">[1]WR!$D$94:$G$94</definedName>
    <definedName name="phibbspatex">[1]EX!$D$33:$G$33</definedName>
    <definedName name="phibbspatsn">[1]SN!$D$135:$G$135</definedName>
    <definedName name="phillipsjamesbs">[1]BS!$D$140:$G$140</definedName>
    <definedName name="phillipsjamesex">[1]EX!$D$34:$G$34</definedName>
    <definedName name="phillipsolliegl">[1]GL!$D$135:$G$135</definedName>
    <definedName name="phillipsollienw">[1]NW!$D$128:$G$128</definedName>
    <definedName name="pienaarbenle">[1]LE!$D$130:$G$130</definedName>
    <definedName name="pilgrimchrisnw">[1]NW!$D$129:$G$129</definedName>
    <definedName name="pisigeorgenh">[1]NH!$D$143:$G$143</definedName>
    <definedName name="poffjonathanlw">[1]LW!$D$119:$G$119</definedName>
    <definedName name="poluleuligagajuniorex">[1]EX!$D$35:$G$35</definedName>
    <definedName name="poluleuligagajuniorhq">[1]HQ!$D$153:$G$153</definedName>
    <definedName name="portergeorgewr">[1]WR!$D$96:$G$96</definedName>
    <definedName name="powelladamsn">[1]SN!$D$138:$G$138</definedName>
    <definedName name="powellandyle">[1]LE!$D$133:$G$133</definedName>
    <definedName name="powellandylw">[1]LW!$D$120:$G$120</definedName>
    <definedName name="powellandysl">[1]SL!$D$160:$G$160</definedName>
    <definedName name="powellmikelw">[1]LW!$D$121:$G$121</definedName>
    <definedName name="powellryannh">[1]NH!$D$145:$G$145</definedName>
    <definedName name="powellryanwr">[1]WR!$D$98:$G$98</definedName>
    <definedName name="prydietomlw">[1]LW!$D$123:$G$123</definedName>
    <definedName name="qeraakpusigl">[1]GL!$D$141:$G$141</definedName>
    <definedName name="rabeniseruld">[1]LD!$D$122:$G$122</definedName>
    <definedName name="rabeniserule">[1]LE!$D$134:$G$134</definedName>
    <definedName name="rasmussendalewr">[1]WR!$D$100:$G$100</definedName>
    <definedName name="ratuvoukamelisn">[1]SN!$D$143:$G$143</definedName>
    <definedName name="rautenbachfaanli">[1]LI!$D$153:$G$153</definedName>
    <definedName name="reihanabrucenh">[1]NH!$D$149:$G$149</definedName>
    <definedName name="renniebryanex">[1]EX!$D$36:$G$36</definedName>
    <definedName name="reyneckeethiennesn">[1]SN!$D$147:$G$147</definedName>
    <definedName name="richardsdeanaw">#REF!</definedName>
    <definedName name="richardsdeanecc">#REF!</definedName>
    <definedName name="richardsdeanhc">#REF!</definedName>
    <definedName name="richardsdeannewaw">#REF!</definedName>
    <definedName name="richardsdeannewecc">#REF!</definedName>
    <definedName name="richardsdeannewhc">#REF!</definedName>
    <definedName name="richardsdeannewother">#REF!</definedName>
    <definedName name="richardsdeannewprem">#REF!</definedName>
    <definedName name="richardsdeanother">#REF!</definedName>
    <definedName name="richardsdeanprem">#REF!</definedName>
    <definedName name="ripoloriolnh">[1]NH!$D$152:$G$152</definedName>
    <definedName name="ripoloriolsl">[1]SL!$D$165:$G$165</definedName>
    <definedName name="robertsbensl">[1]SL!$D$166:$G$166</definedName>
    <definedName name="robertseifionsl">[1]SL!$D$167:$G$167</definedName>
    <definedName name="robertsmartinnh">[1]NH!$D$153:$G$153</definedName>
    <definedName name="robertspaulbh">[1]BH!$D$149:$G$149</definedName>
    <definedName name="robinsonleebs">[1]BS!$D$152:$G$152</definedName>
    <definedName name="robinsonleele">[1]LE!$D$142:$G$142</definedName>
    <definedName name="robinsonnickygl">[1]GL!$D$143:$G$143</definedName>
    <definedName name="robinsonnickylw">[1]LW!$D$133:$G$133</definedName>
    <definedName name="robshawchrishqcorrect">[1]HQ!$D$162:$G$162</definedName>
    <definedName name="robsondangl">[1]GL!$D$144:$G$144</definedName>
    <definedName name="robsongeorgehqcorrect">[1]HQ!$D$163:$G$163</definedName>
    <definedName name="rochekieranli">[1]LI!$D$159:$G$159</definedName>
    <definedName name="rochekieransn">[1]SN!$D$148:$G$148</definedName>
    <definedName name="rouseniclirish">[1]LI!$D$162:$G$162</definedName>
    <definedName name="rousenicsale">[1]SL!$D$170:$G$170</definedName>
    <definedName name="rowanjacobld">[1]LD!$D$132:$G$132</definedName>
    <definedName name="ruddjohnhqcorrect">[1]HQ!$D$167:$G$167</definedName>
    <definedName name="ruddjohnli">[1]LI!$D$163:$G$163</definedName>
    <definedName name="ruddjohnlw">[1]LW!$D$137:$G$137</definedName>
    <definedName name="ruddjohnnh">[1]NH!$D$156:$G$156</definedName>
    <definedName name="ruddjohnnw">[1]NW!$D$134:$G$134</definedName>
    <definedName name="runcimannickgl">[1]GL!$D$146:$G$146</definedName>
    <definedName name="runcimannickwr">[1]WR!$D$103:$G$103</definedName>
    <definedName name="ruwersshaunlw">[1]LW!$D$138:$G$138</definedName>
    <definedName name="ruwersshaunwr">[1]WR!$D$104:$G$104</definedName>
    <definedName name="ryantimnw">[1]NW!$D$137:$G$137</definedName>
    <definedName name="rydertomle">[1]LE!$D$145:$G$145</definedName>
    <definedName name="rydertomsn">[1]SN!$D$156:$G$156</definedName>
    <definedName name="sackeypaulbd">[1]BD!$D$65:$G$65</definedName>
    <definedName name="sackeypaulli">[1]LI!$D$165:$G$165</definedName>
    <definedName name="sackeypaullw">[1]LW!$D$139:$G$139</definedName>
    <definedName name="salvijulianbhcorrect">[1]BH!$D$151:$G$151</definedName>
    <definedName name="salvijulianle">[1]LE!$D$146:$G$146</definedName>
    <definedName name="samsonrossli">[1]LI!$D$166:$G$166</definedName>
    <definedName name="sandersonpathqsecondcorrection">[1]HQ!$D$169:$G$169</definedName>
    <definedName name="sandersonpatsl">[1]SL!$D$173:$G$173</definedName>
    <definedName name="sandersonpatwr">[1]WR!$D$106:$G$106</definedName>
    <definedName name="sandfordjamesli">[1]LI!$D$167:$G$167</definedName>
    <definedName name="satalaapogl">[1]GL!$D$151:$G$151</definedName>
    <definedName name="satalaapold">[1]LD!$D$134:$G$134</definedName>
    <definedName name="saullandysn">[1]SN!$D$158:$G$158</definedName>
    <definedName name="saundersjaredsn">[1]SN!$D$159:$G$159</definedName>
    <definedName name="savagetomgl">[1]GL!$D$152:$G$152</definedName>
    <definedName name="scaysbrookjamesbh">[1]BH!$D$153:$G$153</definedName>
    <definedName name="scaysbrookjamesex">[1]EX!$D$37:$G$37</definedName>
    <definedName name="schofielddeansl">[1]SL!$D$175:$G$175</definedName>
    <definedName name="schwalgermahonrisl">[1]SL!$D$176:$G$176</definedName>
    <definedName name="scottnickbh">[1]BH!$D$154:$G$154</definedName>
    <definedName name="sestaretnicex">[1]EX!$D$38:$G$38</definedName>
    <definedName name="sevealiielvisbh">[1]BH!$D$157:$G$157</definedName>
    <definedName name="sevealiielvisli">[1]LI!$D$168:$G$168</definedName>
    <definedName name="sevealiielvissl">[1]SL!$D$177:$G$177</definedName>
    <definedName name="seymourdavesl">[1]SL!$D$178:$G$178</definedName>
    <definedName name="seymourdavesn">[1]SN!$D$162:$G$162</definedName>
    <definedName name="sharmanbrettnh">[1]NH!$D$159:$G$159</definedName>
    <definedName name="sharplescharliegl">[1]GL!$D$155:$G$155</definedName>
    <definedName name="shawsimonlw">[1]LW!$D$143:$G$143</definedName>
    <definedName name="sheriffeoinsn">[1]SN!$D$164:$G$164</definedName>
    <definedName name="sherifferikkinw">[1]NW!$D$140:$G$140</definedName>
    <definedName name="shervingtonedwr">[1]WR!$D$107:$G$107</definedName>
    <definedName name="shiellsgrantnw">[1]NW!$D$141:$G$141</definedName>
    <definedName name="shinglersteveli">[1]LI!$D$171:$G$171</definedName>
    <definedName name="shoemarkjasonex">[1]EX!$D$39:$G$39</definedName>
    <definedName name="shortandywr">[1]WR!$D$108:$G$108</definedName>
    <definedName name="shortjamessn">[1]SN!$D$165:$G$165</definedName>
    <definedName name="shortlandryannw">[1]NW!$D$142:$G$142</definedName>
    <definedName name="shortpeterbhcorrect">[1]BH!$D$156:$G$156</definedName>
    <definedName name="shortpeterex">[1]EX!$D$40:$G$40</definedName>
    <definedName name="shortpeterle">[1]LE!$D$148:$G$148</definedName>
    <definedName name="silverlouiswr">[1]WR!$D$109:$G$109</definedName>
    <definedName name="simpsondanieljamesgl">[1]GL!$D$158:$G$158</definedName>
    <definedName name="sincklerkylehq">[1]HQ!$D$174:$G$174</definedName>
    <definedName name="sinclairjebbli">[1]LI!$D$173:$G$173</definedName>
    <definedName name="sisidaveli">[1]LI!$D$174:$G$174</definedName>
    <definedName name="skinnerwillhqcorrect">[1]HQ!$D$175:$G$175</definedName>
    <definedName name="skinnerwillle">[1]LE!$D$149:$G$149</definedName>
    <definedName name="skirvingbenbhcorrect">[1]BH!$D$159:$G$159</definedName>
    <definedName name="skirvingbensn">[1]SN!$D$167:$G$167</definedName>
    <definedName name="skivingtongeorgele">[1]LE!$D$150:$G$150</definedName>
    <definedName name="skivingtongeorgelw">[1]LW!$D$147:$G$147</definedName>
    <definedName name="skuserichardbs">[1]BS!$D$168:$G$168</definedName>
    <definedName name="skuserichardli">[1]LI!$D$175:$G$175</definedName>
    <definedName name="skuserichardsn">[1]SN!$D$168:$G$168</definedName>
    <definedName name="sladechadex">[1]EX!$D$41:$G$41</definedName>
    <definedName name="slateredle">[1]LE!$D$151:$G$151</definedName>
    <definedName name="smithhaydensn">[1]SN!$D$170:$G$170</definedName>
    <definedName name="smithmattle">[1]LE!$D$153:$G$153</definedName>
    <definedName name="smitholliehqcorrect">[1]HQ!$D$178:$G$178</definedName>
    <definedName name="smitholliele">[1]LE!$D$154:$G$154</definedName>
    <definedName name="smithsamhqcorrect">[1]HQ!$D$179:$G$179</definedName>
    <definedName name="smitjohnsn">[1]SN!$D$169:$G$169</definedName>
    <definedName name="somervillegreggl">[1]GL!$D$160:$G$160</definedName>
    <definedName name="sooialostevehqcorrect">[1]HQ!$D$180:$G$180</definedName>
    <definedName name="sorensonmarknh">[1]NH!$D$167:$G$167</definedName>
    <definedName name="sorensonmarknw">[1]NW!$D$146:$G$146</definedName>
    <definedName name="SORRELLSNSBS">[1]SN!$E$172</definedName>
    <definedName name="SORRELLSNSTS">[1]SN!$D$172</definedName>
    <definedName name="sourgensolivierwr">[1]WR!$D$110:$G$110</definedName>
    <definedName name="southwellhugolw">[1]LW!$D$148:$G$148</definedName>
    <definedName name="spencerbensn">[1]SN!$D$175:$G$175</definedName>
    <definedName name="spicejasonle">[1]LE!$D$155:$G$155</definedName>
    <definedName name="spicejasonnw">[1]NW!$D$148:$G$148</definedName>
    <definedName name="sprattjonathanli">[1]LI!$D$177:$G$177</definedName>
    <definedName name="stankovichborisle">[1]LE!$D$156:$G$156</definedName>
    <definedName name="stankovichborisli">[1]LI!$D$179:$G$179</definedName>
    <definedName name="stanleysamsn">[1]SN!$D$177:$G$177</definedName>
    <definedName name="stauntonjeremyhqcorrect">[1]HQ!$D$185:$G$185</definedName>
    <definedName name="stauntonjeremyle">[1]LE!$D$158:$G$158</definedName>
    <definedName name="stauntonjeremyli">[1]LI!$D$180:$G$180</definedName>
    <definedName name="stauntonjeremylw">[1]LW!$D$149:$G$149</definedName>
    <definedName name="steelescottle">[1]LE!$D$159:$G$159</definedName>
    <definedName name="steensongarethex">[1]EX!$D$42:$G$42</definedName>
    <definedName name="stegmannsebhqcorrect">[1]HQ!$D$186:$G$186</definedName>
    <definedName name="stephensonmichaelbhcorrect">[1]BH!$D$162:$G$162</definedName>
    <definedName name="stephensonmichaelld">[1]LD!$D$139:$G$139</definedName>
    <definedName name="stephensonmichaelnw">[1]NW!$D$150:$G$150</definedName>
    <definedName name="stevensmattbh">[1]BH!$D$163:$G$163</definedName>
    <definedName name="stevensmattsn">[1]SN!$D$178:$G$178</definedName>
    <definedName name="stevensonlewishqsecondcorrect">[1]HQ!$D$187:$G$187</definedName>
    <definedName name="stowersgeorgeli">[1]LI!$D$182:$G$182</definedName>
    <definedName name="strettledavidhqcorrect">[1]HQ!$D$190:$G$190</definedName>
    <definedName name="strettledavidrh">[1]RH!$D$67:$G$67</definedName>
    <definedName name="strettledavidsn">[1]SN!$D$180:$G$180</definedName>
    <definedName name="stringerpetersn">[1]SN!$D$181:$G$181</definedName>
    <definedName name="strokoschalasdairgl">[1]GL!$D$164:$G$164</definedName>
    <definedName name="sturgessbrettex">[1]EX!$D$43:$G$43</definedName>
    <definedName name="sturgessbrettnh">[1]NH!$D$173:$G$173</definedName>
    <definedName name="stylesedsl">[1]SL!$D$189:$G$189</definedName>
    <definedName name="swainstonphilld">[1]LD!$D$144:$G$144</definedName>
    <definedName name="swinsontimnw">[1]NW!$D$152:$G$152</definedName>
    <definedName name="tadulalasemild">[1]LD!$D$145:$G$145</definedName>
    <definedName name="tagicakibaumichaelsn">[1]SN!$D$183:$G$183</definedName>
    <definedName name="tagicakibausailosili">[1]LI!$D$184:$G$184</definedName>
    <definedName name="taitalexnw">[1]NW!$D$155:$G$155</definedName>
    <definedName name="taitmathewle">[1]LE!$D$163:$G$163</definedName>
    <definedName name="taitmathewnw">[1]NW!$D$156:$G$156</definedName>
    <definedName name="taitmathewsl">[1]SL!$D$192:$G$192</definedName>
    <definedName name="taitmichaelnw">[1]NW!$D$157:$G$157</definedName>
    <definedName name="taleinetaniwr">[1]WR!$D$113:$G$113</definedName>
    <definedName name="tannerwillbh">[1]BH!$D$165:$G$165</definedName>
    <definedName name="tatupujoshex">[1]EX!$D$44:$G$44</definedName>
    <definedName name="taulafozaklw">[1]LW!$D$150:$G$150</definedName>
    <definedName name="taumoepeautevitanh">[1]NH!$D$175:$G$175</definedName>
    <definedName name="taumoepeautevitawr">[1]WR!$D$114:$G$114</definedName>
    <definedName name="taylorduncansn">[1]SN!$D$185:$G$185</definedName>
    <definedName name="taylorezrawr">[1]WR!$D$115:$G$115</definedName>
    <definedName name="taylorsimonbh">[1]BH!$D$166:$G$166</definedName>
    <definedName name="taylorsimonsn">[1]SN!$D$186:$G$186</definedName>
    <definedName name="taylortimgl">[1]GL!$D$166:$G$166</definedName>
    <definedName name="taylortimsn">[1]SN!$D$187:$G$187</definedName>
    <definedName name="taylortommysl">[1]SL!$D$195:$G$195</definedName>
    <definedName name="thomasceironld">[1]LD!$D$146:$G$146</definedName>
    <definedName name="thomashaydnbs">[1]BS!$D$177:$G$177</definedName>
    <definedName name="thomashaydnex">[1]EX!$D$45:$G$45</definedName>
    <definedName name="thomashaydngl">[1]GL!$D$169:$G$169</definedName>
    <definedName name="thomashenrysl">[1]SL!$D$199:$G$199</definedName>
    <definedName name="thomasleesl">[1]SL!$D$200:$G$200</definedName>
    <definedName name="thomasyanngl">[1]GL!$D$171:$G$171</definedName>
    <definedName name="thompsonmattnw">[1]NW!$D$158:$G$158</definedName>
    <definedName name="thompsonsteveld">[1]LD!$D$148:$G$148</definedName>
    <definedName name="thompsonstevelw">[1]LW!$D$151:$G$151</definedName>
    <definedName name="thompsonstevenh">[1]NH!$D$176:$G$176</definedName>
    <definedName name="thompstoneadamli">[1]LI!$D$185:$G$185</definedName>
    <definedName name="thornleyiainsl">[1]SL!$D$201:$G$201</definedName>
    <definedName name="tideswelljameslicorrect">[1]LI!$D$188:$G$188</definedName>
    <definedName name="tiesigonzalohqcorrect">[1]HQ!$D$197:$G$197</definedName>
    <definedName name="tiesigonzaloli">[1]LI!$D$189:$G$189</definedName>
    <definedName name="tincknelljamesld">[1]LD!$D$149:$G$149</definedName>
    <definedName name="tindallmikebh">[1]BH!$D$171:$G$171</definedName>
    <definedName name="tindallmikegl">[1]GL!$D$172:$G$172</definedName>
    <definedName name="titterrellandygl">[1]GL!$D$173:$G$173</definedName>
    <definedName name="titterrellandyld">[1]LD!$D$150:$G$150</definedName>
    <definedName name="titterrellandysl">[1]SL!$D$204:$G$204</definedName>
    <definedName name="tomaszczykthomaswr">[1]WR!$D$116:$G$116</definedName>
    <definedName name="tomkinsjoellw">[1]SN!$D$192:$G$192</definedName>
    <definedName name="tonettikylesale">[1]SL!$D$206:$G$206</definedName>
    <definedName name="tongauihasoanenh">[1]NH!$D$179:$G$179</definedName>
    <definedName name="tonksgreignh">[1]NH!$D$180:$G$180</definedName>
    <definedName name="tooalaalfiebs">[1]BS!$D$180:$G$180</definedName>
    <definedName name="tooalaalfield">[1]LD!$D$151:$G$151</definedName>
    <definedName name="townsonglennw">[1]NW!$D$161:$G$161</definedName>
    <definedName name="trayfootjoehq">[1]HQ!$D$199:$G$199</definedName>
    <definedName name="treviranusofisali">[1]LI!$D$192:$G$192</definedName>
    <definedName name="trinderhenrygl">[1]GL!$D$176:$G$176</definedName>
    <definedName name="tuculetjoaquinsl">[1]SL!$D$207:$G$207</definedName>
    <definedName name="tuifuatainw">[1]NW!$D$162:$G$162</definedName>
    <definedName name="tuihoaniex">[1]EX!$D$46:$G$46</definedName>
    <definedName name="tuilagialesanale">[1]LE!$D$168:$G$168</definedName>
    <definedName name="tuilagianitelealdcorrect">[1]LD!$D$152:$G$152</definedName>
    <definedName name="tuilagianitelealecorrect">[1]LE!$D$169:$G$169</definedName>
    <definedName name="tuilagianiteleasl">[1]SL!$D$209:$G$209</definedName>
    <definedName name="tuilagimanule">[1]LE!$D$172:$G$172</definedName>
    <definedName name="tuipulotutanenw">[1]NW!$D$163:$G$163</definedName>
    <definedName name="tuitupousamsl">[1]SL!$D$208:$G$208</definedName>
    <definedName name="tuitupousamwr">[1]WR!$D$120:$G$120</definedName>
    <definedName name="tuqirilotele">[1]LE!$D$173:$G$173</definedName>
    <definedName name="turnerhalljordanhqcorrect">[1]HQ!$D$200:$G$200</definedName>
    <definedName name="urdapilletabenjaminhq">[1]HQ!$D$201:$G$201</definedName>
    <definedName name="uyscornenw">[1]NW!$D$166:$G$166</definedName>
    <definedName name="vainikololesleygl">[1]GL!$D$178:$G$178</definedName>
    <definedName name="vakacegumarikasl">[1]SL!$D$212:$G$212</definedName>
    <definedName name="vallejostomashqcorrect">[1]HQ!$D$202:$G$202</definedName>
    <definedName name="vanderheijdenandrewnw">[1]NW!$D$168:$G$168</definedName>
    <definedName name="vangisbergenmarklw">[1]LW!$D$155:$G$155</definedName>
    <definedName name="vanheerdenwikussn">[1]SN!$D$196:$G$196</definedName>
    <definedName name="varndelltomle">[1]LE!$D$177:$G$177</definedName>
    <definedName name="varndelltomlw">[1]LW!$D$157:$G$157</definedName>
    <definedName name="vealemartylw">[1]LW!$D$158:$G$158</definedName>
    <definedName name="vernonrichiesl">[1]SL!$D$214:$G$214</definedName>
    <definedName name="vestysambh">[1]BH!$D$175:$G$175</definedName>
    <definedName name="vestysamle">[1]LE!$D$178:$G$178</definedName>
    <definedName name="vickermandannh">[1]NH!$D$186:$G$186</definedName>
    <definedName name="vickermanrobld">[1]LD!$E$156:$G$156</definedName>
    <definedName name="vickermanrobldcorrect">[1]LD!$D$156:$G$156</definedName>
    <definedName name="vickermanrobnw">[1]NW!$D$170:$G$170</definedName>
    <definedName name="vickersrobnw">[1]NW!$D$171:$G$171</definedName>
    <definedName name="vickeryphilgl">[1]GL!$D$180:$G$180</definedName>
    <definedName name="vickeryphillw">[1]LW!$D$159:$G$159</definedName>
    <definedName name="voycetombh">[1]BH!$D$176:$G$176</definedName>
    <definedName name="voycetomgl">[1]GL!$D$181:$G$181</definedName>
    <definedName name="voycetomlw">[1]LW!$D$161:$G$161</definedName>
    <definedName name="vunipolabillylw">[1]LW!$D$162:$G$162</definedName>
    <definedName name="vunipolamakosn">[1]SN!$D$198:$G$198</definedName>
    <definedName name="vyvyanhughnw">[1]NW!$D$173:$G$173</definedName>
    <definedName name="vyvyanhughsn">[1]SN!$D$199:$G$199</definedName>
    <definedName name="wackettpeteld">[1]LD!$D$157:$G$157</definedName>
    <definedName name="wadechristianlw">[1]LW!$D$163:$G$163</definedName>
    <definedName name="walderdavelw">[1]LW!$D$164:$G$164</definedName>
    <definedName name="walderdavenw">[1]NW!$D$174:$G$174</definedName>
    <definedName name="waldouckdominiclw">[1]LW!$D$165:$G$165</definedName>
    <definedName name="waldromthomasle">[1]LE!$D$179:$G$179</definedName>
    <definedName name="walkeralexnw">[1]NW!$D$175:$G$175</definedName>
    <definedName name="walkeralexsn">[1]SN!$D$200:$G$200</definedName>
    <definedName name="walkercharliehq">[1]HQ!$D$206:$G$206</definedName>
    <definedName name="walkerwilliegl">[1]GL!$D$182:$G$182</definedName>
    <definedName name="walkerwilliewr">[1]WR!$D$123:$G$123</definedName>
    <definedName name="wallacejacklw">[1]LW!$D$166:$G$166</definedName>
    <definedName name="wallacelukehq">[1]HQ!$D$207:$G$207</definedName>
    <definedName name="walleralexnh">[1]NH!$D$190:$G$190</definedName>
    <definedName name="wardjoelw">[1]LW!$D$168:$G$168</definedName>
    <definedName name="wardjoesl">[1]SL!$D$220:$G$220</definedName>
    <definedName name="wardmickynw">[1]NW!$D$177:$G$177</definedName>
    <definedName name="wardsmithdanbs">[1]BS!$D$187:$G$187</definedName>
    <definedName name="wardsmithdanlw">[1]LW!$D$169:$G$169</definedName>
    <definedName name="watsonanthonyli">[1]LI!$D$196:$G$196</definedName>
    <definedName name="watsonlukebhcorrect">[1]BH!$D$181:$G$181</definedName>
    <definedName name="watsonmarcusli">[1]LI!$D$197:$G$197</definedName>
    <definedName name="webberroblw">[1]LW!$D$172:$G$172</definedName>
    <definedName name="welchwillnw">[1]NW!$D$179:$G$179</definedName>
    <definedName name="weldingrichardld">[1]LD!$D$160:$G$160</definedName>
    <definedName name="wellsashleynw">[1]NW!$D$180:$G$180</definedName>
    <definedName name="wentzelmarcold">[1]LD!$D$161:$G$161</definedName>
    <definedName name="wentzelmarcole">[1]LE!$D$182:$G$182</definedName>
    <definedName name="wentzelmarcolw">[1]LW!$D$174:$G$174</definedName>
    <definedName name="whitebenex">[1]EX!$D$47:$G$47</definedName>
    <definedName name="whitedanld">[1]LD!$D$163:$G$163</definedName>
    <definedName name="whiteheadchrisex">[1]EX!$D$48:$G$48</definedName>
    <definedName name="whitejulianbs">[1]BS!$D$189:$G$189</definedName>
    <definedName name="whitejulianle">[1]LE!$D$184:$G$184</definedName>
    <definedName name="whitejuliansn">[1]SN!$D$204:$G$204</definedName>
    <definedName name="wigglesworthrichardsl">[1]SL!$D$223:$G$223</definedName>
    <definedName name="wigglesworthrichardsn">[1]SN!$D$205:$G$205</definedName>
    <definedName name="wihongikarenasale">[1]SL!$D$224:$G$224</definedName>
    <definedName name="WILKINSONJONNYNWPTS">[1]NW!$F$181</definedName>
    <definedName name="williamsandybh">[1]BH!$D$186:$G$186</definedName>
    <definedName name="williamsandygl">[1]GL!$D$186:$G$186</definedName>
    <definedName name="williamsbenbh">[1]BH!$D$187:$G$187</definedName>
    <definedName name="williamsdannynw">[1]NW!$D$183:$G$183</definedName>
    <definedName name="williamsonednw">[1]NW!$D$185:$G$185</definedName>
    <definedName name="williamspaulsale">[1]SL!$D$226:$G$226</definedName>
    <definedName name="williamstomhqcorrect">[1]HQ!$D$215:$G$215</definedName>
    <definedName name="williscilliansl">[1]SL!$D$228:$G$228</definedName>
    <definedName name="wilsonbrentnw">[1]NW!$D$186:$G$186</definedName>
    <definedName name="wilsondavidbhcorrect">[1]BH!$D$188:$G$188</definedName>
    <definedName name="wilsondavidnw">[1]NW!$D$187:$G$187</definedName>
    <definedName name="wilsonmarknw">[1]NW!$D$188:$G$188</definedName>
    <definedName name="wilsonrogernh">[1]NH!$D$193:$G$193</definedName>
    <definedName name="woodburnolliebh">[1]BH!$D$191:$G$191</definedName>
    <definedName name="woodnickgl">[1]GL!$D$189:$G$189</definedName>
    <definedName name="woodsbenle">[1]LE!$D$186:$G$186</definedName>
    <definedName name="woodsbennw">[1]NW!$D$191:$G$191</definedName>
    <definedName name="woodtomnh">[1]NH!$D$194:$G$194</definedName>
    <definedName name="woodtomwr">[1]WR!$D$127:$G$127</definedName>
    <definedName name="worsleyjoelw">[1]LW!$D$178:$G$178</definedName>
    <definedName name="wrayjacksonsn">[1]SN!$D$209:$G$209</definedName>
    <definedName name="wyleschrisnh">[1]NH!$D$196:$G$196</definedName>
    <definedName name="wyleschrissn">[1]SN!$D$210:$G$210</definedName>
    <definedName name="yardemarlandli">[1]LI!$D$205:$G$205</definedName>
    <definedName name="yorkchrishqcorrect">[1]HQ!$D$224:$G$224</definedName>
    <definedName name="youngmickeynw">[1]NW!$D$193:$G$193</definedName>
    <definedName name="youngmickyle">[1]LE!$D$188:$G$188</definedName>
    <definedName name="youngsbenle">[1]LE!$D$189:$G$189</definedName>
    <definedName name="youngstomle">[1]LE!$D$190:$G$190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70" i="23" l="1"/>
  <c r="C270" i="23" s="1"/>
  <c r="B269" i="23"/>
  <c r="C269" i="23" s="1"/>
  <c r="B267" i="23"/>
  <c r="C267" i="23" s="1"/>
  <c r="B266" i="23"/>
  <c r="B265" i="25"/>
  <c r="C265" i="25" s="1"/>
  <c r="B82" i="18"/>
  <c r="B380" i="1"/>
  <c r="C380" i="1" s="1"/>
  <c r="B379" i="1"/>
  <c r="C379" i="1" s="1"/>
  <c r="B377" i="1"/>
  <c r="C377" i="1" s="1"/>
  <c r="C376" i="1"/>
  <c r="B376" i="1"/>
  <c r="B378" i="1" s="1"/>
  <c r="C378" i="1" s="1"/>
  <c r="B260" i="19"/>
  <c r="C260" i="19" s="1"/>
  <c r="B259" i="19"/>
  <c r="C259" i="19" s="1"/>
  <c r="B257" i="19"/>
  <c r="C257" i="19" s="1"/>
  <c r="B256" i="19"/>
  <c r="B311" i="19"/>
  <c r="C311" i="19" s="1"/>
  <c r="B310" i="19"/>
  <c r="C310" i="19" s="1"/>
  <c r="B309" i="19"/>
  <c r="C309" i="19" s="1"/>
  <c r="B307" i="19"/>
  <c r="C307" i="19" s="1"/>
  <c r="B306" i="19"/>
  <c r="B251" i="19"/>
  <c r="B254" i="19"/>
  <c r="C254" i="19" s="1"/>
  <c r="B253" i="19"/>
  <c r="C253" i="19" s="1"/>
  <c r="C251" i="19"/>
  <c r="B250" i="19"/>
  <c r="B22" i="19"/>
  <c r="C22" i="19" s="1"/>
  <c r="B21" i="19"/>
  <c r="C21" i="19" s="1"/>
  <c r="B419" i="23"/>
  <c r="C419" i="23" s="1"/>
  <c r="D163" i="21"/>
  <c r="E163" i="21" s="1"/>
  <c r="B163" i="21"/>
  <c r="C163" i="21" s="1"/>
  <c r="D26" i="21"/>
  <c r="E26" i="21" s="1"/>
  <c r="B26" i="21"/>
  <c r="C26" i="21" s="1"/>
  <c r="D25" i="21"/>
  <c r="E25" i="21" s="1"/>
  <c r="B25" i="21"/>
  <c r="C25" i="21" s="1"/>
  <c r="D23" i="21"/>
  <c r="E23" i="21" s="1"/>
  <c r="B23" i="21"/>
  <c r="C23" i="21" s="1"/>
  <c r="D22" i="21"/>
  <c r="B22" i="21"/>
  <c r="AE421" i="21"/>
  <c r="AD421" i="21"/>
  <c r="AE420" i="21"/>
  <c r="AD420" i="21"/>
  <c r="AE419" i="21"/>
  <c r="AD419" i="21"/>
  <c r="AE418" i="21"/>
  <c r="AD418" i="21"/>
  <c r="H432" i="24"/>
  <c r="I432" i="24" s="1"/>
  <c r="H431" i="24"/>
  <c r="I431" i="24" s="1"/>
  <c r="AF438" i="24"/>
  <c r="AF437" i="24"/>
  <c r="AF436" i="24"/>
  <c r="AF435" i="24"/>
  <c r="AT413" i="17"/>
  <c r="AS413" i="17"/>
  <c r="AR413" i="17"/>
  <c r="AQ413" i="17"/>
  <c r="AT412" i="17"/>
  <c r="AS412" i="17"/>
  <c r="AR412" i="17"/>
  <c r="AQ412" i="17"/>
  <c r="AT411" i="17"/>
  <c r="AS411" i="17"/>
  <c r="AR411" i="17"/>
  <c r="AQ411" i="17"/>
  <c r="AT410" i="17"/>
  <c r="AS410" i="17"/>
  <c r="AR410" i="17"/>
  <c r="AQ410" i="17"/>
  <c r="AD451" i="16"/>
  <c r="AD450" i="16"/>
  <c r="AD449" i="16"/>
  <c r="AD448" i="16"/>
  <c r="C366" i="16"/>
  <c r="B366" i="16"/>
  <c r="C67" i="1"/>
  <c r="C68" i="1"/>
  <c r="B67" i="1"/>
  <c r="C66" i="1"/>
  <c r="B66" i="1"/>
  <c r="AF461" i="18"/>
  <c r="AE461" i="18"/>
  <c r="AD461" i="18"/>
  <c r="AF460" i="18"/>
  <c r="AE460" i="18"/>
  <c r="AD460" i="18"/>
  <c r="AF459" i="18"/>
  <c r="AE459" i="18"/>
  <c r="AD459" i="18"/>
  <c r="AF458" i="18"/>
  <c r="AE458" i="18"/>
  <c r="AD458" i="18"/>
  <c r="AG394" i="20"/>
  <c r="AF394" i="20"/>
  <c r="AG393" i="20"/>
  <c r="AF393" i="20"/>
  <c r="AG392" i="20"/>
  <c r="AF392" i="20"/>
  <c r="AG391" i="20"/>
  <c r="AF391" i="20"/>
  <c r="C349" i="20"/>
  <c r="B349" i="20"/>
  <c r="B226" i="23"/>
  <c r="C226" i="23" s="1"/>
  <c r="B225" i="23"/>
  <c r="C225" i="23" s="1"/>
  <c r="B223" i="23"/>
  <c r="C223" i="23" s="1"/>
  <c r="B222" i="23"/>
  <c r="B307" i="23"/>
  <c r="C307" i="23" s="1"/>
  <c r="B306" i="23"/>
  <c r="C306" i="23" s="1"/>
  <c r="B304" i="23"/>
  <c r="C304" i="23" s="1"/>
  <c r="B303" i="23"/>
  <c r="B360" i="23"/>
  <c r="C360" i="23" s="1"/>
  <c r="B359" i="23"/>
  <c r="C359" i="23" s="1"/>
  <c r="B357" i="23"/>
  <c r="C357" i="23" s="1"/>
  <c r="B356" i="23"/>
  <c r="AH451" i="23"/>
  <c r="AG451" i="23"/>
  <c r="AF451" i="23"/>
  <c r="AE451" i="23"/>
  <c r="AD451" i="23"/>
  <c r="AH450" i="23"/>
  <c r="AG450" i="23"/>
  <c r="AF450" i="23"/>
  <c r="AE450" i="23"/>
  <c r="AD450" i="23"/>
  <c r="AH449" i="23"/>
  <c r="AG449" i="23"/>
  <c r="AF449" i="23"/>
  <c r="AE449" i="23"/>
  <c r="AD449" i="23"/>
  <c r="AH448" i="23"/>
  <c r="AG448" i="23"/>
  <c r="AF448" i="23"/>
  <c r="AE448" i="23"/>
  <c r="AD448" i="23"/>
  <c r="C250" i="23"/>
  <c r="B250" i="23"/>
  <c r="B180" i="23"/>
  <c r="C180" i="23" s="1"/>
  <c r="B357" i="19"/>
  <c r="C357" i="19" s="1"/>
  <c r="B356" i="19"/>
  <c r="C356" i="19" s="1"/>
  <c r="B354" i="19"/>
  <c r="C354" i="19" s="1"/>
  <c r="B353" i="19"/>
  <c r="B82" i="1"/>
  <c r="C82" i="1" s="1"/>
  <c r="B81" i="1"/>
  <c r="C81" i="1" s="1"/>
  <c r="B79" i="1"/>
  <c r="C79" i="1" s="1"/>
  <c r="B78" i="1"/>
  <c r="B374" i="1"/>
  <c r="C374" i="1" s="1"/>
  <c r="B373" i="1"/>
  <c r="C373" i="1" s="1"/>
  <c r="B371" i="1"/>
  <c r="C371" i="1" s="1"/>
  <c r="B370" i="1"/>
  <c r="C179" i="1"/>
  <c r="B178" i="1"/>
  <c r="C178" i="1" s="1"/>
  <c r="B177" i="1"/>
  <c r="C177" i="1" s="1"/>
  <c r="B135" i="1"/>
  <c r="C135" i="1" s="1"/>
  <c r="B134" i="1"/>
  <c r="C134" i="1" s="1"/>
  <c r="B132" i="1"/>
  <c r="B131" i="1"/>
  <c r="C132" i="1"/>
  <c r="B87" i="1"/>
  <c r="C87" i="1" s="1"/>
  <c r="B62" i="17"/>
  <c r="C62" i="17" s="1"/>
  <c r="B61" i="17"/>
  <c r="C61" i="17" s="1"/>
  <c r="B59" i="17"/>
  <c r="C59" i="17" s="1"/>
  <c r="B58" i="17"/>
  <c r="B227" i="19"/>
  <c r="C227" i="19" s="1"/>
  <c r="B298" i="19"/>
  <c r="C298" i="19" s="1"/>
  <c r="B297" i="19"/>
  <c r="C297" i="19" s="1"/>
  <c r="B295" i="19"/>
  <c r="C295" i="19" s="1"/>
  <c r="B294" i="19"/>
  <c r="B351" i="19"/>
  <c r="C351" i="19" s="1"/>
  <c r="B350" i="19"/>
  <c r="C350" i="19" s="1"/>
  <c r="B348" i="19"/>
  <c r="C348" i="19" s="1"/>
  <c r="B347" i="19"/>
  <c r="B411" i="19"/>
  <c r="C411" i="19" s="1"/>
  <c r="B410" i="19"/>
  <c r="C410" i="19" s="1"/>
  <c r="B408" i="19"/>
  <c r="C408" i="19" s="1"/>
  <c r="B407" i="19"/>
  <c r="B461" i="19"/>
  <c r="C461" i="19" s="1"/>
  <c r="B460" i="19"/>
  <c r="C460" i="19" s="1"/>
  <c r="B458" i="19"/>
  <c r="C458" i="19" s="1"/>
  <c r="B457" i="19"/>
  <c r="C87" i="24"/>
  <c r="B87" i="24"/>
  <c r="C86" i="24"/>
  <c r="B86" i="24"/>
  <c r="C84" i="24"/>
  <c r="B84" i="24"/>
  <c r="C83" i="24"/>
  <c r="C85" i="24" s="1"/>
  <c r="B83" i="24"/>
  <c r="B85" i="24" s="1"/>
  <c r="C341" i="24"/>
  <c r="B341" i="24"/>
  <c r="C340" i="24"/>
  <c r="B340" i="24"/>
  <c r="C338" i="24"/>
  <c r="B338" i="24"/>
  <c r="C337" i="24"/>
  <c r="C339" i="24" s="1"/>
  <c r="B337" i="24"/>
  <c r="B339" i="24" s="1"/>
  <c r="C256" i="24"/>
  <c r="C255" i="24"/>
  <c r="B256" i="24"/>
  <c r="B255" i="24"/>
  <c r="C259" i="24"/>
  <c r="B259" i="24"/>
  <c r="C258" i="24"/>
  <c r="B258" i="24"/>
  <c r="C257" i="24"/>
  <c r="B257" i="24"/>
  <c r="B61" i="20"/>
  <c r="C61" i="20" s="1"/>
  <c r="C254" i="25"/>
  <c r="B254" i="25"/>
  <c r="C253" i="25"/>
  <c r="B253" i="25"/>
  <c r="C251" i="25"/>
  <c r="B251" i="25"/>
  <c r="C250" i="25"/>
  <c r="C252" i="25" s="1"/>
  <c r="B250" i="25"/>
  <c r="B252" i="25" s="1"/>
  <c r="D387" i="21"/>
  <c r="E387" i="21" s="1"/>
  <c r="B387" i="21"/>
  <c r="C387" i="21" s="1"/>
  <c r="D386" i="21"/>
  <c r="E386" i="21" s="1"/>
  <c r="B386" i="21"/>
  <c r="C386" i="21" s="1"/>
  <c r="D384" i="21"/>
  <c r="E384" i="21" s="1"/>
  <c r="B384" i="21"/>
  <c r="C384" i="21" s="1"/>
  <c r="D383" i="21"/>
  <c r="B383" i="21"/>
  <c r="B315" i="18"/>
  <c r="C315" i="18" s="1"/>
  <c r="C314" i="18"/>
  <c r="B314" i="18"/>
  <c r="B312" i="18"/>
  <c r="C312" i="18" s="1"/>
  <c r="B311" i="18"/>
  <c r="C311" i="18" s="1"/>
  <c r="C44" i="16"/>
  <c r="B44" i="16"/>
  <c r="C43" i="16"/>
  <c r="B43" i="16"/>
  <c r="C41" i="16"/>
  <c r="B41" i="16"/>
  <c r="C40" i="16"/>
  <c r="C42" i="16" s="1"/>
  <c r="B40" i="16"/>
  <c r="B42" i="16" s="1"/>
  <c r="C38" i="16"/>
  <c r="B38" i="16"/>
  <c r="C37" i="16"/>
  <c r="B37" i="16"/>
  <c r="C35" i="16"/>
  <c r="B35" i="16"/>
  <c r="C34" i="16"/>
  <c r="C36" i="16" s="1"/>
  <c r="B34" i="16"/>
  <c r="B36" i="16" s="1"/>
  <c r="B302" i="17"/>
  <c r="C302" i="17" s="1"/>
  <c r="B85" i="17"/>
  <c r="C85" i="17" s="1"/>
  <c r="B182" i="20"/>
  <c r="C182" i="20" s="1"/>
  <c r="B181" i="20"/>
  <c r="C181" i="20" s="1"/>
  <c r="B179" i="20"/>
  <c r="C179" i="20" s="1"/>
  <c r="B178" i="20"/>
  <c r="C320" i="20"/>
  <c r="B320" i="20"/>
  <c r="C319" i="20"/>
  <c r="B319" i="20"/>
  <c r="C317" i="20"/>
  <c r="B317" i="20"/>
  <c r="C316" i="20"/>
  <c r="C318" i="20" s="1"/>
  <c r="B316" i="20"/>
  <c r="AD394" i="20"/>
  <c r="AD393" i="20"/>
  <c r="AD392" i="20"/>
  <c r="AD391" i="20"/>
  <c r="H388" i="20"/>
  <c r="I388" i="20" s="1"/>
  <c r="H387" i="20"/>
  <c r="I387" i="20" s="1"/>
  <c r="H386" i="20"/>
  <c r="H385" i="20"/>
  <c r="I385" i="20" s="1"/>
  <c r="D59" i="21"/>
  <c r="E59" i="21" s="1"/>
  <c r="B59" i="21"/>
  <c r="C59" i="21" s="1"/>
  <c r="D58" i="21"/>
  <c r="E58" i="21" s="1"/>
  <c r="B58" i="21"/>
  <c r="C58" i="21" s="1"/>
  <c r="D56" i="21"/>
  <c r="E56" i="21" s="1"/>
  <c r="B56" i="21"/>
  <c r="D55" i="21"/>
  <c r="E55" i="21" s="1"/>
  <c r="B55" i="21"/>
  <c r="C55" i="21" s="1"/>
  <c r="B110" i="23"/>
  <c r="B114" i="23"/>
  <c r="C114" i="23" s="1"/>
  <c r="B113" i="23"/>
  <c r="C113" i="23" s="1"/>
  <c r="B111" i="23"/>
  <c r="C111" i="23" s="1"/>
  <c r="B112" i="23"/>
  <c r="C112" i="23" s="1"/>
  <c r="B408" i="23"/>
  <c r="C408" i="23" s="1"/>
  <c r="B407" i="23"/>
  <c r="C407" i="23" s="1"/>
  <c r="B405" i="23"/>
  <c r="C405" i="23" s="1"/>
  <c r="B404" i="23"/>
  <c r="B406" i="23" s="1"/>
  <c r="C406" i="23" s="1"/>
  <c r="B410" i="23"/>
  <c r="B414" i="23"/>
  <c r="C414" i="23" s="1"/>
  <c r="B413" i="23"/>
  <c r="C413" i="23" s="1"/>
  <c r="B411" i="23"/>
  <c r="C411" i="23" s="1"/>
  <c r="C81" i="24"/>
  <c r="B81" i="24"/>
  <c r="C80" i="24"/>
  <c r="B80" i="24"/>
  <c r="C78" i="24"/>
  <c r="B78" i="24"/>
  <c r="C77" i="24"/>
  <c r="C79" i="24" s="1"/>
  <c r="B77" i="24"/>
  <c r="B79" i="24" s="1"/>
  <c r="H430" i="24"/>
  <c r="H429" i="24"/>
  <c r="I429" i="24" s="1"/>
  <c r="C420" i="24"/>
  <c r="B420" i="24"/>
  <c r="B327" i="24"/>
  <c r="C327" i="24"/>
  <c r="C354" i="25"/>
  <c r="C353" i="25"/>
  <c r="C351" i="25"/>
  <c r="C350" i="25"/>
  <c r="C352" i="25" s="1"/>
  <c r="B354" i="25"/>
  <c r="B353" i="25"/>
  <c r="B351" i="25"/>
  <c r="B350" i="25"/>
  <c r="AB419" i="25"/>
  <c r="AB418" i="25"/>
  <c r="AB417" i="25"/>
  <c r="AB416" i="25"/>
  <c r="B367" i="25"/>
  <c r="C367" i="25" s="1"/>
  <c r="C245" i="25"/>
  <c r="C244" i="25"/>
  <c r="C248" i="25"/>
  <c r="B248" i="25"/>
  <c r="C247" i="25"/>
  <c r="B247" i="25"/>
  <c r="B245" i="25"/>
  <c r="B244" i="25"/>
  <c r="B42" i="25"/>
  <c r="C42" i="25" s="1"/>
  <c r="G496" i="19"/>
  <c r="G495" i="19"/>
  <c r="G494" i="19"/>
  <c r="G493" i="19"/>
  <c r="B154" i="25"/>
  <c r="C154" i="25" s="1"/>
  <c r="B476" i="1"/>
  <c r="C476" i="1" s="1"/>
  <c r="B477" i="1"/>
  <c r="C37" i="24"/>
  <c r="B37" i="24"/>
  <c r="B57" i="23"/>
  <c r="C57" i="23" s="1"/>
  <c r="B269" i="18"/>
  <c r="C269" i="18" s="1"/>
  <c r="B87" i="17"/>
  <c r="C87" i="17" s="1"/>
  <c r="B86" i="17"/>
  <c r="C86" i="17" s="1"/>
  <c r="B83" i="17"/>
  <c r="C83" i="17" s="1"/>
  <c r="B82" i="17"/>
  <c r="B288" i="17"/>
  <c r="C288" i="17"/>
  <c r="E342" i="21"/>
  <c r="C342" i="21"/>
  <c r="B342" i="21"/>
  <c r="D342" i="21"/>
  <c r="D137" i="21"/>
  <c r="D136" i="21"/>
  <c r="B366" i="25"/>
  <c r="C366" i="25" s="1"/>
  <c r="B333" i="25"/>
  <c r="C333" i="25" s="1"/>
  <c r="C306" i="20"/>
  <c r="B306" i="20"/>
  <c r="C92" i="20"/>
  <c r="B92" i="20"/>
  <c r="E432" i="24"/>
  <c r="E431" i="24"/>
  <c r="E430" i="24"/>
  <c r="E429" i="24"/>
  <c r="C206" i="23"/>
  <c r="B206" i="23"/>
  <c r="B144" i="23"/>
  <c r="C144" i="23"/>
  <c r="E161" i="21"/>
  <c r="E160" i="21"/>
  <c r="E189" i="21"/>
  <c r="E188" i="21"/>
  <c r="E247" i="21"/>
  <c r="E246" i="21"/>
  <c r="D363" i="21"/>
  <c r="E363" i="21" s="1"/>
  <c r="D362" i="21"/>
  <c r="E362" i="21" s="1"/>
  <c r="C139" i="21"/>
  <c r="E139" i="21"/>
  <c r="D139" i="21"/>
  <c r="B139" i="21"/>
  <c r="E33" i="21"/>
  <c r="E32" i="21"/>
  <c r="E28" i="21"/>
  <c r="C115" i="16"/>
  <c r="C114" i="16"/>
  <c r="C113" i="16"/>
  <c r="B110" i="16"/>
  <c r="C110" i="16"/>
  <c r="C111" i="16"/>
  <c r="C56" i="16"/>
  <c r="B56" i="16"/>
  <c r="C18" i="16"/>
  <c r="B18" i="16"/>
  <c r="B314" i="23"/>
  <c r="C314" i="23" s="1"/>
  <c r="B321" i="18"/>
  <c r="C321" i="18" s="1"/>
  <c r="B320" i="18"/>
  <c r="C320" i="18" s="1"/>
  <c r="B318" i="18"/>
  <c r="C318" i="18" s="1"/>
  <c r="B317" i="18"/>
  <c r="C106" i="18"/>
  <c r="B106" i="18"/>
  <c r="C326" i="25"/>
  <c r="B326" i="25"/>
  <c r="B47" i="1"/>
  <c r="C47" i="1" s="1"/>
  <c r="D398" i="21"/>
  <c r="E398" i="21" s="1"/>
  <c r="B398" i="21"/>
  <c r="C398" i="21" s="1"/>
  <c r="B346" i="23"/>
  <c r="C346" i="23" s="1"/>
  <c r="B28" i="23"/>
  <c r="C28" i="23" s="1"/>
  <c r="C335" i="16"/>
  <c r="B335" i="16"/>
  <c r="C238" i="24"/>
  <c r="B384" i="18"/>
  <c r="C384" i="18" s="1"/>
  <c r="C8" i="16"/>
  <c r="B8" i="16"/>
  <c r="C396" i="16"/>
  <c r="B396" i="16"/>
  <c r="C143" i="16"/>
  <c r="B143" i="16"/>
  <c r="B60" i="20"/>
  <c r="C60" i="20" s="1"/>
  <c r="B106" i="23"/>
  <c r="C106" i="23" s="1"/>
  <c r="C377" i="20"/>
  <c r="B377" i="20"/>
  <c r="C305" i="20"/>
  <c r="B305" i="20"/>
  <c r="F388" i="20"/>
  <c r="G388" i="20" s="1"/>
  <c r="F387" i="20"/>
  <c r="G387" i="20" s="1"/>
  <c r="F386" i="20"/>
  <c r="F385" i="20"/>
  <c r="G385" i="20" s="1"/>
  <c r="E388" i="20"/>
  <c r="E387" i="20"/>
  <c r="E386" i="20"/>
  <c r="E385" i="20"/>
  <c r="B388" i="20"/>
  <c r="C388" i="20" s="1"/>
  <c r="B387" i="20"/>
  <c r="C387" i="20" s="1"/>
  <c r="B386" i="20"/>
  <c r="B385" i="20"/>
  <c r="C385" i="20" s="1"/>
  <c r="B374" i="25"/>
  <c r="C374" i="25" s="1"/>
  <c r="B266" i="25"/>
  <c r="C266" i="25" s="1"/>
  <c r="H479" i="1"/>
  <c r="I479" i="1" s="1"/>
  <c r="H478" i="1"/>
  <c r="H477" i="1"/>
  <c r="I477" i="1" s="1"/>
  <c r="H476" i="1"/>
  <c r="I476" i="1" s="1"/>
  <c r="G479" i="1"/>
  <c r="G478" i="1"/>
  <c r="G477" i="1"/>
  <c r="G476" i="1"/>
  <c r="F480" i="1"/>
  <c r="E479" i="1"/>
  <c r="E478" i="1"/>
  <c r="E477" i="1"/>
  <c r="E476" i="1"/>
  <c r="D479" i="1"/>
  <c r="D478" i="1"/>
  <c r="D477" i="1"/>
  <c r="D476" i="1"/>
  <c r="C339" i="18"/>
  <c r="B339" i="18"/>
  <c r="D429" i="24"/>
  <c r="G432" i="24"/>
  <c r="G431" i="24"/>
  <c r="G430" i="24"/>
  <c r="G429" i="24"/>
  <c r="D431" i="24"/>
  <c r="D432" i="24"/>
  <c r="B429" i="24"/>
  <c r="C429" i="24" s="1"/>
  <c r="D430" i="24"/>
  <c r="F433" i="24"/>
  <c r="G433" i="24" s="1"/>
  <c r="B432" i="24"/>
  <c r="C432" i="24" s="1"/>
  <c r="B431" i="24"/>
  <c r="C431" i="24" s="1"/>
  <c r="B430" i="24"/>
  <c r="D361" i="21"/>
  <c r="D360" i="21"/>
  <c r="E360" i="21" s="1"/>
  <c r="D359" i="21"/>
  <c r="E359" i="21" s="1"/>
  <c r="E361" i="21"/>
  <c r="B397" i="25"/>
  <c r="C397" i="25" s="1"/>
  <c r="B396" i="25"/>
  <c r="C396" i="25" s="1"/>
  <c r="B394" i="25"/>
  <c r="C394" i="25" s="1"/>
  <c r="B393" i="25"/>
  <c r="B376" i="25"/>
  <c r="C376" i="25" s="1"/>
  <c r="B375" i="25"/>
  <c r="C375" i="25" s="1"/>
  <c r="B372" i="25"/>
  <c r="C372" i="25" s="1"/>
  <c r="B371" i="25"/>
  <c r="B369" i="25"/>
  <c r="C369" i="25" s="1"/>
  <c r="B368" i="25"/>
  <c r="C368" i="25" s="1"/>
  <c r="B364" i="25"/>
  <c r="C364" i="25" s="1"/>
  <c r="B363" i="25"/>
  <c r="B231" i="25"/>
  <c r="C231" i="25" s="1"/>
  <c r="B234" i="25"/>
  <c r="C234" i="25" s="1"/>
  <c r="B233" i="25"/>
  <c r="C233" i="25" s="1"/>
  <c r="B230" i="25"/>
  <c r="B177" i="25"/>
  <c r="C177" i="25" s="1"/>
  <c r="B176" i="25"/>
  <c r="C176" i="25" s="1"/>
  <c r="B174" i="25"/>
  <c r="C174" i="25" s="1"/>
  <c r="B173" i="25"/>
  <c r="B171" i="25"/>
  <c r="C171" i="25" s="1"/>
  <c r="B170" i="25"/>
  <c r="C170" i="25" s="1"/>
  <c r="B168" i="25"/>
  <c r="C168" i="25" s="1"/>
  <c r="B167" i="25"/>
  <c r="B156" i="25"/>
  <c r="C156" i="25" s="1"/>
  <c r="B155" i="25"/>
  <c r="C155" i="25" s="1"/>
  <c r="B152" i="25"/>
  <c r="C152" i="25" s="1"/>
  <c r="B151" i="25"/>
  <c r="B143" i="25"/>
  <c r="C143" i="25" s="1"/>
  <c r="B142" i="25"/>
  <c r="C142" i="25" s="1"/>
  <c r="B140" i="25"/>
  <c r="C140" i="25" s="1"/>
  <c r="B139" i="25"/>
  <c r="B137" i="25"/>
  <c r="C137" i="25" s="1"/>
  <c r="B136" i="25"/>
  <c r="B123" i="25"/>
  <c r="C123" i="25" s="1"/>
  <c r="B122" i="25"/>
  <c r="C122" i="25" s="1"/>
  <c r="B120" i="25"/>
  <c r="C120" i="25" s="1"/>
  <c r="B119" i="25"/>
  <c r="B117" i="25"/>
  <c r="C117" i="25" s="1"/>
  <c r="B116" i="25"/>
  <c r="C116" i="25" s="1"/>
  <c r="B114" i="25"/>
  <c r="C114" i="25" s="1"/>
  <c r="B113" i="25"/>
  <c r="B91" i="25"/>
  <c r="C91" i="25" s="1"/>
  <c r="B90" i="25"/>
  <c r="B94" i="25"/>
  <c r="C94" i="25" s="1"/>
  <c r="B93" i="25"/>
  <c r="C93" i="25" s="1"/>
  <c r="B88" i="25"/>
  <c r="C88" i="25" s="1"/>
  <c r="B87" i="25"/>
  <c r="C87" i="25" s="1"/>
  <c r="B85" i="25"/>
  <c r="C85" i="25" s="1"/>
  <c r="B84" i="25"/>
  <c r="B82" i="25"/>
  <c r="C82" i="25" s="1"/>
  <c r="B81" i="25"/>
  <c r="C81" i="25" s="1"/>
  <c r="B79" i="25"/>
  <c r="C79" i="25" s="1"/>
  <c r="B78" i="25"/>
  <c r="B63" i="25"/>
  <c r="C63" i="25" s="1"/>
  <c r="B62" i="25"/>
  <c r="C62" i="25" s="1"/>
  <c r="B60" i="25"/>
  <c r="C60" i="25" s="1"/>
  <c r="B59" i="25"/>
  <c r="B50" i="25"/>
  <c r="C50" i="25" s="1"/>
  <c r="B49" i="25"/>
  <c r="C49" i="25" s="1"/>
  <c r="B47" i="25"/>
  <c r="C47" i="25" s="1"/>
  <c r="B46" i="25"/>
  <c r="B44" i="25"/>
  <c r="C44" i="25" s="1"/>
  <c r="B43" i="25"/>
  <c r="C43" i="25" s="1"/>
  <c r="B40" i="25"/>
  <c r="C40" i="25" s="1"/>
  <c r="B39" i="25"/>
  <c r="B16" i="25"/>
  <c r="C16" i="25" s="1"/>
  <c r="B15" i="25"/>
  <c r="C15" i="25" s="1"/>
  <c r="B13" i="25"/>
  <c r="C13" i="25" s="1"/>
  <c r="B12" i="25"/>
  <c r="C10" i="25"/>
  <c r="C9" i="25"/>
  <c r="C6" i="25"/>
  <c r="C5" i="25"/>
  <c r="B10" i="25"/>
  <c r="B9" i="25"/>
  <c r="C8" i="25"/>
  <c r="B8" i="25"/>
  <c r="B6" i="25"/>
  <c r="B5" i="25"/>
  <c r="C30" i="25"/>
  <c r="C29" i="25"/>
  <c r="C28" i="25"/>
  <c r="C26" i="25"/>
  <c r="C25" i="25"/>
  <c r="B30" i="25"/>
  <c r="B29" i="25"/>
  <c r="B28" i="25"/>
  <c r="B26" i="25"/>
  <c r="B25" i="25"/>
  <c r="B315" i="25"/>
  <c r="C315" i="25" s="1"/>
  <c r="B314" i="25"/>
  <c r="C314" i="25" s="1"/>
  <c r="B312" i="25"/>
  <c r="C312" i="25" s="1"/>
  <c r="B311" i="25"/>
  <c r="C165" i="25"/>
  <c r="C164" i="25"/>
  <c r="C162" i="25"/>
  <c r="C159" i="25"/>
  <c r="C158" i="25"/>
  <c r="B165" i="25"/>
  <c r="B164" i="25"/>
  <c r="B162" i="25"/>
  <c r="B159" i="25"/>
  <c r="B158" i="25"/>
  <c r="C161" i="25"/>
  <c r="B161" i="25"/>
  <c r="B76" i="25"/>
  <c r="C76" i="25" s="1"/>
  <c r="B75" i="25"/>
  <c r="C75" i="25" s="1"/>
  <c r="B72" i="25"/>
  <c r="C72" i="25" s="1"/>
  <c r="B71" i="25"/>
  <c r="B74" i="25"/>
  <c r="C74" i="25" s="1"/>
  <c r="B309" i="25"/>
  <c r="C309" i="25" s="1"/>
  <c r="B308" i="25"/>
  <c r="C308" i="25" s="1"/>
  <c r="B306" i="25"/>
  <c r="C306" i="25" s="1"/>
  <c r="B305" i="25"/>
  <c r="B219" i="25"/>
  <c r="C219" i="25" s="1"/>
  <c r="B222" i="25"/>
  <c r="C222" i="25" s="1"/>
  <c r="B221" i="25"/>
  <c r="C221" i="25" s="1"/>
  <c r="B218" i="25"/>
  <c r="C216" i="25"/>
  <c r="C215" i="25"/>
  <c r="C214" i="25"/>
  <c r="C213" i="25"/>
  <c r="C211" i="25"/>
  <c r="C210" i="25"/>
  <c r="B216" i="25"/>
  <c r="B215" i="25"/>
  <c r="B214" i="25"/>
  <c r="B213" i="25"/>
  <c r="B211" i="25"/>
  <c r="B210" i="25"/>
  <c r="C23" i="25"/>
  <c r="C22" i="25"/>
  <c r="C21" i="25"/>
  <c r="C19" i="25"/>
  <c r="C18" i="25"/>
  <c r="B23" i="25"/>
  <c r="B22" i="25"/>
  <c r="B21" i="25"/>
  <c r="B19" i="25"/>
  <c r="B18" i="25"/>
  <c r="C384" i="25"/>
  <c r="C383" i="25"/>
  <c r="C382" i="25"/>
  <c r="C381" i="25"/>
  <c r="C379" i="25"/>
  <c r="C378" i="25"/>
  <c r="B384" i="25"/>
  <c r="B383" i="25"/>
  <c r="B382" i="25"/>
  <c r="B379" i="25"/>
  <c r="B378" i="25"/>
  <c r="B381" i="25"/>
  <c r="C242" i="25"/>
  <c r="C241" i="25"/>
  <c r="C240" i="25"/>
  <c r="C239" i="25"/>
  <c r="C237" i="25"/>
  <c r="C236" i="25"/>
  <c r="B242" i="25"/>
  <c r="B241" i="25"/>
  <c r="B240" i="25"/>
  <c r="B239" i="25"/>
  <c r="B237" i="25"/>
  <c r="B236" i="25"/>
  <c r="C199" i="25"/>
  <c r="C198" i="25"/>
  <c r="C202" i="25"/>
  <c r="B202" i="25"/>
  <c r="B199" i="25"/>
  <c r="B198" i="25"/>
  <c r="C201" i="25"/>
  <c r="B201" i="25"/>
  <c r="C391" i="25"/>
  <c r="C390" i="25"/>
  <c r="C387" i="25"/>
  <c r="C386" i="25"/>
  <c r="B391" i="25"/>
  <c r="B390" i="25"/>
  <c r="C389" i="25"/>
  <c r="B389" i="25"/>
  <c r="B387" i="25"/>
  <c r="B386" i="25"/>
  <c r="B348" i="25"/>
  <c r="C348" i="25" s="1"/>
  <c r="B347" i="25"/>
  <c r="C347" i="25" s="1"/>
  <c r="B346" i="25"/>
  <c r="C346" i="25" s="1"/>
  <c r="B344" i="25"/>
  <c r="C344" i="25" s="1"/>
  <c r="B343" i="25"/>
  <c r="C361" i="25"/>
  <c r="C360" i="25"/>
  <c r="C359" i="25"/>
  <c r="C357" i="25"/>
  <c r="C356" i="25"/>
  <c r="B361" i="25"/>
  <c r="B360" i="25"/>
  <c r="B359" i="25"/>
  <c r="B357" i="25"/>
  <c r="B356" i="25"/>
  <c r="B341" i="25"/>
  <c r="C341" i="25" s="1"/>
  <c r="B340" i="25"/>
  <c r="C340" i="25" s="1"/>
  <c r="B338" i="25"/>
  <c r="C338" i="25" s="1"/>
  <c r="B337" i="25"/>
  <c r="C337" i="25" s="1"/>
  <c r="C324" i="25"/>
  <c r="C323" i="25"/>
  <c r="B324" i="25"/>
  <c r="B323" i="25"/>
  <c r="C328" i="25"/>
  <c r="B328" i="25"/>
  <c r="C327" i="25"/>
  <c r="B327" i="25"/>
  <c r="C37" i="25"/>
  <c r="C36" i="25"/>
  <c r="C35" i="25"/>
  <c r="C33" i="25"/>
  <c r="C32" i="25"/>
  <c r="B36" i="25"/>
  <c r="B35" i="25"/>
  <c r="B33" i="25"/>
  <c r="B32" i="25"/>
  <c r="B37" i="25"/>
  <c r="C303" i="25"/>
  <c r="C302" i="25"/>
  <c r="C301" i="25"/>
  <c r="C299" i="25"/>
  <c r="C298" i="25"/>
  <c r="B303" i="25"/>
  <c r="B302" i="25"/>
  <c r="B299" i="25"/>
  <c r="B298" i="25"/>
  <c r="B301" i="25"/>
  <c r="B228" i="25"/>
  <c r="C228" i="25" s="1"/>
  <c r="B227" i="25"/>
  <c r="C227" i="25" s="1"/>
  <c r="B225" i="25"/>
  <c r="C225" i="25" s="1"/>
  <c r="B224" i="25"/>
  <c r="B111" i="25"/>
  <c r="C111" i="25" s="1"/>
  <c r="B110" i="25"/>
  <c r="C110" i="25" s="1"/>
  <c r="B109" i="25"/>
  <c r="C109" i="25" s="1"/>
  <c r="B107" i="25"/>
  <c r="C107" i="25" s="1"/>
  <c r="B106" i="25"/>
  <c r="B104" i="25"/>
  <c r="C104" i="25" s="1"/>
  <c r="B103" i="25"/>
  <c r="B331" i="25"/>
  <c r="C331" i="25" s="1"/>
  <c r="B330" i="25"/>
  <c r="B335" i="25"/>
  <c r="C335" i="25" s="1"/>
  <c r="B334" i="25"/>
  <c r="C334" i="25" s="1"/>
  <c r="B268" i="25"/>
  <c r="C268" i="25" s="1"/>
  <c r="B267" i="25"/>
  <c r="C267" i="25" s="1"/>
  <c r="B263" i="25"/>
  <c r="C263" i="25" s="1"/>
  <c r="B262" i="25"/>
  <c r="B257" i="25"/>
  <c r="B256" i="25"/>
  <c r="C257" i="25"/>
  <c r="C256" i="25"/>
  <c r="C260" i="25"/>
  <c r="B260" i="25"/>
  <c r="C259" i="25"/>
  <c r="B259" i="25"/>
  <c r="B149" i="25"/>
  <c r="C149" i="25" s="1"/>
  <c r="B148" i="25"/>
  <c r="C148" i="25" s="1"/>
  <c r="B146" i="25"/>
  <c r="B145" i="25"/>
  <c r="C145" i="25" s="1"/>
  <c r="C69" i="25"/>
  <c r="C68" i="25"/>
  <c r="C66" i="25"/>
  <c r="C65" i="25"/>
  <c r="B69" i="25"/>
  <c r="B68" i="25"/>
  <c r="B65" i="25"/>
  <c r="B66" i="25"/>
  <c r="B96" i="25"/>
  <c r="C285" i="25"/>
  <c r="C284" i="25"/>
  <c r="B285" i="25"/>
  <c r="B284" i="25"/>
  <c r="C289" i="25"/>
  <c r="B289" i="25"/>
  <c r="C288" i="25"/>
  <c r="B288" i="25"/>
  <c r="C287" i="25"/>
  <c r="B287" i="25"/>
  <c r="C193" i="25"/>
  <c r="C192" i="25"/>
  <c r="B193" i="25"/>
  <c r="B192" i="25"/>
  <c r="C196" i="25"/>
  <c r="B196" i="25"/>
  <c r="C195" i="25"/>
  <c r="B195" i="25"/>
  <c r="B183" i="25"/>
  <c r="C183" i="25" s="1"/>
  <c r="B180" i="25"/>
  <c r="C180" i="25" s="1"/>
  <c r="B179" i="25"/>
  <c r="B182" i="25"/>
  <c r="C182" i="25" s="1"/>
  <c r="B134" i="25"/>
  <c r="C134" i="25" s="1"/>
  <c r="B133" i="25"/>
  <c r="C133" i="25" s="1"/>
  <c r="B131" i="25"/>
  <c r="C131" i="25" s="1"/>
  <c r="B130" i="25"/>
  <c r="B128" i="25"/>
  <c r="C128" i="25" s="1"/>
  <c r="B126" i="25"/>
  <c r="B125" i="25"/>
  <c r="C125" i="25" s="1"/>
  <c r="B129" i="25"/>
  <c r="C129" i="25" s="1"/>
  <c r="C296" i="25"/>
  <c r="C295" i="25"/>
  <c r="C294" i="25"/>
  <c r="C292" i="25"/>
  <c r="C291" i="25"/>
  <c r="B296" i="25"/>
  <c r="B295" i="25"/>
  <c r="B294" i="25"/>
  <c r="B292" i="25"/>
  <c r="B291" i="25"/>
  <c r="C101" i="25"/>
  <c r="C100" i="25"/>
  <c r="C99" i="25"/>
  <c r="C97" i="25"/>
  <c r="C96" i="25"/>
  <c r="B101" i="25"/>
  <c r="B100" i="25"/>
  <c r="B97" i="25"/>
  <c r="B99" i="25"/>
  <c r="C282" i="25"/>
  <c r="C281" i="25"/>
  <c r="C280" i="25"/>
  <c r="C278" i="25"/>
  <c r="C277" i="25"/>
  <c r="B282" i="25"/>
  <c r="B281" i="25"/>
  <c r="B280" i="25"/>
  <c r="B278" i="25"/>
  <c r="B277" i="25"/>
  <c r="B190" i="25"/>
  <c r="C190" i="25" s="1"/>
  <c r="B189" i="25"/>
  <c r="C189" i="25" s="1"/>
  <c r="B188" i="25"/>
  <c r="C188" i="25" s="1"/>
  <c r="B186" i="25"/>
  <c r="C186" i="25" s="1"/>
  <c r="B185" i="25"/>
  <c r="C208" i="25"/>
  <c r="C207" i="25"/>
  <c r="C205" i="25"/>
  <c r="C204" i="25"/>
  <c r="B205" i="25"/>
  <c r="B204" i="25"/>
  <c r="B208" i="25"/>
  <c r="B207" i="25"/>
  <c r="B321" i="25"/>
  <c r="C321" i="25" s="1"/>
  <c r="B320" i="25"/>
  <c r="C320" i="25" s="1"/>
  <c r="B318" i="25"/>
  <c r="C318" i="25" s="1"/>
  <c r="B317" i="25"/>
  <c r="B57" i="25"/>
  <c r="C57" i="25" s="1"/>
  <c r="B56" i="25"/>
  <c r="C56" i="25" s="1"/>
  <c r="B55" i="25"/>
  <c r="C55" i="25" s="1"/>
  <c r="B53" i="25"/>
  <c r="C53" i="25" s="1"/>
  <c r="B52" i="25"/>
  <c r="E445" i="16"/>
  <c r="E444" i="16"/>
  <c r="E443" i="16"/>
  <c r="E442" i="16"/>
  <c r="G446" i="16"/>
  <c r="F446" i="16"/>
  <c r="D445" i="16"/>
  <c r="D444" i="16"/>
  <c r="D443" i="16"/>
  <c r="D442" i="16"/>
  <c r="B445" i="16"/>
  <c r="C445" i="16" s="1"/>
  <c r="B444" i="16"/>
  <c r="C444" i="16" s="1"/>
  <c r="B443" i="16"/>
  <c r="C443" i="16" s="1"/>
  <c r="B442" i="16"/>
  <c r="C442" i="16" s="1"/>
  <c r="B479" i="19"/>
  <c r="C479" i="19" s="1"/>
  <c r="B478" i="19"/>
  <c r="C478" i="19" s="1"/>
  <c r="B476" i="19"/>
  <c r="C476" i="19" s="1"/>
  <c r="B475" i="19"/>
  <c r="B473" i="19"/>
  <c r="C473" i="19" s="1"/>
  <c r="B472" i="19"/>
  <c r="C472" i="19" s="1"/>
  <c r="B470" i="19"/>
  <c r="C470" i="19" s="1"/>
  <c r="B469" i="19"/>
  <c r="B467" i="19"/>
  <c r="C467" i="19" s="1"/>
  <c r="B466" i="19"/>
  <c r="C466" i="19" s="1"/>
  <c r="B464" i="19"/>
  <c r="C464" i="19" s="1"/>
  <c r="B463" i="19"/>
  <c r="B455" i="19"/>
  <c r="C455" i="19" s="1"/>
  <c r="B454" i="19"/>
  <c r="C454" i="19" s="1"/>
  <c r="B452" i="19"/>
  <c r="C452" i="19" s="1"/>
  <c r="B451" i="19"/>
  <c r="B405" i="19"/>
  <c r="C405" i="19" s="1"/>
  <c r="B404" i="19"/>
  <c r="C404" i="19" s="1"/>
  <c r="B402" i="19"/>
  <c r="C402" i="19" s="1"/>
  <c r="B401" i="19"/>
  <c r="B393" i="19"/>
  <c r="C393" i="19" s="1"/>
  <c r="B392" i="19"/>
  <c r="C392" i="19" s="1"/>
  <c r="B391" i="19"/>
  <c r="C391" i="19" s="1"/>
  <c r="B389" i="19"/>
  <c r="C389" i="19" s="1"/>
  <c r="B388" i="19"/>
  <c r="B386" i="19"/>
  <c r="C386" i="19" s="1"/>
  <c r="B385" i="19"/>
  <c r="C385" i="19" s="1"/>
  <c r="B383" i="19"/>
  <c r="C383" i="19" s="1"/>
  <c r="B382" i="19"/>
  <c r="B345" i="19"/>
  <c r="C345" i="19" s="1"/>
  <c r="B344" i="19"/>
  <c r="C344" i="19" s="1"/>
  <c r="B342" i="19"/>
  <c r="C342" i="19" s="1"/>
  <c r="B341" i="19"/>
  <c r="B325" i="19"/>
  <c r="C325" i="19" s="1"/>
  <c r="B324" i="19"/>
  <c r="C324" i="19" s="1"/>
  <c r="B322" i="19"/>
  <c r="C322" i="19" s="1"/>
  <c r="B321" i="19"/>
  <c r="B292" i="19"/>
  <c r="C292" i="19" s="1"/>
  <c r="B291" i="19"/>
  <c r="C291" i="19" s="1"/>
  <c r="B289" i="19"/>
  <c r="C289" i="19" s="1"/>
  <c r="B288" i="19"/>
  <c r="B286" i="19"/>
  <c r="C286" i="19" s="1"/>
  <c r="B285" i="19"/>
  <c r="C285" i="19" s="1"/>
  <c r="B283" i="19"/>
  <c r="C283" i="19" s="1"/>
  <c r="B282" i="19"/>
  <c r="B280" i="19"/>
  <c r="C280" i="19" s="1"/>
  <c r="B279" i="19"/>
  <c r="C279" i="19" s="1"/>
  <c r="B277" i="19"/>
  <c r="C277" i="19" s="1"/>
  <c r="B276" i="19"/>
  <c r="B242" i="19"/>
  <c r="C242" i="19" s="1"/>
  <c r="B241" i="19"/>
  <c r="C241" i="19" s="1"/>
  <c r="B239" i="19"/>
  <c r="C239" i="19" s="1"/>
  <c r="B238" i="19"/>
  <c r="B229" i="19"/>
  <c r="C229" i="19" s="1"/>
  <c r="B228" i="19"/>
  <c r="C228" i="19" s="1"/>
  <c r="B225" i="19"/>
  <c r="C225" i="19" s="1"/>
  <c r="B224" i="19"/>
  <c r="B215" i="19"/>
  <c r="C215" i="19" s="1"/>
  <c r="B214" i="19"/>
  <c r="C214" i="19" s="1"/>
  <c r="B212" i="19"/>
  <c r="C212" i="19" s="1"/>
  <c r="B211" i="19"/>
  <c r="B203" i="19"/>
  <c r="C203" i="19" s="1"/>
  <c r="B202" i="19"/>
  <c r="C202" i="19" s="1"/>
  <c r="B200" i="19"/>
  <c r="C200" i="19" s="1"/>
  <c r="B199" i="19"/>
  <c r="B197" i="19"/>
  <c r="C197" i="19" s="1"/>
  <c r="B196" i="19"/>
  <c r="C196" i="19" s="1"/>
  <c r="B194" i="19"/>
  <c r="C194" i="19" s="1"/>
  <c r="B193" i="19"/>
  <c r="B191" i="19"/>
  <c r="C191" i="19" s="1"/>
  <c r="B190" i="19"/>
  <c r="C190" i="19" s="1"/>
  <c r="B188" i="19"/>
  <c r="C188" i="19" s="1"/>
  <c r="B187" i="19"/>
  <c r="C187" i="19" s="1"/>
  <c r="B165" i="19"/>
  <c r="C165" i="19" s="1"/>
  <c r="B164" i="19"/>
  <c r="C164" i="19" s="1"/>
  <c r="B162" i="19"/>
  <c r="C162" i="19" s="1"/>
  <c r="B161" i="19"/>
  <c r="C161" i="19" s="1"/>
  <c r="B159" i="19"/>
  <c r="C159" i="19" s="1"/>
  <c r="B158" i="19"/>
  <c r="B93" i="19"/>
  <c r="C93" i="19" s="1"/>
  <c r="B92" i="19"/>
  <c r="C92" i="19" s="1"/>
  <c r="B90" i="19"/>
  <c r="C90" i="19" s="1"/>
  <c r="B89" i="19"/>
  <c r="B80" i="19"/>
  <c r="C80" i="19" s="1"/>
  <c r="B79" i="19"/>
  <c r="C79" i="19" s="1"/>
  <c r="B77" i="19"/>
  <c r="B76" i="19"/>
  <c r="C76" i="19" s="1"/>
  <c r="B74" i="19"/>
  <c r="C74" i="19" s="1"/>
  <c r="B73" i="19"/>
  <c r="C73" i="19" s="1"/>
  <c r="B71" i="19"/>
  <c r="C71" i="19" s="1"/>
  <c r="B70" i="19"/>
  <c r="B25" i="19"/>
  <c r="C25" i="19" s="1"/>
  <c r="B24" i="19"/>
  <c r="C24" i="19" s="1"/>
  <c r="B19" i="19"/>
  <c r="C19" i="19" s="1"/>
  <c r="B18" i="19"/>
  <c r="B16" i="19"/>
  <c r="C16" i="19" s="1"/>
  <c r="B15" i="19"/>
  <c r="C15" i="19" s="1"/>
  <c r="B13" i="19"/>
  <c r="C13" i="19" s="1"/>
  <c r="B12" i="19"/>
  <c r="B274" i="19"/>
  <c r="B273" i="19"/>
  <c r="B272" i="19"/>
  <c r="B271" i="19"/>
  <c r="B269" i="19"/>
  <c r="B268" i="19"/>
  <c r="C274" i="19"/>
  <c r="C273" i="19"/>
  <c r="C272" i="19"/>
  <c r="C269" i="19"/>
  <c r="C268" i="19"/>
  <c r="C271" i="19"/>
  <c r="C319" i="19"/>
  <c r="C318" i="19"/>
  <c r="C317" i="19"/>
  <c r="C316" i="19"/>
  <c r="C314" i="19"/>
  <c r="C313" i="19"/>
  <c r="B319" i="19"/>
  <c r="B318" i="19"/>
  <c r="B316" i="19"/>
  <c r="B314" i="19"/>
  <c r="B313" i="19"/>
  <c r="B317" i="19"/>
  <c r="B111" i="19"/>
  <c r="C111" i="19" s="1"/>
  <c r="B110" i="19"/>
  <c r="C110" i="19" s="1"/>
  <c r="B108" i="19"/>
  <c r="C108" i="19" s="1"/>
  <c r="B107" i="19"/>
  <c r="B377" i="19"/>
  <c r="C377" i="19" s="1"/>
  <c r="B376" i="19"/>
  <c r="B380" i="19"/>
  <c r="C380" i="19" s="1"/>
  <c r="B379" i="19"/>
  <c r="C379" i="19" s="1"/>
  <c r="C172" i="19"/>
  <c r="C171" i="19"/>
  <c r="C170" i="19"/>
  <c r="C168" i="19"/>
  <c r="C167" i="19"/>
  <c r="B172" i="19"/>
  <c r="B171" i="19"/>
  <c r="B168" i="19"/>
  <c r="B167" i="19"/>
  <c r="B170" i="19"/>
  <c r="B137" i="19"/>
  <c r="C137" i="19" s="1"/>
  <c r="B136" i="19"/>
  <c r="C136" i="19" s="1"/>
  <c r="B135" i="19"/>
  <c r="C135" i="19" s="1"/>
  <c r="B133" i="19"/>
  <c r="C133" i="19" s="1"/>
  <c r="B132" i="19"/>
  <c r="B131" i="19"/>
  <c r="C131" i="19" s="1"/>
  <c r="B129" i="19"/>
  <c r="C129" i="19" s="1"/>
  <c r="B128" i="19"/>
  <c r="B332" i="19"/>
  <c r="C332" i="19" s="1"/>
  <c r="B331" i="19"/>
  <c r="C331" i="19" s="1"/>
  <c r="B330" i="19"/>
  <c r="C330" i="19" s="1"/>
  <c r="B328" i="19"/>
  <c r="C328" i="19" s="1"/>
  <c r="B327" i="19"/>
  <c r="C179" i="19"/>
  <c r="C178" i="19"/>
  <c r="C177" i="19"/>
  <c r="C175" i="19"/>
  <c r="C174" i="19"/>
  <c r="B179" i="19"/>
  <c r="B178" i="19"/>
  <c r="B175" i="19"/>
  <c r="B174" i="19"/>
  <c r="B177" i="19"/>
  <c r="B87" i="19"/>
  <c r="C87" i="19" s="1"/>
  <c r="B86" i="19"/>
  <c r="C86" i="19" s="1"/>
  <c r="B85" i="19"/>
  <c r="C85" i="19" s="1"/>
  <c r="B83" i="19"/>
  <c r="C83" i="19" s="1"/>
  <c r="B82" i="19"/>
  <c r="B339" i="19"/>
  <c r="C339" i="19" s="1"/>
  <c r="B338" i="19"/>
  <c r="C338" i="19" s="1"/>
  <c r="B337" i="19"/>
  <c r="C337" i="19" s="1"/>
  <c r="B335" i="19"/>
  <c r="C335" i="19" s="1"/>
  <c r="B334" i="19"/>
  <c r="B62" i="19"/>
  <c r="C62" i="19" s="1"/>
  <c r="B61" i="19"/>
  <c r="C61" i="19" s="1"/>
  <c r="B60" i="19"/>
  <c r="C60" i="19" s="1"/>
  <c r="B59" i="19"/>
  <c r="C59" i="19" s="1"/>
  <c r="B57" i="19"/>
  <c r="B56" i="19"/>
  <c r="C56" i="19" s="1"/>
  <c r="B374" i="19"/>
  <c r="C374" i="19" s="1"/>
  <c r="B373" i="19"/>
  <c r="C373" i="19" s="1"/>
  <c r="B372" i="19"/>
  <c r="C372" i="19" s="1"/>
  <c r="B371" i="19"/>
  <c r="C371" i="19" s="1"/>
  <c r="B370" i="19"/>
  <c r="C370" i="19" s="1"/>
  <c r="B368" i="19"/>
  <c r="C368" i="19" s="1"/>
  <c r="B367" i="19"/>
  <c r="C434" i="19"/>
  <c r="C433" i="19"/>
  <c r="C432" i="19"/>
  <c r="C431" i="19"/>
  <c r="C429" i="19"/>
  <c r="C428" i="19"/>
  <c r="B434" i="19"/>
  <c r="B433" i="19"/>
  <c r="B431" i="19"/>
  <c r="B429" i="19"/>
  <c r="B428" i="19"/>
  <c r="B432" i="19"/>
  <c r="C365" i="19"/>
  <c r="C364" i="19"/>
  <c r="C363" i="19"/>
  <c r="C360" i="19"/>
  <c r="C359" i="19"/>
  <c r="B363" i="19"/>
  <c r="B362" i="19"/>
  <c r="B360" i="19"/>
  <c r="B359" i="19"/>
  <c r="B365" i="19"/>
  <c r="B364" i="19"/>
  <c r="C362" i="19"/>
  <c r="C266" i="19"/>
  <c r="C265" i="19"/>
  <c r="C263" i="19"/>
  <c r="C262" i="19"/>
  <c r="B266" i="19"/>
  <c r="B265" i="19"/>
  <c r="B263" i="19"/>
  <c r="B262" i="19"/>
  <c r="C236" i="19"/>
  <c r="C235" i="19"/>
  <c r="C234" i="19"/>
  <c r="C232" i="19"/>
  <c r="C231" i="19"/>
  <c r="B236" i="19"/>
  <c r="B235" i="19"/>
  <c r="B234" i="19"/>
  <c r="B232" i="19"/>
  <c r="B231" i="19"/>
  <c r="B126" i="19"/>
  <c r="C126" i="19" s="1"/>
  <c r="B125" i="19"/>
  <c r="C125" i="19" s="1"/>
  <c r="B123" i="19"/>
  <c r="C123" i="19" s="1"/>
  <c r="B122" i="19"/>
  <c r="C122" i="19" s="1"/>
  <c r="B120" i="19"/>
  <c r="C120" i="19" s="1"/>
  <c r="B119" i="19"/>
  <c r="B426" i="19"/>
  <c r="C426" i="19" s="1"/>
  <c r="B425" i="19"/>
  <c r="C425" i="19" s="1"/>
  <c r="B424" i="19"/>
  <c r="C424" i="19" s="1"/>
  <c r="B422" i="19"/>
  <c r="C422" i="19" s="1"/>
  <c r="B421" i="19"/>
  <c r="B32" i="19"/>
  <c r="C32" i="19" s="1"/>
  <c r="B31" i="19"/>
  <c r="C31" i="19" s="1"/>
  <c r="B28" i="19"/>
  <c r="C28" i="19" s="1"/>
  <c r="B27" i="19"/>
  <c r="B30" i="19"/>
  <c r="C30" i="19" s="1"/>
  <c r="B51" i="19"/>
  <c r="C51" i="19" s="1"/>
  <c r="B54" i="19"/>
  <c r="C54" i="19" s="1"/>
  <c r="B53" i="19"/>
  <c r="C53" i="19" s="1"/>
  <c r="B50" i="19"/>
  <c r="B245" i="19"/>
  <c r="C245" i="19" s="1"/>
  <c r="B244" i="19"/>
  <c r="B248" i="19"/>
  <c r="C248" i="19" s="1"/>
  <c r="B247" i="19"/>
  <c r="C247" i="19" s="1"/>
  <c r="B10" i="19"/>
  <c r="C10" i="19" s="1"/>
  <c r="B9" i="19"/>
  <c r="C9" i="19" s="1"/>
  <c r="B8" i="19"/>
  <c r="C8" i="19" s="1"/>
  <c r="B6" i="19"/>
  <c r="C6" i="19" s="1"/>
  <c r="B5" i="19"/>
  <c r="C185" i="19"/>
  <c r="C182" i="19"/>
  <c r="C181" i="19"/>
  <c r="B185" i="19"/>
  <c r="B182" i="19"/>
  <c r="B181" i="19"/>
  <c r="C184" i="19"/>
  <c r="B184" i="19"/>
  <c r="B399" i="19"/>
  <c r="C399" i="19" s="1"/>
  <c r="B398" i="19"/>
  <c r="C398" i="19" s="1"/>
  <c r="B396" i="19"/>
  <c r="C396" i="19" s="1"/>
  <c r="B395" i="19"/>
  <c r="C442" i="19"/>
  <c r="C441" i="19"/>
  <c r="C439" i="19"/>
  <c r="C437" i="19"/>
  <c r="C436" i="19"/>
  <c r="C440" i="19"/>
  <c r="B440" i="19"/>
  <c r="B442" i="19"/>
  <c r="B441" i="19"/>
  <c r="B439" i="19"/>
  <c r="B437" i="19"/>
  <c r="B436" i="19"/>
  <c r="B147" i="19"/>
  <c r="C147" i="19" s="1"/>
  <c r="B146" i="19"/>
  <c r="C146" i="19" s="1"/>
  <c r="B144" i="19"/>
  <c r="C144" i="19" s="1"/>
  <c r="B143" i="19"/>
  <c r="B142" i="19"/>
  <c r="B140" i="19"/>
  <c r="C140" i="19" s="1"/>
  <c r="B139" i="19"/>
  <c r="B222" i="19"/>
  <c r="C222" i="19" s="1"/>
  <c r="B221" i="19"/>
  <c r="C221" i="19" s="1"/>
  <c r="B220" i="19"/>
  <c r="C220" i="19" s="1"/>
  <c r="B218" i="19"/>
  <c r="C218" i="19" s="1"/>
  <c r="B217" i="19"/>
  <c r="B487" i="19"/>
  <c r="C487" i="19" s="1"/>
  <c r="B486" i="19"/>
  <c r="C486" i="19" s="1"/>
  <c r="B485" i="19"/>
  <c r="C485" i="19" s="1"/>
  <c r="B484" i="19"/>
  <c r="C484" i="19" s="1"/>
  <c r="B482" i="19"/>
  <c r="C482" i="19" s="1"/>
  <c r="B481" i="19"/>
  <c r="C48" i="19"/>
  <c r="C47" i="19"/>
  <c r="C46" i="19"/>
  <c r="C45" i="19"/>
  <c r="C43" i="19"/>
  <c r="C42" i="19"/>
  <c r="B48" i="19"/>
  <c r="B47" i="19"/>
  <c r="B46" i="19"/>
  <c r="B45" i="19"/>
  <c r="B43" i="19"/>
  <c r="B42" i="19"/>
  <c r="C449" i="19"/>
  <c r="C448" i="19"/>
  <c r="C447" i="19"/>
  <c r="C445" i="19"/>
  <c r="C444" i="19"/>
  <c r="B449" i="19"/>
  <c r="B448" i="19"/>
  <c r="B447" i="19"/>
  <c r="B445" i="19"/>
  <c r="B444" i="19"/>
  <c r="B68" i="19"/>
  <c r="C68" i="19" s="1"/>
  <c r="B67" i="19"/>
  <c r="C67" i="19" s="1"/>
  <c r="B65" i="19"/>
  <c r="C65" i="19" s="1"/>
  <c r="B64" i="19"/>
  <c r="D503" i="19"/>
  <c r="C503" i="19"/>
  <c r="B503" i="19"/>
  <c r="D502" i="19"/>
  <c r="C502" i="19"/>
  <c r="B502" i="19"/>
  <c r="D501" i="19"/>
  <c r="C501" i="19"/>
  <c r="B501" i="19"/>
  <c r="D500" i="19"/>
  <c r="C500" i="19"/>
  <c r="B500" i="19"/>
  <c r="D496" i="19"/>
  <c r="E496" i="19" s="1"/>
  <c r="B496" i="19"/>
  <c r="C496" i="19" s="1"/>
  <c r="D495" i="19"/>
  <c r="E495" i="19" s="1"/>
  <c r="B495" i="19"/>
  <c r="C495" i="19" s="1"/>
  <c r="D494" i="19"/>
  <c r="B494" i="19"/>
  <c r="C494" i="19" s="1"/>
  <c r="D493" i="19"/>
  <c r="E493" i="19" s="1"/>
  <c r="B493" i="19"/>
  <c r="C493" i="19" s="1"/>
  <c r="B479" i="1"/>
  <c r="C479" i="1" s="1"/>
  <c r="B478" i="1"/>
  <c r="C478" i="1" s="1"/>
  <c r="D89" i="21"/>
  <c r="E89" i="21" s="1"/>
  <c r="D88" i="21"/>
  <c r="E88" i="21" s="1"/>
  <c r="D86" i="21"/>
  <c r="E86" i="21" s="1"/>
  <c r="D285" i="21"/>
  <c r="E285" i="21" s="1"/>
  <c r="D211" i="21"/>
  <c r="E211" i="21" s="1"/>
  <c r="E192" i="21"/>
  <c r="E193" i="21"/>
  <c r="D191" i="21"/>
  <c r="E191" i="21"/>
  <c r="C191" i="21"/>
  <c r="B191" i="21"/>
  <c r="E345" i="21"/>
  <c r="E344" i="21"/>
  <c r="E343" i="21"/>
  <c r="E340" i="21"/>
  <c r="E339" i="21"/>
  <c r="E341" i="21" s="1"/>
  <c r="D343" i="21"/>
  <c r="D278" i="21"/>
  <c r="E278" i="21" s="1"/>
  <c r="D277" i="21"/>
  <c r="E277" i="21" s="1"/>
  <c r="F154" i="21"/>
  <c r="D156" i="21"/>
  <c r="E156" i="21" s="1"/>
  <c r="D155" i="21"/>
  <c r="E155" i="21" s="1"/>
  <c r="G145" i="21"/>
  <c r="F145" i="21"/>
  <c r="D150" i="21"/>
  <c r="D149" i="21"/>
  <c r="D111" i="21"/>
  <c r="D110" i="21"/>
  <c r="D121" i="21"/>
  <c r="D120" i="21"/>
  <c r="D130" i="21"/>
  <c r="D129" i="21"/>
  <c r="D141" i="21"/>
  <c r="D140" i="21"/>
  <c r="D78" i="21"/>
  <c r="E78" i="21" s="1"/>
  <c r="E73" i="21"/>
  <c r="E72" i="21"/>
  <c r="D71" i="21"/>
  <c r="D70" i="21"/>
  <c r="E71" i="21"/>
  <c r="E68" i="21"/>
  <c r="E67" i="21"/>
  <c r="E69" i="21" s="1"/>
  <c r="E70" i="21"/>
  <c r="G37" i="21"/>
  <c r="E39" i="21"/>
  <c r="E38" i="21"/>
  <c r="E36" i="21"/>
  <c r="E35" i="21"/>
  <c r="G115" i="21"/>
  <c r="E121" i="21"/>
  <c r="E118" i="21"/>
  <c r="E117" i="21"/>
  <c r="E114" i="21"/>
  <c r="E113" i="21"/>
  <c r="E120" i="21"/>
  <c r="E116" i="21"/>
  <c r="G301" i="21"/>
  <c r="G300" i="21"/>
  <c r="G299" i="21"/>
  <c r="G297" i="21"/>
  <c r="G296" i="21"/>
  <c r="F298" i="21"/>
  <c r="G298" i="21" s="1"/>
  <c r="D299" i="21"/>
  <c r="E299" i="21" s="1"/>
  <c r="F256" i="21"/>
  <c r="G256" i="21" s="1"/>
  <c r="G260" i="21"/>
  <c r="G259" i="21"/>
  <c r="G258" i="21"/>
  <c r="G257" i="21"/>
  <c r="G255" i="21"/>
  <c r="G254" i="21"/>
  <c r="E260" i="21"/>
  <c r="E259" i="21"/>
  <c r="E258" i="21"/>
  <c r="E255" i="21"/>
  <c r="E254" i="21"/>
  <c r="E257" i="21"/>
  <c r="D258" i="21"/>
  <c r="D257" i="21"/>
  <c r="F358" i="21"/>
  <c r="G358" i="21" s="1"/>
  <c r="G363" i="21"/>
  <c r="G362" i="21"/>
  <c r="G361" i="21"/>
  <c r="G360" i="21"/>
  <c r="G359" i="21"/>
  <c r="G357" i="21"/>
  <c r="G356" i="21"/>
  <c r="G354" i="21"/>
  <c r="G353" i="21"/>
  <c r="G352" i="21"/>
  <c r="G351" i="21"/>
  <c r="G348" i="21"/>
  <c r="G347" i="21"/>
  <c r="F349" i="21"/>
  <c r="G349" i="21" s="1"/>
  <c r="D352" i="21"/>
  <c r="E352" i="21" s="1"/>
  <c r="D351" i="21"/>
  <c r="E351" i="21" s="1"/>
  <c r="F291" i="21"/>
  <c r="G291" i="21" s="1"/>
  <c r="G294" i="21"/>
  <c r="G293" i="21"/>
  <c r="G292" i="21"/>
  <c r="G290" i="21"/>
  <c r="G289" i="21"/>
  <c r="D292" i="21"/>
  <c r="E292" i="21" s="1"/>
  <c r="G220" i="21"/>
  <c r="G219" i="21"/>
  <c r="G218" i="21"/>
  <c r="G216" i="21"/>
  <c r="G215" i="21"/>
  <c r="F217" i="21"/>
  <c r="G217" i="21" s="1"/>
  <c r="D218" i="21"/>
  <c r="E218" i="21" s="1"/>
  <c r="G248" i="21"/>
  <c r="E252" i="21"/>
  <c r="E251" i="21"/>
  <c r="E250" i="21"/>
  <c r="E249" i="21"/>
  <c r="G184" i="21"/>
  <c r="E186" i="21"/>
  <c r="E185" i="21"/>
  <c r="E183" i="21"/>
  <c r="E182" i="21"/>
  <c r="E168" i="21"/>
  <c r="E165" i="21"/>
  <c r="E164" i="21"/>
  <c r="E167" i="21"/>
  <c r="G138" i="21"/>
  <c r="G134" i="21"/>
  <c r="E137" i="21"/>
  <c r="E136" i="21"/>
  <c r="E135" i="21"/>
  <c r="E141" i="21"/>
  <c r="E140" i="21"/>
  <c r="E133" i="21"/>
  <c r="E132" i="21"/>
  <c r="G128" i="21"/>
  <c r="E124" i="21"/>
  <c r="G125" i="21"/>
  <c r="E130" i="21"/>
  <c r="E129" i="21"/>
  <c r="E127" i="21"/>
  <c r="E126" i="21"/>
  <c r="E123" i="21"/>
  <c r="G30" i="21"/>
  <c r="E31" i="21"/>
  <c r="E29" i="21"/>
  <c r="G43" i="21"/>
  <c r="F43" i="21"/>
  <c r="E41" i="21"/>
  <c r="E47" i="21"/>
  <c r="E46" i="21"/>
  <c r="E45" i="21"/>
  <c r="E44" i="21"/>
  <c r="E42" i="21"/>
  <c r="D45" i="21"/>
  <c r="D44" i="21"/>
  <c r="D415" i="21"/>
  <c r="E415" i="21" s="1"/>
  <c r="B415" i="21"/>
  <c r="C415" i="21" s="1"/>
  <c r="D414" i="21"/>
  <c r="E414" i="21" s="1"/>
  <c r="B414" i="21"/>
  <c r="C414" i="21" s="1"/>
  <c r="D413" i="21"/>
  <c r="B413" i="21"/>
  <c r="D412" i="21"/>
  <c r="E412" i="21" s="1"/>
  <c r="B412" i="21"/>
  <c r="C412" i="21" s="1"/>
  <c r="G13" i="21"/>
  <c r="G12" i="21"/>
  <c r="G11" i="21"/>
  <c r="G10" i="21"/>
  <c r="G9" i="21"/>
  <c r="G8" i="21"/>
  <c r="G6" i="21"/>
  <c r="F7" i="21"/>
  <c r="G7" i="21" s="1"/>
  <c r="G5" i="21"/>
  <c r="D10" i="21"/>
  <c r="E10" i="21" s="1"/>
  <c r="D9" i="21"/>
  <c r="D8" i="21"/>
  <c r="E8" i="21" s="1"/>
  <c r="F406" i="25"/>
  <c r="B359" i="18"/>
  <c r="C359" i="18" s="1"/>
  <c r="G456" i="18"/>
  <c r="F456" i="18"/>
  <c r="D455" i="18"/>
  <c r="E455" i="18" s="1"/>
  <c r="B455" i="18"/>
  <c r="C455" i="18" s="1"/>
  <c r="D454" i="18"/>
  <c r="E454" i="18" s="1"/>
  <c r="B454" i="18"/>
  <c r="C454" i="18" s="1"/>
  <c r="D453" i="18"/>
  <c r="E453" i="18" s="1"/>
  <c r="B453" i="18"/>
  <c r="D452" i="18"/>
  <c r="E452" i="18" s="1"/>
  <c r="B452" i="18"/>
  <c r="C452" i="18" s="1"/>
  <c r="D445" i="23"/>
  <c r="E445" i="23" s="1"/>
  <c r="B445" i="23"/>
  <c r="C445" i="23" s="1"/>
  <c r="D444" i="23"/>
  <c r="E444" i="23" s="1"/>
  <c r="B444" i="23"/>
  <c r="C444" i="23" s="1"/>
  <c r="D443" i="23"/>
  <c r="B443" i="23"/>
  <c r="D442" i="23"/>
  <c r="E442" i="23" s="1"/>
  <c r="B442" i="23"/>
  <c r="C442" i="23" s="1"/>
  <c r="B36" i="23"/>
  <c r="C36" i="23" s="1"/>
  <c r="B211" i="21"/>
  <c r="C211" i="21" s="1"/>
  <c r="D18" i="21"/>
  <c r="E18" i="21" s="1"/>
  <c r="B18" i="21"/>
  <c r="C18" i="21" s="1"/>
  <c r="B74" i="17"/>
  <c r="C74" i="17" s="1"/>
  <c r="B73" i="17"/>
  <c r="C73" i="17" s="1"/>
  <c r="B71" i="17"/>
  <c r="C71" i="17" s="1"/>
  <c r="B70" i="17"/>
  <c r="B406" i="17"/>
  <c r="C406" i="17" s="1"/>
  <c r="B405" i="17"/>
  <c r="C405" i="17" s="1"/>
  <c r="B404" i="17"/>
  <c r="B56" i="23"/>
  <c r="C56" i="23" s="1"/>
  <c r="C357" i="20"/>
  <c r="B357" i="20"/>
  <c r="C196" i="20"/>
  <c r="B196" i="20"/>
  <c r="C195" i="20"/>
  <c r="B195" i="20"/>
  <c r="C194" i="20"/>
  <c r="B194" i="20"/>
  <c r="C192" i="20"/>
  <c r="B192" i="20"/>
  <c r="C191" i="20"/>
  <c r="C193" i="20" s="1"/>
  <c r="B191" i="20"/>
  <c r="B211" i="17"/>
  <c r="C211" i="17" s="1"/>
  <c r="B210" i="17"/>
  <c r="C210" i="17" s="1"/>
  <c r="B208" i="17"/>
  <c r="C208" i="17" s="1"/>
  <c r="B207" i="17"/>
  <c r="D80" i="21"/>
  <c r="E80" i="21" s="1"/>
  <c r="D79" i="21"/>
  <c r="E79" i="21" s="1"/>
  <c r="D75" i="21"/>
  <c r="D76" i="21"/>
  <c r="E76" i="21" s="1"/>
  <c r="D390" i="21"/>
  <c r="E390" i="21" s="1"/>
  <c r="D389" i="21"/>
  <c r="D393" i="21"/>
  <c r="E393" i="21" s="1"/>
  <c r="D392" i="21"/>
  <c r="E392" i="21" s="1"/>
  <c r="D369" i="21"/>
  <c r="E369" i="21" s="1"/>
  <c r="D368" i="21"/>
  <c r="E368" i="21" s="1"/>
  <c r="D366" i="21"/>
  <c r="E366" i="21" s="1"/>
  <c r="D365" i="21"/>
  <c r="E365" i="21" s="1"/>
  <c r="D357" i="21"/>
  <c r="E357" i="21" s="1"/>
  <c r="D356" i="21"/>
  <c r="D354" i="21"/>
  <c r="E354" i="21" s="1"/>
  <c r="D353" i="21"/>
  <c r="E353" i="21" s="1"/>
  <c r="D347" i="21"/>
  <c r="E347" i="21" s="1"/>
  <c r="D348" i="21"/>
  <c r="E348" i="21" s="1"/>
  <c r="D339" i="21"/>
  <c r="D340" i="21"/>
  <c r="D345" i="21"/>
  <c r="D344" i="21"/>
  <c r="D316" i="21"/>
  <c r="E316" i="21" s="1"/>
  <c r="D319" i="21"/>
  <c r="E319" i="21" s="1"/>
  <c r="D318" i="21"/>
  <c r="E318" i="21" s="1"/>
  <c r="D315" i="21"/>
  <c r="D301" i="21"/>
  <c r="E301" i="21" s="1"/>
  <c r="D300" i="21"/>
  <c r="E300" i="21" s="1"/>
  <c r="D297" i="21"/>
  <c r="E297" i="21" s="1"/>
  <c r="D296" i="21"/>
  <c r="D298" i="21" s="1"/>
  <c r="E298" i="21" s="1"/>
  <c r="D294" i="21"/>
  <c r="E294" i="21" s="1"/>
  <c r="D293" i="21"/>
  <c r="E293" i="21" s="1"/>
  <c r="D290" i="21"/>
  <c r="E290" i="21" s="1"/>
  <c r="D289" i="21"/>
  <c r="D287" i="21"/>
  <c r="E287" i="21" s="1"/>
  <c r="D282" i="21"/>
  <c r="D286" i="21"/>
  <c r="E286" i="21" s="1"/>
  <c r="D283" i="21"/>
  <c r="D275" i="21"/>
  <c r="D274" i="21"/>
  <c r="E274" i="21" s="1"/>
  <c r="D280" i="21"/>
  <c r="E280" i="21" s="1"/>
  <c r="D279" i="21"/>
  <c r="E279" i="21" s="1"/>
  <c r="E275" i="21"/>
  <c r="D263" i="21"/>
  <c r="E263" i="21" s="1"/>
  <c r="D262" i="21"/>
  <c r="D266" i="21"/>
  <c r="E266" i="21" s="1"/>
  <c r="D265" i="21"/>
  <c r="E265" i="21" s="1"/>
  <c r="D260" i="21"/>
  <c r="D259" i="21"/>
  <c r="D255" i="21"/>
  <c r="D254" i="21"/>
  <c r="D252" i="21"/>
  <c r="D251" i="21"/>
  <c r="D219" i="21"/>
  <c r="E219" i="21" s="1"/>
  <c r="D220" i="21"/>
  <c r="E220" i="21" s="1"/>
  <c r="D216" i="21"/>
  <c r="E216" i="21" s="1"/>
  <c r="D215" i="21"/>
  <c r="D213" i="21"/>
  <c r="E213" i="21" s="1"/>
  <c r="D212" i="21"/>
  <c r="E212" i="21" s="1"/>
  <c r="D209" i="21"/>
  <c r="E209" i="21" s="1"/>
  <c r="D208" i="21"/>
  <c r="E208" i="21" s="1"/>
  <c r="D196" i="21"/>
  <c r="E196" i="21" s="1"/>
  <c r="D200" i="21"/>
  <c r="E200" i="21" s="1"/>
  <c r="D199" i="21"/>
  <c r="E199" i="21" s="1"/>
  <c r="D198" i="21"/>
  <c r="E198" i="21" s="1"/>
  <c r="D195" i="21"/>
  <c r="E195" i="21" s="1"/>
  <c r="D182" i="21"/>
  <c r="D186" i="21"/>
  <c r="D185" i="21"/>
  <c r="D183" i="21"/>
  <c r="D161" i="21"/>
  <c r="D160" i="21"/>
  <c r="D165" i="21"/>
  <c r="D164" i="21"/>
  <c r="D158" i="21"/>
  <c r="E158" i="21" s="1"/>
  <c r="D157" i="21"/>
  <c r="E157" i="21" s="1"/>
  <c r="D153" i="21"/>
  <c r="E153" i="21" s="1"/>
  <c r="D152" i="21"/>
  <c r="D147" i="21"/>
  <c r="E147" i="21" s="1"/>
  <c r="D146" i="21"/>
  <c r="D144" i="21"/>
  <c r="E144" i="21" s="1"/>
  <c r="D143" i="21"/>
  <c r="E143" i="21" s="1"/>
  <c r="D135" i="21"/>
  <c r="D133" i="21"/>
  <c r="D132" i="21"/>
  <c r="D127" i="21"/>
  <c r="D126" i="21"/>
  <c r="D128" i="21" s="1"/>
  <c r="D124" i="21"/>
  <c r="D123" i="21"/>
  <c r="D114" i="21"/>
  <c r="D117" i="21"/>
  <c r="D116" i="21"/>
  <c r="D113" i="21"/>
  <c r="D104" i="21"/>
  <c r="E104" i="21" s="1"/>
  <c r="D107" i="21"/>
  <c r="E107" i="21" s="1"/>
  <c r="D106" i="21"/>
  <c r="D103" i="21"/>
  <c r="D85" i="21"/>
  <c r="E85" i="21" s="1"/>
  <c r="D83" i="21"/>
  <c r="E83" i="21" s="1"/>
  <c r="D82" i="21"/>
  <c r="D73" i="21"/>
  <c r="D72" i="21"/>
  <c r="D68" i="21"/>
  <c r="D67" i="21"/>
  <c r="D47" i="21"/>
  <c r="D46" i="21"/>
  <c r="D41" i="21"/>
  <c r="D42" i="21"/>
  <c r="D33" i="21"/>
  <c r="D28" i="21"/>
  <c r="D32" i="21"/>
  <c r="D31" i="21"/>
  <c r="D29" i="21"/>
  <c r="D272" i="21"/>
  <c r="E272" i="21" s="1"/>
  <c r="D271" i="21"/>
  <c r="E271" i="21" s="1"/>
  <c r="D269" i="21"/>
  <c r="E269" i="21" s="1"/>
  <c r="D268" i="21"/>
  <c r="E268" i="21" s="1"/>
  <c r="D250" i="21"/>
  <c r="D249" i="21"/>
  <c r="D247" i="21"/>
  <c r="D246" i="21"/>
  <c r="D193" i="21"/>
  <c r="D192" i="21"/>
  <c r="D189" i="21"/>
  <c r="D188" i="21"/>
  <c r="D406" i="21"/>
  <c r="E406" i="21" s="1"/>
  <c r="D405" i="21"/>
  <c r="E405" i="21" s="1"/>
  <c r="D403" i="21"/>
  <c r="E403" i="21" s="1"/>
  <c r="D402" i="21"/>
  <c r="D400" i="21"/>
  <c r="E400" i="21" s="1"/>
  <c r="D399" i="21"/>
  <c r="E399" i="21" s="1"/>
  <c r="D396" i="21"/>
  <c r="E396" i="21" s="1"/>
  <c r="D395" i="21"/>
  <c r="D381" i="21"/>
  <c r="E381" i="21" s="1"/>
  <c r="D380" i="21"/>
  <c r="E380" i="21" s="1"/>
  <c r="D378" i="21"/>
  <c r="E378" i="21" s="1"/>
  <c r="D377" i="21"/>
  <c r="E377" i="21" s="1"/>
  <c r="D375" i="21"/>
  <c r="E375" i="21" s="1"/>
  <c r="D374" i="21"/>
  <c r="E374" i="21" s="1"/>
  <c r="D372" i="21"/>
  <c r="E372" i="21" s="1"/>
  <c r="D371" i="21"/>
  <c r="D337" i="21"/>
  <c r="E337" i="21" s="1"/>
  <c r="D336" i="21"/>
  <c r="E336" i="21" s="1"/>
  <c r="D334" i="21"/>
  <c r="E334" i="21" s="1"/>
  <c r="D333" i="21"/>
  <c r="D331" i="21"/>
  <c r="E331" i="21" s="1"/>
  <c r="D330" i="21"/>
  <c r="E330" i="21" s="1"/>
  <c r="D328" i="21"/>
  <c r="E328" i="21" s="1"/>
  <c r="D327" i="21"/>
  <c r="D329" i="21" s="1"/>
  <c r="E329" i="21" s="1"/>
  <c r="D325" i="21"/>
  <c r="E325" i="21" s="1"/>
  <c r="D324" i="21"/>
  <c r="E324" i="21" s="1"/>
  <c r="D322" i="21"/>
  <c r="E322" i="21" s="1"/>
  <c r="D321" i="21"/>
  <c r="D313" i="21"/>
  <c r="E313" i="21" s="1"/>
  <c r="D312" i="21"/>
  <c r="E312" i="21" s="1"/>
  <c r="D310" i="21"/>
  <c r="E310" i="21" s="1"/>
  <c r="D309" i="21"/>
  <c r="D307" i="21"/>
  <c r="E307" i="21" s="1"/>
  <c r="D306" i="21"/>
  <c r="E306" i="21" s="1"/>
  <c r="D304" i="21"/>
  <c r="E304" i="21" s="1"/>
  <c r="D303" i="21"/>
  <c r="D244" i="21"/>
  <c r="E244" i="21" s="1"/>
  <c r="D243" i="21"/>
  <c r="E243" i="21" s="1"/>
  <c r="D241" i="21"/>
  <c r="E241" i="21" s="1"/>
  <c r="D240" i="21"/>
  <c r="D238" i="21"/>
  <c r="E238" i="21" s="1"/>
  <c r="D237" i="21"/>
  <c r="E237" i="21" s="1"/>
  <c r="D235" i="21"/>
  <c r="E235" i="21" s="1"/>
  <c r="D234" i="21"/>
  <c r="D232" i="21"/>
  <c r="E232" i="21" s="1"/>
  <c r="D231" i="21"/>
  <c r="E231" i="21" s="1"/>
  <c r="D229" i="21"/>
  <c r="E229" i="21" s="1"/>
  <c r="D228" i="21"/>
  <c r="E228" i="21" s="1"/>
  <c r="D226" i="21"/>
  <c r="E226" i="21" s="1"/>
  <c r="D225" i="21"/>
  <c r="E225" i="21" s="1"/>
  <c r="D223" i="21"/>
  <c r="E223" i="21" s="1"/>
  <c r="D222" i="21"/>
  <c r="D206" i="21"/>
  <c r="E206" i="21" s="1"/>
  <c r="D205" i="21"/>
  <c r="E205" i="21" s="1"/>
  <c r="D203" i="21"/>
  <c r="E203" i="21" s="1"/>
  <c r="D202" i="21"/>
  <c r="E202" i="21" s="1"/>
  <c r="D180" i="21"/>
  <c r="E180" i="21" s="1"/>
  <c r="D179" i="21"/>
  <c r="E179" i="21" s="1"/>
  <c r="D177" i="21"/>
  <c r="E177" i="21" s="1"/>
  <c r="D176" i="21"/>
  <c r="D174" i="21"/>
  <c r="E174" i="21" s="1"/>
  <c r="D173" i="21"/>
  <c r="E173" i="21" s="1"/>
  <c r="D171" i="21"/>
  <c r="E171" i="21" s="1"/>
  <c r="D170" i="21"/>
  <c r="E170" i="21" s="1"/>
  <c r="D101" i="21"/>
  <c r="E101" i="21" s="1"/>
  <c r="D100" i="21"/>
  <c r="E100" i="21" s="1"/>
  <c r="D98" i="21"/>
  <c r="E98" i="21" s="1"/>
  <c r="D97" i="21"/>
  <c r="E97" i="21" s="1"/>
  <c r="D95" i="21"/>
  <c r="E95" i="21" s="1"/>
  <c r="D94" i="21"/>
  <c r="E94" i="21" s="1"/>
  <c r="D92" i="21"/>
  <c r="E92" i="21" s="1"/>
  <c r="D91" i="21"/>
  <c r="E91" i="21" s="1"/>
  <c r="D65" i="21"/>
  <c r="E65" i="21" s="1"/>
  <c r="D64" i="21"/>
  <c r="E64" i="21" s="1"/>
  <c r="D62" i="21"/>
  <c r="E62" i="21" s="1"/>
  <c r="D61" i="21"/>
  <c r="D53" i="21"/>
  <c r="E53" i="21" s="1"/>
  <c r="D52" i="21"/>
  <c r="E52" i="21" s="1"/>
  <c r="D50" i="21"/>
  <c r="E50" i="21" s="1"/>
  <c r="D49" i="21"/>
  <c r="D39" i="21"/>
  <c r="D38" i="21"/>
  <c r="D36" i="21"/>
  <c r="D35" i="21"/>
  <c r="D20" i="21"/>
  <c r="E20" i="21" s="1"/>
  <c r="D19" i="21"/>
  <c r="E19" i="21" s="1"/>
  <c r="D15" i="21"/>
  <c r="E15" i="21" s="1"/>
  <c r="D16" i="21"/>
  <c r="E16" i="21" s="1"/>
  <c r="D13" i="21"/>
  <c r="E13" i="21" s="1"/>
  <c r="D12" i="21"/>
  <c r="E12" i="21" s="1"/>
  <c r="D6" i="21"/>
  <c r="E6" i="21" s="1"/>
  <c r="D5" i="21"/>
  <c r="C314" i="20"/>
  <c r="B314" i="20"/>
  <c r="C313" i="20"/>
  <c r="B313" i="20"/>
  <c r="C311" i="20"/>
  <c r="B311" i="20"/>
  <c r="C310" i="20"/>
  <c r="B310" i="20"/>
  <c r="B312" i="20" s="1"/>
  <c r="B268" i="23" l="1"/>
  <c r="C268" i="23" s="1"/>
  <c r="C266" i="23"/>
  <c r="C256" i="19"/>
  <c r="B258" i="19"/>
  <c r="C258" i="19" s="1"/>
  <c r="B308" i="19"/>
  <c r="C308" i="19" s="1"/>
  <c r="C306" i="19"/>
  <c r="B430" i="19"/>
  <c r="B252" i="19"/>
  <c r="C252" i="19" s="1"/>
  <c r="C250" i="19"/>
  <c r="B355" i="19"/>
  <c r="C355" i="19" s="1"/>
  <c r="C353" i="19"/>
  <c r="B60" i="17"/>
  <c r="C60" i="17" s="1"/>
  <c r="C58" i="17"/>
  <c r="D125" i="21"/>
  <c r="D24" i="21"/>
  <c r="E24" i="21" s="1"/>
  <c r="E22" i="21"/>
  <c r="B24" i="21"/>
  <c r="C24" i="21" s="1"/>
  <c r="C22" i="21"/>
  <c r="E115" i="21"/>
  <c r="B180" i="20"/>
  <c r="C178" i="20"/>
  <c r="B224" i="23"/>
  <c r="C224" i="23" s="1"/>
  <c r="C222" i="23"/>
  <c r="B305" i="23"/>
  <c r="C305" i="23" s="1"/>
  <c r="C303" i="23"/>
  <c r="C356" i="23"/>
  <c r="B358" i="23"/>
  <c r="C358" i="23" s="1"/>
  <c r="B438" i="19"/>
  <c r="C446" i="19"/>
  <c r="B80" i="1"/>
  <c r="C80" i="1" s="1"/>
  <c r="C78" i="1"/>
  <c r="B372" i="1"/>
  <c r="C372" i="1" s="1"/>
  <c r="C370" i="1"/>
  <c r="B133" i="1"/>
  <c r="C133" i="1" s="1"/>
  <c r="C131" i="1"/>
  <c r="B296" i="19"/>
  <c r="C296" i="19" s="1"/>
  <c r="C294" i="19"/>
  <c r="B169" i="19"/>
  <c r="B349" i="19"/>
  <c r="C349" i="19" s="1"/>
  <c r="C347" i="19"/>
  <c r="B233" i="19"/>
  <c r="C407" i="19"/>
  <c r="B409" i="19"/>
  <c r="C409" i="19" s="1"/>
  <c r="C264" i="19"/>
  <c r="B459" i="19"/>
  <c r="C459" i="19" s="1"/>
  <c r="C457" i="19"/>
  <c r="C270" i="19"/>
  <c r="C44" i="19"/>
  <c r="C180" i="20"/>
  <c r="D385" i="21"/>
  <c r="E385" i="21" s="1"/>
  <c r="E383" i="21"/>
  <c r="B385" i="21"/>
  <c r="C385" i="21" s="1"/>
  <c r="C383" i="21"/>
  <c r="B57" i="21"/>
  <c r="C57" i="21" s="1"/>
  <c r="B313" i="18"/>
  <c r="C313" i="18" s="1"/>
  <c r="B318" i="20"/>
  <c r="C312" i="20"/>
  <c r="C56" i="21"/>
  <c r="D57" i="21"/>
  <c r="E57" i="21" s="1"/>
  <c r="D317" i="21"/>
  <c r="E317" i="21" s="1"/>
  <c r="E128" i="21"/>
  <c r="D118" i="21"/>
  <c r="D119" i="21" s="1"/>
  <c r="D166" i="21"/>
  <c r="D167" i="21" s="1"/>
  <c r="D168" i="21" s="1"/>
  <c r="C110" i="23"/>
  <c r="C404" i="23"/>
  <c r="B412" i="23"/>
  <c r="C412" i="23" s="1"/>
  <c r="C410" i="23"/>
  <c r="C20" i="25"/>
  <c r="B352" i="25"/>
  <c r="B27" i="25"/>
  <c r="B246" i="25"/>
  <c r="B7" i="25"/>
  <c r="B358" i="25"/>
  <c r="B20" i="25"/>
  <c r="C325" i="25"/>
  <c r="C163" i="25"/>
  <c r="C27" i="25"/>
  <c r="C246" i="25"/>
  <c r="C430" i="19"/>
  <c r="B270" i="19"/>
  <c r="B200" i="25"/>
  <c r="H433" i="24"/>
  <c r="I433" i="24" s="1"/>
  <c r="I430" i="24"/>
  <c r="B183" i="19"/>
  <c r="B315" i="19"/>
  <c r="C361" i="19"/>
  <c r="C82" i="17"/>
  <c r="B84" i="17"/>
  <c r="C84" i="17" s="1"/>
  <c r="D108" i="21"/>
  <c r="D162" i="21"/>
  <c r="D190" i="21"/>
  <c r="D154" i="21"/>
  <c r="E154" i="21" s="1"/>
  <c r="B193" i="20"/>
  <c r="C317" i="18"/>
  <c r="B319" i="18"/>
  <c r="C319" i="18" s="1"/>
  <c r="B212" i="25"/>
  <c r="C358" i="25"/>
  <c r="C212" i="25"/>
  <c r="D242" i="21"/>
  <c r="E242" i="21" s="1"/>
  <c r="D43" i="21"/>
  <c r="C388" i="25"/>
  <c r="C193" i="19"/>
  <c r="B195" i="19"/>
  <c r="C195" i="19" s="1"/>
  <c r="B72" i="19"/>
  <c r="C72" i="19" s="1"/>
  <c r="C70" i="19"/>
  <c r="B58" i="19"/>
  <c r="C58" i="19" s="1"/>
  <c r="C57" i="19"/>
  <c r="B145" i="19"/>
  <c r="C143" i="19"/>
  <c r="C145" i="19" s="1"/>
  <c r="B189" i="19"/>
  <c r="C189" i="19" s="1"/>
  <c r="E433" i="24"/>
  <c r="E190" i="21"/>
  <c r="E389" i="20"/>
  <c r="F389" i="20"/>
  <c r="G386" i="20"/>
  <c r="G389" i="20" s="1"/>
  <c r="D389" i="20"/>
  <c r="H389" i="20"/>
  <c r="I389" i="20" s="1"/>
  <c r="I386" i="20"/>
  <c r="B389" i="20"/>
  <c r="C386" i="20"/>
  <c r="C389" i="20" s="1"/>
  <c r="C238" i="25"/>
  <c r="B238" i="25"/>
  <c r="C160" i="25"/>
  <c r="C286" i="25"/>
  <c r="C200" i="25"/>
  <c r="H480" i="1"/>
  <c r="I478" i="1"/>
  <c r="I480" i="1" s="1"/>
  <c r="G480" i="1"/>
  <c r="E480" i="1"/>
  <c r="D480" i="1"/>
  <c r="E456" i="18"/>
  <c r="D433" i="24"/>
  <c r="B433" i="24"/>
  <c r="C430" i="24"/>
  <c r="C433" i="24" s="1"/>
  <c r="D358" i="21"/>
  <c r="E358" i="21" s="1"/>
  <c r="E356" i="21"/>
  <c r="E138" i="21"/>
  <c r="B380" i="25"/>
  <c r="B365" i="25"/>
  <c r="C365" i="25" s="1"/>
  <c r="C363" i="25"/>
  <c r="B153" i="25"/>
  <c r="C153" i="25" s="1"/>
  <c r="C151" i="25"/>
  <c r="B86" i="25"/>
  <c r="C86" i="25" s="1"/>
  <c r="C84" i="25"/>
  <c r="B395" i="25"/>
  <c r="C395" i="25" s="1"/>
  <c r="C393" i="25"/>
  <c r="C371" i="25"/>
  <c r="B373" i="25"/>
  <c r="C373" i="25" s="1"/>
  <c r="B232" i="25"/>
  <c r="C232" i="25" s="1"/>
  <c r="C230" i="25"/>
  <c r="B175" i="25"/>
  <c r="C175" i="25" s="1"/>
  <c r="C173" i="25"/>
  <c r="B169" i="25"/>
  <c r="C169" i="25" s="1"/>
  <c r="C167" i="25"/>
  <c r="B138" i="25"/>
  <c r="C138" i="25" s="1"/>
  <c r="C136" i="25"/>
  <c r="B141" i="25"/>
  <c r="C139" i="25"/>
  <c r="C141" i="25" s="1"/>
  <c r="B121" i="25"/>
  <c r="C121" i="25" s="1"/>
  <c r="C119" i="25"/>
  <c r="B115" i="25"/>
  <c r="C115" i="25" s="1"/>
  <c r="C113" i="25"/>
  <c r="C90" i="25"/>
  <c r="B92" i="25"/>
  <c r="C92" i="25" s="1"/>
  <c r="B80" i="25"/>
  <c r="C80" i="25" s="1"/>
  <c r="C78" i="25"/>
  <c r="B61" i="25"/>
  <c r="C61" i="25" s="1"/>
  <c r="C59" i="25"/>
  <c r="B48" i="25"/>
  <c r="C48" i="25" s="1"/>
  <c r="C46" i="25"/>
  <c r="C7" i="25"/>
  <c r="B388" i="25"/>
  <c r="C12" i="25"/>
  <c r="B14" i="25"/>
  <c r="C14" i="25" s="1"/>
  <c r="B41" i="25"/>
  <c r="C41" i="25" s="1"/>
  <c r="C39" i="25"/>
  <c r="C67" i="25"/>
  <c r="B325" i="25"/>
  <c r="B163" i="25"/>
  <c r="B313" i="25"/>
  <c r="C313" i="25" s="1"/>
  <c r="C311" i="25"/>
  <c r="B160" i="25"/>
  <c r="B73" i="25"/>
  <c r="C73" i="25" s="1"/>
  <c r="C71" i="25"/>
  <c r="B307" i="25"/>
  <c r="C307" i="25" s="1"/>
  <c r="C305" i="25"/>
  <c r="B220" i="25"/>
  <c r="C220" i="25" s="1"/>
  <c r="C218" i="25"/>
  <c r="C380" i="25"/>
  <c r="C34" i="25"/>
  <c r="C343" i="25"/>
  <c r="B345" i="25"/>
  <c r="C345" i="25" s="1"/>
  <c r="B34" i="25"/>
  <c r="C279" i="25"/>
  <c r="B339" i="25"/>
  <c r="C339" i="25" s="1"/>
  <c r="B67" i="25"/>
  <c r="C300" i="25"/>
  <c r="C194" i="25"/>
  <c r="B300" i="25"/>
  <c r="B226" i="25"/>
  <c r="C226" i="25" s="1"/>
  <c r="C224" i="25"/>
  <c r="B105" i="25"/>
  <c r="C105" i="25" s="1"/>
  <c r="C103" i="25"/>
  <c r="B108" i="25"/>
  <c r="C106" i="25"/>
  <c r="C108" i="25" s="1"/>
  <c r="B258" i="25"/>
  <c r="C293" i="25"/>
  <c r="B293" i="25"/>
  <c r="C98" i="25"/>
  <c r="C126" i="25"/>
  <c r="B127" i="25"/>
  <c r="C127" i="25" s="1"/>
  <c r="B54" i="25"/>
  <c r="C54" i="25" s="1"/>
  <c r="C52" i="25"/>
  <c r="C330" i="25"/>
  <c r="B332" i="25"/>
  <c r="C332" i="25" s="1"/>
  <c r="C206" i="25"/>
  <c r="B279" i="25"/>
  <c r="B286" i="25"/>
  <c r="B147" i="25"/>
  <c r="C147" i="25" s="1"/>
  <c r="C146" i="25"/>
  <c r="C130" i="25"/>
  <c r="C132" i="25" s="1"/>
  <c r="B132" i="25"/>
  <c r="B264" i="25"/>
  <c r="C264" i="25" s="1"/>
  <c r="C262" i="25"/>
  <c r="C258" i="25"/>
  <c r="B194" i="25"/>
  <c r="C179" i="25"/>
  <c r="B181" i="25"/>
  <c r="C181" i="25" s="1"/>
  <c r="B98" i="25"/>
  <c r="B187" i="25"/>
  <c r="C187" i="25" s="1"/>
  <c r="C185" i="25"/>
  <c r="B206" i="25"/>
  <c r="B319" i="25"/>
  <c r="C319" i="25" s="1"/>
  <c r="C317" i="25"/>
  <c r="C446" i="16"/>
  <c r="B446" i="16"/>
  <c r="D446" i="16"/>
  <c r="E446" i="16"/>
  <c r="B477" i="19"/>
  <c r="C477" i="19" s="1"/>
  <c r="C475" i="19"/>
  <c r="B471" i="19"/>
  <c r="C471" i="19" s="1"/>
  <c r="C469" i="19"/>
  <c r="B465" i="19"/>
  <c r="C465" i="19" s="1"/>
  <c r="C463" i="19"/>
  <c r="B453" i="19"/>
  <c r="C453" i="19" s="1"/>
  <c r="C451" i="19"/>
  <c r="B403" i="19"/>
  <c r="C403" i="19" s="1"/>
  <c r="C401" i="19"/>
  <c r="B390" i="19"/>
  <c r="C390" i="19" s="1"/>
  <c r="C388" i="19"/>
  <c r="B384" i="19"/>
  <c r="C384" i="19" s="1"/>
  <c r="C382" i="19"/>
  <c r="B343" i="19"/>
  <c r="C343" i="19" s="1"/>
  <c r="C341" i="19"/>
  <c r="C321" i="19"/>
  <c r="B323" i="19"/>
  <c r="C323" i="19" s="1"/>
  <c r="B290" i="19"/>
  <c r="C290" i="19" s="1"/>
  <c r="C288" i="19"/>
  <c r="B284" i="19"/>
  <c r="C284" i="19" s="1"/>
  <c r="C282" i="19"/>
  <c r="B278" i="19"/>
  <c r="C278" i="19" s="1"/>
  <c r="C276" i="19"/>
  <c r="B240" i="19"/>
  <c r="C240" i="19" s="1"/>
  <c r="C238" i="19"/>
  <c r="B226" i="19"/>
  <c r="C226" i="19" s="1"/>
  <c r="C224" i="19"/>
  <c r="B213" i="19"/>
  <c r="C213" i="19" s="1"/>
  <c r="C211" i="19"/>
  <c r="B201" i="19"/>
  <c r="C201" i="19" s="1"/>
  <c r="C199" i="19"/>
  <c r="B160" i="19"/>
  <c r="C160" i="19" s="1"/>
  <c r="C158" i="19"/>
  <c r="B91" i="19"/>
  <c r="C91" i="19" s="1"/>
  <c r="C89" i="19"/>
  <c r="C77" i="19"/>
  <c r="B78" i="19"/>
  <c r="C78" i="19" s="1"/>
  <c r="B20" i="19"/>
  <c r="C20" i="19" s="1"/>
  <c r="C18" i="19"/>
  <c r="B14" i="19"/>
  <c r="C14" i="19" s="1"/>
  <c r="C12" i="19"/>
  <c r="C315" i="19"/>
  <c r="B264" i="19"/>
  <c r="C132" i="19"/>
  <c r="C134" i="19" s="1"/>
  <c r="B134" i="19"/>
  <c r="B109" i="19"/>
  <c r="C109" i="19" s="1"/>
  <c r="C107" i="19"/>
  <c r="C376" i="19"/>
  <c r="B378" i="19"/>
  <c r="C378" i="19" s="1"/>
  <c r="C169" i="19"/>
  <c r="B130" i="19"/>
  <c r="C130" i="19" s="1"/>
  <c r="C128" i="19"/>
  <c r="C438" i="19"/>
  <c r="B44" i="19"/>
  <c r="B176" i="19"/>
  <c r="C233" i="19"/>
  <c r="C183" i="19"/>
  <c r="C327" i="19"/>
  <c r="B329" i="19"/>
  <c r="C329" i="19" s="1"/>
  <c r="C176" i="19"/>
  <c r="B84" i="19"/>
  <c r="C84" i="19" s="1"/>
  <c r="C82" i="19"/>
  <c r="B336" i="19"/>
  <c r="C336" i="19" s="1"/>
  <c r="C334" i="19"/>
  <c r="B369" i="19"/>
  <c r="C369" i="19" s="1"/>
  <c r="C367" i="19"/>
  <c r="B361" i="19"/>
  <c r="B121" i="19"/>
  <c r="C121" i="19" s="1"/>
  <c r="C119" i="19"/>
  <c r="B423" i="19"/>
  <c r="C423" i="19" s="1"/>
  <c r="C421" i="19"/>
  <c r="B29" i="19"/>
  <c r="C29" i="19" s="1"/>
  <c r="C27" i="19"/>
  <c r="B52" i="19"/>
  <c r="C52" i="19" s="1"/>
  <c r="C50" i="19"/>
  <c r="B246" i="19"/>
  <c r="C246" i="19" s="1"/>
  <c r="C244" i="19"/>
  <c r="C5" i="19"/>
  <c r="B7" i="19"/>
  <c r="C7" i="19" s="1"/>
  <c r="B397" i="19"/>
  <c r="C397" i="19" s="1"/>
  <c r="C395" i="19"/>
  <c r="C142" i="19"/>
  <c r="B141" i="19"/>
  <c r="C141" i="19" s="1"/>
  <c r="C139" i="19"/>
  <c r="B219" i="19"/>
  <c r="C219" i="19" s="1"/>
  <c r="C217" i="19"/>
  <c r="B483" i="19"/>
  <c r="C483" i="19" s="1"/>
  <c r="C481" i="19"/>
  <c r="B446" i="19"/>
  <c r="B66" i="19"/>
  <c r="C66" i="19" s="1"/>
  <c r="C64" i="19"/>
  <c r="C504" i="19"/>
  <c r="B504" i="19"/>
  <c r="B497" i="19"/>
  <c r="D504" i="19"/>
  <c r="C497" i="19"/>
  <c r="D497" i="19"/>
  <c r="E494" i="19"/>
  <c r="E497" i="19" s="1"/>
  <c r="B480" i="1"/>
  <c r="C477" i="1"/>
  <c r="C480" i="1" s="1"/>
  <c r="D305" i="21"/>
  <c r="E305" i="21" s="1"/>
  <c r="E43" i="21"/>
  <c r="D248" i="21"/>
  <c r="D224" i="21"/>
  <c r="E224" i="21" s="1"/>
  <c r="D291" i="21"/>
  <c r="E291" i="21" s="1"/>
  <c r="E289" i="21"/>
  <c r="D148" i="21"/>
  <c r="E146" i="21"/>
  <c r="E148" i="21" s="1"/>
  <c r="E37" i="21"/>
  <c r="E248" i="21"/>
  <c r="E30" i="21"/>
  <c r="E256" i="21"/>
  <c r="D397" i="21"/>
  <c r="E397" i="21" s="1"/>
  <c r="E119" i="21"/>
  <c r="E184" i="21"/>
  <c r="E162" i="21"/>
  <c r="E134" i="21"/>
  <c r="E125" i="21"/>
  <c r="D77" i="21"/>
  <c r="E77" i="21" s="1"/>
  <c r="D391" i="21"/>
  <c r="E391" i="21" s="1"/>
  <c r="D184" i="21"/>
  <c r="D134" i="21"/>
  <c r="E283" i="21"/>
  <c r="D284" i="21"/>
  <c r="E284" i="21" s="1"/>
  <c r="D270" i="21"/>
  <c r="E270" i="21" s="1"/>
  <c r="D416" i="21"/>
  <c r="E413" i="21"/>
  <c r="E416" i="21" s="1"/>
  <c r="B416" i="21"/>
  <c r="C413" i="21"/>
  <c r="C416" i="21" s="1"/>
  <c r="E9" i="21"/>
  <c r="E11" i="21" s="1"/>
  <c r="D11" i="21"/>
  <c r="E234" i="21"/>
  <c r="D236" i="21"/>
  <c r="E236" i="21" s="1"/>
  <c r="D456" i="18"/>
  <c r="B456" i="18"/>
  <c r="C453" i="18"/>
  <c r="C456" i="18" s="1"/>
  <c r="D446" i="23"/>
  <c r="E443" i="23"/>
  <c r="E446" i="23" s="1"/>
  <c r="B446" i="23"/>
  <c r="C443" i="23"/>
  <c r="C446" i="23" s="1"/>
  <c r="D178" i="21"/>
  <c r="E178" i="21" s="1"/>
  <c r="D256" i="21"/>
  <c r="D84" i="21"/>
  <c r="E84" i="21" s="1"/>
  <c r="D341" i="21"/>
  <c r="D311" i="21"/>
  <c r="E311" i="21" s="1"/>
  <c r="D30" i="21"/>
  <c r="D145" i="21"/>
  <c r="E145" i="21" s="1"/>
  <c r="D138" i="21"/>
  <c r="D335" i="21"/>
  <c r="E335" i="21" s="1"/>
  <c r="E402" i="21"/>
  <c r="D404" i="21"/>
  <c r="E404" i="21" s="1"/>
  <c r="D373" i="21"/>
  <c r="E373" i="21" s="1"/>
  <c r="E371" i="21"/>
  <c r="D323" i="21"/>
  <c r="E323" i="21" s="1"/>
  <c r="E321" i="21"/>
  <c r="E61" i="21"/>
  <c r="D63" i="21"/>
  <c r="E63" i="21" s="1"/>
  <c r="E49" i="21"/>
  <c r="D51" i="21"/>
  <c r="E51" i="21" s="1"/>
  <c r="E5" i="21"/>
  <c r="D7" i="21"/>
  <c r="E7" i="21" s="1"/>
  <c r="B72" i="17"/>
  <c r="C72" i="17" s="1"/>
  <c r="C70" i="17"/>
  <c r="B209" i="17"/>
  <c r="C209" i="17" s="1"/>
  <c r="C207" i="17"/>
  <c r="E75" i="21"/>
  <c r="E389" i="21"/>
  <c r="D367" i="21"/>
  <c r="E367" i="21" s="1"/>
  <c r="D349" i="21"/>
  <c r="E349" i="21" s="1"/>
  <c r="E315" i="21"/>
  <c r="E296" i="21"/>
  <c r="E282" i="21"/>
  <c r="D276" i="21"/>
  <c r="E276" i="21" s="1"/>
  <c r="D264" i="21"/>
  <c r="E264" i="21" s="1"/>
  <c r="E262" i="21"/>
  <c r="D217" i="21"/>
  <c r="E217" i="21" s="1"/>
  <c r="E215" i="21"/>
  <c r="D210" i="21"/>
  <c r="E210" i="21" s="1"/>
  <c r="D197" i="21"/>
  <c r="E197" i="21" s="1"/>
  <c r="E152" i="21"/>
  <c r="D115" i="21"/>
  <c r="D105" i="21"/>
  <c r="E105" i="21" s="1"/>
  <c r="E103" i="21"/>
  <c r="E106" i="21"/>
  <c r="E82" i="21"/>
  <c r="D69" i="21"/>
  <c r="E395" i="21"/>
  <c r="D379" i="21"/>
  <c r="E379" i="21" s="1"/>
  <c r="E333" i="21"/>
  <c r="E327" i="21"/>
  <c r="E309" i="21"/>
  <c r="E303" i="21"/>
  <c r="E240" i="21"/>
  <c r="D230" i="21"/>
  <c r="E230" i="21" s="1"/>
  <c r="E222" i="21"/>
  <c r="D204" i="21"/>
  <c r="E204" i="21" s="1"/>
  <c r="E176" i="21"/>
  <c r="D172" i="21"/>
  <c r="E172" i="21" s="1"/>
  <c r="D99" i="21"/>
  <c r="E99" i="21" s="1"/>
  <c r="D93" i="21"/>
  <c r="E93" i="21" s="1"/>
  <c r="D37" i="21"/>
  <c r="D17" i="21"/>
  <c r="E17" i="21" s="1"/>
  <c r="C272" i="20"/>
  <c r="B272" i="20"/>
  <c r="C271" i="20"/>
  <c r="B271" i="20"/>
  <c r="C270" i="20"/>
  <c r="B270" i="20"/>
  <c r="C268" i="20"/>
  <c r="B268" i="20"/>
  <c r="C267" i="20"/>
  <c r="B267" i="20"/>
  <c r="B63" i="20"/>
  <c r="C63" i="20" s="1"/>
  <c r="B62" i="20"/>
  <c r="C62" i="20" s="1"/>
  <c r="B57" i="20"/>
  <c r="C57" i="20" s="1"/>
  <c r="B58" i="20"/>
  <c r="C58" i="20" s="1"/>
  <c r="E108" i="21" l="1"/>
  <c r="D109" i="21"/>
  <c r="E150" i="21"/>
  <c r="E149" i="21"/>
  <c r="D87" i="21"/>
  <c r="E109" i="21"/>
  <c r="C269" i="20"/>
  <c r="B269" i="20"/>
  <c r="B59" i="20"/>
  <c r="C59" i="20" s="1"/>
  <c r="G407" i="17"/>
  <c r="D407" i="17"/>
  <c r="E407" i="17" s="1"/>
  <c r="B407" i="17"/>
  <c r="C407" i="17" s="1"/>
  <c r="G406" i="17"/>
  <c r="D406" i="17"/>
  <c r="E406" i="17" s="1"/>
  <c r="G405" i="17"/>
  <c r="D405" i="17"/>
  <c r="G404" i="17"/>
  <c r="D404" i="17"/>
  <c r="E404" i="17" s="1"/>
  <c r="C404" i="17"/>
  <c r="B68" i="17"/>
  <c r="C68" i="17" s="1"/>
  <c r="B67" i="17"/>
  <c r="C67" i="17" s="1"/>
  <c r="B65" i="17"/>
  <c r="C65" i="17" s="1"/>
  <c r="B64" i="17"/>
  <c r="B66" i="17" l="1"/>
  <c r="C66" i="17" s="1"/>
  <c r="E87" i="21"/>
  <c r="E110" i="21"/>
  <c r="E111" i="21"/>
  <c r="B408" i="17"/>
  <c r="D408" i="17"/>
  <c r="C408" i="17"/>
  <c r="E405" i="17"/>
  <c r="E408" i="17" s="1"/>
  <c r="C64" i="17"/>
  <c r="F413" i="25" l="1"/>
  <c r="F412" i="25"/>
  <c r="D412" i="25"/>
  <c r="F411" i="25"/>
  <c r="F410" i="25"/>
  <c r="B406" i="25"/>
  <c r="F405" i="25"/>
  <c r="D405" i="25"/>
  <c r="B405" i="25"/>
  <c r="F404" i="25"/>
  <c r="B404" i="25"/>
  <c r="F403" i="25"/>
  <c r="B403" i="25"/>
  <c r="R419" i="25"/>
  <c r="R418" i="25"/>
  <c r="R417" i="25"/>
  <c r="R416" i="25"/>
  <c r="B26" i="16"/>
  <c r="B25" i="16"/>
  <c r="B23" i="16"/>
  <c r="B22" i="16"/>
  <c r="C26" i="16"/>
  <c r="C25" i="16"/>
  <c r="C23" i="16"/>
  <c r="C22" i="16"/>
  <c r="B108" i="16"/>
  <c r="C108" i="16" s="1"/>
  <c r="B107" i="16"/>
  <c r="C107" i="16" s="1"/>
  <c r="B105" i="16"/>
  <c r="C105" i="16" s="1"/>
  <c r="B104" i="16"/>
  <c r="B113" i="16"/>
  <c r="B115" i="16"/>
  <c r="B114" i="16"/>
  <c r="B111" i="16"/>
  <c r="B112" i="16" s="1"/>
  <c r="C182" i="16"/>
  <c r="B182" i="16"/>
  <c r="C181" i="16"/>
  <c r="B181" i="16"/>
  <c r="C179" i="16"/>
  <c r="B179" i="16"/>
  <c r="C178" i="16"/>
  <c r="B178" i="16"/>
  <c r="C176" i="16"/>
  <c r="B176" i="16"/>
  <c r="C175" i="16"/>
  <c r="B175" i="16"/>
  <c r="C223" i="16"/>
  <c r="B223" i="16"/>
  <c r="C222" i="16"/>
  <c r="B222" i="16"/>
  <c r="C220" i="16"/>
  <c r="B220" i="16"/>
  <c r="C219" i="16"/>
  <c r="B219" i="16"/>
  <c r="C415" i="16"/>
  <c r="B415" i="16"/>
  <c r="C414" i="16"/>
  <c r="B414" i="16"/>
  <c r="C412" i="16"/>
  <c r="B412" i="16"/>
  <c r="C411" i="16"/>
  <c r="B411" i="16"/>
  <c r="B221" i="16" l="1"/>
  <c r="B413" i="16"/>
  <c r="C24" i="16"/>
  <c r="B177" i="16"/>
  <c r="C221" i="16"/>
  <c r="F414" i="25"/>
  <c r="B24" i="16"/>
  <c r="C104" i="16"/>
  <c r="B106" i="16"/>
  <c r="C106" i="16" s="1"/>
  <c r="C177" i="16"/>
  <c r="B407" i="25"/>
  <c r="C413" i="16"/>
  <c r="C112" i="16"/>
  <c r="C319" i="24" l="1"/>
  <c r="B319" i="24"/>
  <c r="B126" i="23"/>
  <c r="C126" i="23" s="1"/>
  <c r="B125" i="23"/>
  <c r="C125" i="23" s="1"/>
  <c r="B194" i="23"/>
  <c r="C194" i="23" s="1"/>
  <c r="B193" i="23"/>
  <c r="C193" i="23" s="1"/>
  <c r="B191" i="23"/>
  <c r="C191" i="23" s="1"/>
  <c r="B190" i="23"/>
  <c r="B13" i="23"/>
  <c r="C13" i="23" s="1"/>
  <c r="C75" i="24"/>
  <c r="B75" i="24"/>
  <c r="C74" i="24"/>
  <c r="B74" i="24"/>
  <c r="C72" i="24"/>
  <c r="B72" i="24"/>
  <c r="C71" i="24"/>
  <c r="B71" i="24"/>
  <c r="C226" i="24"/>
  <c r="B226" i="24"/>
  <c r="C225" i="24"/>
  <c r="B225" i="24"/>
  <c r="C223" i="24"/>
  <c r="B223" i="24"/>
  <c r="C222" i="24"/>
  <c r="B222" i="24"/>
  <c r="C311" i="24"/>
  <c r="B311" i="24"/>
  <c r="C329" i="23"/>
  <c r="B329" i="23"/>
  <c r="C146" i="20"/>
  <c r="B146" i="20"/>
  <c r="C145" i="20"/>
  <c r="B145" i="20"/>
  <c r="C144" i="20"/>
  <c r="B144" i="20"/>
  <c r="B181" i="1"/>
  <c r="C181" i="1" s="1"/>
  <c r="B180" i="1"/>
  <c r="C180" i="1" s="1"/>
  <c r="B175" i="1"/>
  <c r="C175" i="1" s="1"/>
  <c r="B174" i="1"/>
  <c r="B242" i="1"/>
  <c r="C242" i="1" s="1"/>
  <c r="B241" i="1"/>
  <c r="C241" i="1" s="1"/>
  <c r="B239" i="1"/>
  <c r="C239" i="1" s="1"/>
  <c r="B238" i="1"/>
  <c r="C238" i="1" s="1"/>
  <c r="B441" i="1"/>
  <c r="C441" i="1" s="1"/>
  <c r="B440" i="1"/>
  <c r="B444" i="1"/>
  <c r="C444" i="1" s="1"/>
  <c r="B443" i="1"/>
  <c r="C443" i="1" s="1"/>
  <c r="B150" i="18"/>
  <c r="C150" i="18" s="1"/>
  <c r="B149" i="18"/>
  <c r="C149" i="18" s="1"/>
  <c r="B147" i="18"/>
  <c r="C147" i="18" s="1"/>
  <c r="B146" i="18"/>
  <c r="B277" i="18"/>
  <c r="C277" i="18" s="1"/>
  <c r="B276" i="18"/>
  <c r="C276" i="18" s="1"/>
  <c r="B274" i="18"/>
  <c r="C274" i="18" s="1"/>
  <c r="B273" i="18"/>
  <c r="B80" i="17"/>
  <c r="C80" i="17" s="1"/>
  <c r="B79" i="17"/>
  <c r="C79" i="17" s="1"/>
  <c r="B77" i="17"/>
  <c r="C77" i="17" s="1"/>
  <c r="B76" i="17"/>
  <c r="B217" i="17"/>
  <c r="C217" i="17" s="1"/>
  <c r="B216" i="17"/>
  <c r="C216" i="17" s="1"/>
  <c r="B214" i="17"/>
  <c r="C214" i="17" s="1"/>
  <c r="B213" i="17"/>
  <c r="B316" i="17"/>
  <c r="C316" i="17" s="1"/>
  <c r="B315" i="17"/>
  <c r="C315" i="17" s="1"/>
  <c r="B313" i="17"/>
  <c r="C313" i="17" s="1"/>
  <c r="B312" i="17"/>
  <c r="C312" i="17" s="1"/>
  <c r="B307" i="17"/>
  <c r="C307" i="17" s="1"/>
  <c r="B310" i="17"/>
  <c r="C310" i="17" s="1"/>
  <c r="B309" i="17"/>
  <c r="C309" i="17" s="1"/>
  <c r="B306" i="17"/>
  <c r="B308" i="17" s="1"/>
  <c r="C308" i="17" s="1"/>
  <c r="B96" i="19"/>
  <c r="C96" i="19" s="1"/>
  <c r="B99" i="19"/>
  <c r="C99" i="19" s="1"/>
  <c r="B98" i="19"/>
  <c r="C98" i="19" s="1"/>
  <c r="B95" i="19"/>
  <c r="C95" i="19" s="1"/>
  <c r="B354" i="23"/>
  <c r="C354" i="23" s="1"/>
  <c r="B353" i="23"/>
  <c r="C353" i="23" s="1"/>
  <c r="B351" i="23"/>
  <c r="B350" i="23"/>
  <c r="C350" i="23" s="1"/>
  <c r="C330" i="23"/>
  <c r="B330" i="23"/>
  <c r="B220" i="23"/>
  <c r="C220" i="23" s="1"/>
  <c r="B219" i="23"/>
  <c r="C219" i="23" s="1"/>
  <c r="B217" i="23"/>
  <c r="C217" i="23" s="1"/>
  <c r="B216" i="23"/>
  <c r="B65" i="23"/>
  <c r="C65" i="23" s="1"/>
  <c r="B64" i="23"/>
  <c r="C64" i="23" s="1"/>
  <c r="B62" i="23"/>
  <c r="C62" i="23" s="1"/>
  <c r="B61" i="23"/>
  <c r="B238" i="21"/>
  <c r="C238" i="21" s="1"/>
  <c r="B237" i="21"/>
  <c r="C237" i="21" s="1"/>
  <c r="B235" i="21"/>
  <c r="C235" i="21" s="1"/>
  <c r="B234" i="21"/>
  <c r="B106" i="21"/>
  <c r="C106" i="21" s="1"/>
  <c r="B31" i="1"/>
  <c r="C31" i="1" s="1"/>
  <c r="B35" i="1"/>
  <c r="C35" i="1" s="1"/>
  <c r="B34" i="1"/>
  <c r="C34" i="1" s="1"/>
  <c r="B32" i="1"/>
  <c r="C32" i="1" s="1"/>
  <c r="C401" i="16"/>
  <c r="B401" i="16"/>
  <c r="B233" i="18"/>
  <c r="C233" i="18" s="1"/>
  <c r="B232" i="18"/>
  <c r="C232" i="18" s="1"/>
  <c r="B230" i="18"/>
  <c r="C230" i="18" s="1"/>
  <c r="B229" i="18"/>
  <c r="C229" i="18" s="1"/>
  <c r="C231" i="24"/>
  <c r="B231" i="24"/>
  <c r="C81" i="16"/>
  <c r="B81" i="16"/>
  <c r="C240" i="1" l="1"/>
  <c r="B224" i="24"/>
  <c r="B218" i="23"/>
  <c r="C218" i="23" s="1"/>
  <c r="B192" i="23"/>
  <c r="C192" i="23" s="1"/>
  <c r="C73" i="24"/>
  <c r="B176" i="1"/>
  <c r="C176" i="1" s="1"/>
  <c r="B148" i="18"/>
  <c r="C148" i="18" s="1"/>
  <c r="B275" i="18"/>
  <c r="C275" i="18" s="1"/>
  <c r="C234" i="21"/>
  <c r="B236" i="21"/>
  <c r="C236" i="21" s="1"/>
  <c r="B215" i="17"/>
  <c r="C215" i="17" s="1"/>
  <c r="B78" i="17"/>
  <c r="C78" i="17" s="1"/>
  <c r="B73" i="24"/>
  <c r="C190" i="23"/>
  <c r="C224" i="24"/>
  <c r="B352" i="23"/>
  <c r="C352" i="23" s="1"/>
  <c r="C174" i="1"/>
  <c r="B442" i="1"/>
  <c r="B240" i="1"/>
  <c r="C440" i="1"/>
  <c r="C442" i="1" s="1"/>
  <c r="C146" i="18"/>
  <c r="C273" i="18"/>
  <c r="C76" i="17"/>
  <c r="C213" i="17"/>
  <c r="B314" i="17"/>
  <c r="C314" i="17" s="1"/>
  <c r="C306" i="17"/>
  <c r="B97" i="19"/>
  <c r="C97" i="19" s="1"/>
  <c r="C351" i="23"/>
  <c r="C216" i="23"/>
  <c r="B63" i="23"/>
  <c r="C63" i="23" s="1"/>
  <c r="C61" i="23"/>
  <c r="B33" i="1"/>
  <c r="C33" i="1" s="1"/>
  <c r="B231" i="18"/>
  <c r="C231" i="18" s="1"/>
  <c r="B450" i="1"/>
  <c r="C450" i="1" s="1"/>
  <c r="B449" i="1"/>
  <c r="C449" i="1" s="1"/>
  <c r="B447" i="1"/>
  <c r="C447" i="1" s="1"/>
  <c r="B446" i="1"/>
  <c r="B365" i="1"/>
  <c r="C365" i="1" s="1"/>
  <c r="B368" i="1"/>
  <c r="C368" i="1" s="1"/>
  <c r="B367" i="1"/>
  <c r="C367" i="1" s="1"/>
  <c r="B364" i="1"/>
  <c r="B353" i="1"/>
  <c r="C353" i="1" s="1"/>
  <c r="B352" i="1"/>
  <c r="B356" i="1"/>
  <c r="C356" i="1" s="1"/>
  <c r="B355" i="1"/>
  <c r="C355" i="1" s="1"/>
  <c r="B350" i="1"/>
  <c r="C350" i="1" s="1"/>
  <c r="B349" i="1"/>
  <c r="C349" i="1" s="1"/>
  <c r="B347" i="1"/>
  <c r="C347" i="1" s="1"/>
  <c r="B346" i="1"/>
  <c r="C346" i="1" s="1"/>
  <c r="B319" i="1"/>
  <c r="C319" i="1" s="1"/>
  <c r="B323" i="1"/>
  <c r="C323" i="1" s="1"/>
  <c r="B322" i="1"/>
  <c r="C322" i="1" s="1"/>
  <c r="B320" i="1"/>
  <c r="C320" i="1" s="1"/>
  <c r="B317" i="1"/>
  <c r="C317" i="1" s="1"/>
  <c r="B316" i="1"/>
  <c r="C316" i="1" s="1"/>
  <c r="B314" i="1"/>
  <c r="C314" i="1" s="1"/>
  <c r="B313" i="1"/>
  <c r="C313" i="1" s="1"/>
  <c r="B289" i="1"/>
  <c r="C289" i="1" s="1"/>
  <c r="B288" i="1"/>
  <c r="C288" i="1" s="1"/>
  <c r="B286" i="1"/>
  <c r="C286" i="1" s="1"/>
  <c r="B285" i="1"/>
  <c r="C285" i="1" s="1"/>
  <c r="B230" i="1"/>
  <c r="C230" i="1" s="1"/>
  <c r="B229" i="1"/>
  <c r="C229" i="1" s="1"/>
  <c r="B227" i="1"/>
  <c r="C227" i="1" s="1"/>
  <c r="B226" i="1"/>
  <c r="B210" i="1"/>
  <c r="C210" i="1" s="1"/>
  <c r="B209" i="1"/>
  <c r="C209" i="1" s="1"/>
  <c r="B207" i="1"/>
  <c r="C207" i="1" s="1"/>
  <c r="B206" i="1"/>
  <c r="B198" i="1"/>
  <c r="C198" i="1" s="1"/>
  <c r="B197" i="1"/>
  <c r="C197" i="1" s="1"/>
  <c r="B195" i="1"/>
  <c r="B194" i="1"/>
  <c r="C194" i="1" s="1"/>
  <c r="C170" i="1"/>
  <c r="B172" i="1"/>
  <c r="C172" i="1" s="1"/>
  <c r="B171" i="1"/>
  <c r="C171" i="1" s="1"/>
  <c r="B169" i="1"/>
  <c r="C169" i="1" s="1"/>
  <c r="B168" i="1"/>
  <c r="C168" i="1" s="1"/>
  <c r="B166" i="1"/>
  <c r="C166" i="1" s="1"/>
  <c r="B165" i="1"/>
  <c r="C165" i="1" s="1"/>
  <c r="B57" i="1"/>
  <c r="B61" i="1"/>
  <c r="C61" i="1" s="1"/>
  <c r="B60" i="1"/>
  <c r="C60" i="1" s="1"/>
  <c r="B58" i="1"/>
  <c r="C58" i="1" s="1"/>
  <c r="B55" i="1"/>
  <c r="B54" i="1"/>
  <c r="B52" i="1"/>
  <c r="B51" i="1"/>
  <c r="C55" i="1"/>
  <c r="C54" i="1"/>
  <c r="C52" i="1"/>
  <c r="C51" i="1"/>
  <c r="B25" i="1"/>
  <c r="B281" i="1"/>
  <c r="C281" i="1" s="1"/>
  <c r="B279" i="1"/>
  <c r="C279" i="1" s="1"/>
  <c r="B283" i="1"/>
  <c r="C283" i="1" s="1"/>
  <c r="B282" i="1"/>
  <c r="C282" i="1" s="1"/>
  <c r="B278" i="1"/>
  <c r="C278" i="1" s="1"/>
  <c r="C263" i="1"/>
  <c r="C262" i="1"/>
  <c r="C261" i="1"/>
  <c r="C260" i="1"/>
  <c r="C258" i="1"/>
  <c r="C257" i="1"/>
  <c r="B263" i="1"/>
  <c r="B262" i="1"/>
  <c r="B261" i="1"/>
  <c r="B260" i="1"/>
  <c r="B258" i="1"/>
  <c r="B257" i="1"/>
  <c r="C432" i="1"/>
  <c r="C431" i="1"/>
  <c r="C430" i="1"/>
  <c r="C428" i="1"/>
  <c r="C427" i="1"/>
  <c r="B432" i="1"/>
  <c r="B431" i="1"/>
  <c r="B430" i="1"/>
  <c r="B428" i="1"/>
  <c r="B427" i="1"/>
  <c r="B362" i="1"/>
  <c r="C362" i="1" s="1"/>
  <c r="B361" i="1"/>
  <c r="B359" i="1"/>
  <c r="C359" i="1" s="1"/>
  <c r="B358" i="1"/>
  <c r="C361" i="1"/>
  <c r="C255" i="1"/>
  <c r="C254" i="1"/>
  <c r="C252" i="1"/>
  <c r="C251" i="1"/>
  <c r="B255" i="1"/>
  <c r="B254" i="1"/>
  <c r="B252" i="1"/>
  <c r="B251" i="1"/>
  <c r="B460" i="1"/>
  <c r="C460" i="1" s="1"/>
  <c r="B459" i="1"/>
  <c r="B463" i="1"/>
  <c r="C463" i="1" s="1"/>
  <c r="B462" i="1"/>
  <c r="C462" i="1" s="1"/>
  <c r="C192" i="1"/>
  <c r="C191" i="1"/>
  <c r="C189" i="1"/>
  <c r="C188" i="1"/>
  <c r="C187" i="1"/>
  <c r="C186" i="1"/>
  <c r="C184" i="1"/>
  <c r="C183" i="1"/>
  <c r="B192" i="1"/>
  <c r="B191" i="1"/>
  <c r="B189" i="1"/>
  <c r="B188" i="1"/>
  <c r="B187" i="1"/>
  <c r="B186" i="1"/>
  <c r="B184" i="1"/>
  <c r="B183" i="1"/>
  <c r="B308" i="1"/>
  <c r="C308" i="1" s="1"/>
  <c r="B307" i="1"/>
  <c r="B311" i="1"/>
  <c r="C311" i="1" s="1"/>
  <c r="B310" i="1"/>
  <c r="C310" i="1" s="1"/>
  <c r="B273" i="1"/>
  <c r="B272" i="1"/>
  <c r="B276" i="1"/>
  <c r="C276" i="1" s="1"/>
  <c r="B275" i="1"/>
  <c r="C275" i="1" s="1"/>
  <c r="B142" i="1"/>
  <c r="C142" i="1" s="1"/>
  <c r="B141" i="1"/>
  <c r="B140" i="1"/>
  <c r="C140" i="1" s="1"/>
  <c r="B145" i="1"/>
  <c r="C145" i="1" s="1"/>
  <c r="B144" i="1"/>
  <c r="C144" i="1" s="1"/>
  <c r="B138" i="1"/>
  <c r="C138" i="1" s="1"/>
  <c r="B137" i="1"/>
  <c r="B139" i="1" s="1"/>
  <c r="C139" i="1" s="1"/>
  <c r="B335" i="1"/>
  <c r="C335" i="1" s="1"/>
  <c r="B334" i="1"/>
  <c r="C334" i="1" s="1"/>
  <c r="B338" i="1"/>
  <c r="C338" i="1" s="1"/>
  <c r="B337" i="1"/>
  <c r="C337" i="1" s="1"/>
  <c r="B387" i="1"/>
  <c r="C387" i="1" s="1"/>
  <c r="B386" i="1"/>
  <c r="C386" i="1" s="1"/>
  <c r="B383" i="1"/>
  <c r="C383" i="1" s="1"/>
  <c r="B382" i="1"/>
  <c r="B385" i="1"/>
  <c r="C385" i="1" s="1"/>
  <c r="B403" i="1"/>
  <c r="C403" i="1" s="1"/>
  <c r="B402" i="1"/>
  <c r="C402" i="1" s="1"/>
  <c r="B401" i="1"/>
  <c r="C401" i="1" s="1"/>
  <c r="B398" i="1"/>
  <c r="C398" i="1" s="1"/>
  <c r="B397" i="1"/>
  <c r="B399" i="1" s="1"/>
  <c r="C399" i="1" s="1"/>
  <c r="B400" i="1"/>
  <c r="C400" i="1" s="1"/>
  <c r="B392" i="1"/>
  <c r="C392" i="1" s="1"/>
  <c r="C101" i="1"/>
  <c r="C100" i="1"/>
  <c r="C98" i="1"/>
  <c r="C97" i="1"/>
  <c r="C96" i="1"/>
  <c r="C94" i="1"/>
  <c r="C93" i="1"/>
  <c r="B101" i="1"/>
  <c r="B100" i="1"/>
  <c r="C99" i="1"/>
  <c r="B98" i="1"/>
  <c r="B97" i="1"/>
  <c r="B96" i="1"/>
  <c r="B94" i="1"/>
  <c r="B93" i="1"/>
  <c r="C425" i="1"/>
  <c r="C424" i="1"/>
  <c r="C423" i="1"/>
  <c r="C421" i="1"/>
  <c r="C420" i="1"/>
  <c r="B424" i="1"/>
  <c r="B425" i="1"/>
  <c r="B423" i="1"/>
  <c r="B421" i="1"/>
  <c r="B420" i="1"/>
  <c r="B115" i="1"/>
  <c r="C115" i="1" s="1"/>
  <c r="B114" i="1"/>
  <c r="C114" i="1" s="1"/>
  <c r="B113" i="1"/>
  <c r="C113" i="1" s="1"/>
  <c r="B111" i="1"/>
  <c r="C111" i="1" s="1"/>
  <c r="B110" i="1"/>
  <c r="B76" i="1"/>
  <c r="C76" i="1" s="1"/>
  <c r="B75" i="1"/>
  <c r="C75" i="1" s="1"/>
  <c r="B73" i="1"/>
  <c r="C73" i="1" s="1"/>
  <c r="B72" i="1"/>
  <c r="B224" i="1"/>
  <c r="C224" i="1" s="1"/>
  <c r="B223" i="1"/>
  <c r="C223" i="1" s="1"/>
  <c r="B222" i="1"/>
  <c r="C222" i="1" s="1"/>
  <c r="B221" i="1"/>
  <c r="C221" i="1" s="1"/>
  <c r="B219" i="1"/>
  <c r="C219" i="1" s="1"/>
  <c r="B218" i="1"/>
  <c r="B49" i="1"/>
  <c r="C49" i="1" s="1"/>
  <c r="B46" i="1"/>
  <c r="C46" i="1" s="1"/>
  <c r="B48" i="1"/>
  <c r="C48" i="1" s="1"/>
  <c r="B44" i="1"/>
  <c r="C44" i="1" s="1"/>
  <c r="B43" i="1"/>
  <c r="C43" i="1" s="1"/>
  <c r="B344" i="1"/>
  <c r="C344" i="1" s="1"/>
  <c r="B343" i="1"/>
  <c r="C343" i="1" s="1"/>
  <c r="B341" i="1"/>
  <c r="C341" i="1" s="1"/>
  <c r="B340" i="1"/>
  <c r="B216" i="1"/>
  <c r="C216" i="1" s="1"/>
  <c r="B215" i="1"/>
  <c r="C215" i="1" s="1"/>
  <c r="B213" i="1"/>
  <c r="C213" i="1" s="1"/>
  <c r="B212" i="1"/>
  <c r="C108" i="1"/>
  <c r="C107" i="1"/>
  <c r="C106" i="1"/>
  <c r="C104" i="1"/>
  <c r="C103" i="1"/>
  <c r="B108" i="1"/>
  <c r="B107" i="1"/>
  <c r="B106" i="1"/>
  <c r="B103" i="1"/>
  <c r="B104" i="1"/>
  <c r="B236" i="1"/>
  <c r="C236" i="1" s="1"/>
  <c r="B235" i="1"/>
  <c r="C235" i="1" s="1"/>
  <c r="B233" i="1"/>
  <c r="C233" i="1" s="1"/>
  <c r="B232" i="1"/>
  <c r="C232" i="1" s="1"/>
  <c r="C418" i="1"/>
  <c r="C417" i="1"/>
  <c r="C416" i="1"/>
  <c r="C415" i="1"/>
  <c r="C414" i="1"/>
  <c r="C412" i="1"/>
  <c r="C411" i="1"/>
  <c r="B418" i="1"/>
  <c r="B417" i="1"/>
  <c r="B415" i="1"/>
  <c r="B412" i="1"/>
  <c r="B411" i="1"/>
  <c r="B416" i="1"/>
  <c r="B414" i="1"/>
  <c r="B129" i="1"/>
  <c r="C129" i="1" s="1"/>
  <c r="B128" i="1"/>
  <c r="C128" i="1" s="1"/>
  <c r="B126" i="1"/>
  <c r="C126" i="1" s="1"/>
  <c r="B125" i="1"/>
  <c r="B154" i="1"/>
  <c r="C154" i="1" s="1"/>
  <c r="B153" i="1"/>
  <c r="C153" i="1" s="1"/>
  <c r="B151" i="1"/>
  <c r="C151" i="1" s="1"/>
  <c r="B150" i="1"/>
  <c r="C150" i="1" s="1"/>
  <c r="B148" i="1"/>
  <c r="C148" i="1" s="1"/>
  <c r="B147" i="1"/>
  <c r="C123" i="1"/>
  <c r="C122" i="1"/>
  <c r="C121" i="1"/>
  <c r="C120" i="1"/>
  <c r="C118" i="1"/>
  <c r="C117" i="1"/>
  <c r="B123" i="1"/>
  <c r="B122" i="1"/>
  <c r="B121" i="1"/>
  <c r="B120" i="1"/>
  <c r="B118" i="1"/>
  <c r="B117" i="1"/>
  <c r="B270" i="1"/>
  <c r="C270" i="1" s="1"/>
  <c r="B269" i="1"/>
  <c r="C269" i="1" s="1"/>
  <c r="B268" i="1"/>
  <c r="C268" i="1" s="1"/>
  <c r="B266" i="1"/>
  <c r="C266" i="1" s="1"/>
  <c r="B265" i="1"/>
  <c r="B409" i="1"/>
  <c r="C409" i="1" s="1"/>
  <c r="B408" i="1"/>
  <c r="C408" i="1" s="1"/>
  <c r="B406" i="1"/>
  <c r="B405" i="1"/>
  <c r="C405" i="1" s="1"/>
  <c r="C305" i="1"/>
  <c r="C304" i="1"/>
  <c r="C303" i="1"/>
  <c r="C301" i="1"/>
  <c r="C300" i="1"/>
  <c r="B305" i="1"/>
  <c r="B304" i="1"/>
  <c r="B303" i="1"/>
  <c r="B301" i="1"/>
  <c r="B300" i="1"/>
  <c r="B332" i="1"/>
  <c r="C332" i="1" s="1"/>
  <c r="B331" i="1"/>
  <c r="C331" i="1" s="1"/>
  <c r="B330" i="1"/>
  <c r="C330" i="1" s="1"/>
  <c r="B329" i="1"/>
  <c r="C329" i="1" s="1"/>
  <c r="B328" i="1"/>
  <c r="C328" i="1" s="1"/>
  <c r="B326" i="1"/>
  <c r="C326" i="1" s="1"/>
  <c r="B325" i="1"/>
  <c r="C325" i="1" s="1"/>
  <c r="B70" i="1"/>
  <c r="C70" i="1" s="1"/>
  <c r="B64" i="1"/>
  <c r="C64" i="1" s="1"/>
  <c r="B63" i="1"/>
  <c r="C63" i="1" s="1"/>
  <c r="B69" i="1"/>
  <c r="C69" i="1" s="1"/>
  <c r="B298" i="1"/>
  <c r="C298" i="1" s="1"/>
  <c r="B297" i="1"/>
  <c r="C297" i="1" s="1"/>
  <c r="B296" i="1"/>
  <c r="C296" i="1" s="1"/>
  <c r="B295" i="1"/>
  <c r="C295" i="1" s="1"/>
  <c r="B294" i="1"/>
  <c r="C294" i="1" s="1"/>
  <c r="B292" i="1"/>
  <c r="B291" i="1"/>
  <c r="C291" i="1" s="1"/>
  <c r="B249" i="1"/>
  <c r="C249" i="1" s="1"/>
  <c r="B248" i="1"/>
  <c r="C248" i="1" s="1"/>
  <c r="B245" i="1"/>
  <c r="C245" i="1" s="1"/>
  <c r="B244" i="1"/>
  <c r="B247" i="1"/>
  <c r="C247" i="1" s="1"/>
  <c r="B160" i="1"/>
  <c r="C160" i="1" s="1"/>
  <c r="B159" i="1"/>
  <c r="C159" i="1" s="1"/>
  <c r="B163" i="1"/>
  <c r="C163" i="1" s="1"/>
  <c r="B162" i="1"/>
  <c r="C162" i="1" s="1"/>
  <c r="B157" i="1"/>
  <c r="C157" i="1" s="1"/>
  <c r="B156" i="1"/>
  <c r="B438" i="1"/>
  <c r="C438" i="1" s="1"/>
  <c r="B437" i="1"/>
  <c r="C437" i="1" s="1"/>
  <c r="B435" i="1"/>
  <c r="C435" i="1" s="1"/>
  <c r="B434" i="1"/>
  <c r="C41" i="1"/>
  <c r="C40" i="1"/>
  <c r="C38" i="1"/>
  <c r="C37" i="1"/>
  <c r="B41" i="1"/>
  <c r="B40" i="1"/>
  <c r="B38" i="1"/>
  <c r="B37" i="1"/>
  <c r="B469" i="1"/>
  <c r="C469" i="1" s="1"/>
  <c r="B466" i="1"/>
  <c r="C466" i="1" s="1"/>
  <c r="B465" i="1"/>
  <c r="B470" i="1"/>
  <c r="C470" i="1" s="1"/>
  <c r="B468" i="1"/>
  <c r="C468" i="1" s="1"/>
  <c r="B204" i="1"/>
  <c r="C204" i="1" s="1"/>
  <c r="B203" i="1"/>
  <c r="C203" i="1" s="1"/>
  <c r="B201" i="1"/>
  <c r="C201" i="1" s="1"/>
  <c r="B200" i="1"/>
  <c r="B91" i="1"/>
  <c r="C91" i="1" s="1"/>
  <c r="B90" i="1"/>
  <c r="C90" i="1" s="1"/>
  <c r="B89" i="1"/>
  <c r="C89" i="1" s="1"/>
  <c r="B88" i="1"/>
  <c r="C88" i="1" s="1"/>
  <c r="B85" i="1"/>
  <c r="B84" i="1"/>
  <c r="C84" i="1" s="1"/>
  <c r="B395" i="1"/>
  <c r="C395" i="1" s="1"/>
  <c r="B394" i="1"/>
  <c r="C394" i="1" s="1"/>
  <c r="B393" i="1"/>
  <c r="C393" i="1" s="1"/>
  <c r="B390" i="1"/>
  <c r="C390" i="1" s="1"/>
  <c r="B389" i="1"/>
  <c r="C389" i="1" s="1"/>
  <c r="C457" i="1"/>
  <c r="C456" i="1"/>
  <c r="C455" i="1"/>
  <c r="C453" i="1"/>
  <c r="C452" i="1"/>
  <c r="B457" i="1"/>
  <c r="B456" i="1"/>
  <c r="B453" i="1"/>
  <c r="B452" i="1"/>
  <c r="B455" i="1"/>
  <c r="B119" i="1" l="1"/>
  <c r="C190" i="1"/>
  <c r="B185" i="1"/>
  <c r="B190" i="1"/>
  <c r="B39" i="1"/>
  <c r="B253" i="1"/>
  <c r="B354" i="1"/>
  <c r="C352" i="1"/>
  <c r="C354" i="1" s="1"/>
  <c r="B342" i="1"/>
  <c r="C342" i="1" s="1"/>
  <c r="B461" i="1"/>
  <c r="B448" i="1"/>
  <c r="C448" i="1" s="1"/>
  <c r="B467" i="1"/>
  <c r="C467" i="1" s="1"/>
  <c r="C429" i="1"/>
  <c r="B208" i="1"/>
  <c r="C208" i="1" s="1"/>
  <c r="C95" i="1"/>
  <c r="B59" i="1"/>
  <c r="C59" i="1" s="1"/>
  <c r="B228" i="1"/>
  <c r="C228" i="1" s="1"/>
  <c r="B366" i="1"/>
  <c r="C366" i="1" s="1"/>
  <c r="B196" i="1"/>
  <c r="C196" i="1" s="1"/>
  <c r="B220" i="1"/>
  <c r="C220" i="1" s="1"/>
  <c r="B267" i="1"/>
  <c r="B246" i="1"/>
  <c r="B112" i="1"/>
  <c r="C112" i="1" s="1"/>
  <c r="B259" i="1"/>
  <c r="C397" i="1"/>
  <c r="B143" i="1"/>
  <c r="C143" i="1" s="1"/>
  <c r="C446" i="1"/>
  <c r="C364" i="1"/>
  <c r="B321" i="1"/>
  <c r="B274" i="1"/>
  <c r="C321" i="1"/>
  <c r="B384" i="1"/>
  <c r="C384" i="1" s="1"/>
  <c r="C348" i="1"/>
  <c r="B348" i="1"/>
  <c r="B315" i="1"/>
  <c r="C315" i="1"/>
  <c r="B287" i="1"/>
  <c r="C287" i="1" s="1"/>
  <c r="C226" i="1"/>
  <c r="C206" i="1"/>
  <c r="C195" i="1"/>
  <c r="B167" i="1"/>
  <c r="C167" i="1" s="1"/>
  <c r="C57" i="1"/>
  <c r="B53" i="1"/>
  <c r="C53" i="1"/>
  <c r="C280" i="1"/>
  <c r="B280" i="1"/>
  <c r="C259" i="1"/>
  <c r="B429" i="1"/>
  <c r="B360" i="1"/>
  <c r="C360" i="1" s="1"/>
  <c r="C358" i="1"/>
  <c r="C253" i="1"/>
  <c r="C459" i="1"/>
  <c r="C461" i="1" s="1"/>
  <c r="C185" i="1"/>
  <c r="B309" i="1"/>
  <c r="C307" i="1"/>
  <c r="C309" i="1" s="1"/>
  <c r="C273" i="1"/>
  <c r="C272" i="1"/>
  <c r="C141" i="1"/>
  <c r="C137" i="1"/>
  <c r="B336" i="1"/>
  <c r="C336" i="1" s="1"/>
  <c r="C382" i="1"/>
  <c r="B202" i="1"/>
  <c r="C202" i="1" s="1"/>
  <c r="B422" i="1"/>
  <c r="C454" i="1"/>
  <c r="B214" i="1"/>
  <c r="C214" i="1" s="1"/>
  <c r="B105" i="1"/>
  <c r="B302" i="1"/>
  <c r="C302" i="1"/>
  <c r="C422" i="1"/>
  <c r="B149" i="1"/>
  <c r="C149" i="1" s="1"/>
  <c r="C413" i="1"/>
  <c r="C105" i="1"/>
  <c r="B95" i="1"/>
  <c r="B293" i="1"/>
  <c r="B152" i="1"/>
  <c r="C152" i="1" s="1"/>
  <c r="C110" i="1"/>
  <c r="B74" i="1"/>
  <c r="C74" i="1" s="1"/>
  <c r="C72" i="1"/>
  <c r="C218" i="1"/>
  <c r="B45" i="1"/>
  <c r="C45" i="1" s="1"/>
  <c r="C340" i="1"/>
  <c r="C212" i="1"/>
  <c r="C234" i="1"/>
  <c r="B234" i="1"/>
  <c r="B413" i="1"/>
  <c r="B127" i="1"/>
  <c r="C127" i="1" s="1"/>
  <c r="C125" i="1"/>
  <c r="C147" i="1"/>
  <c r="C119" i="1"/>
  <c r="C265" i="1"/>
  <c r="C267" i="1" s="1"/>
  <c r="B436" i="1"/>
  <c r="B86" i="1"/>
  <c r="C86" i="1" s="1"/>
  <c r="C434" i="1"/>
  <c r="C436" i="1" s="1"/>
  <c r="C292" i="1"/>
  <c r="C293" i="1" s="1"/>
  <c r="B161" i="1"/>
  <c r="C161" i="1" s="1"/>
  <c r="B391" i="1"/>
  <c r="C391" i="1" s="1"/>
  <c r="B407" i="1"/>
  <c r="C406" i="1"/>
  <c r="C407" i="1" s="1"/>
  <c r="C327" i="1"/>
  <c r="B327" i="1"/>
  <c r="B65" i="1"/>
  <c r="C65" i="1" s="1"/>
  <c r="C244" i="1"/>
  <c r="C246" i="1" s="1"/>
  <c r="B158" i="1"/>
  <c r="C158" i="1" s="1"/>
  <c r="C156" i="1"/>
  <c r="C39" i="1"/>
  <c r="C465" i="1"/>
  <c r="C200" i="1"/>
  <c r="C85" i="1"/>
  <c r="B454" i="1"/>
  <c r="B406" i="21"/>
  <c r="C406" i="21" s="1"/>
  <c r="B405" i="21"/>
  <c r="C405" i="21" s="1"/>
  <c r="B403" i="21"/>
  <c r="C403" i="21" s="1"/>
  <c r="B402" i="21"/>
  <c r="C402" i="21" s="1"/>
  <c r="B400" i="21"/>
  <c r="C400" i="21" s="1"/>
  <c r="B399" i="21"/>
  <c r="C399" i="21" s="1"/>
  <c r="B396" i="21"/>
  <c r="C396" i="21" s="1"/>
  <c r="B395" i="21"/>
  <c r="C395" i="21" s="1"/>
  <c r="B390" i="21"/>
  <c r="C390" i="21" s="1"/>
  <c r="B389" i="21"/>
  <c r="B393" i="21"/>
  <c r="C393" i="21" s="1"/>
  <c r="B392" i="21"/>
  <c r="C392" i="21" s="1"/>
  <c r="B381" i="21"/>
  <c r="C381" i="21" s="1"/>
  <c r="B380" i="21"/>
  <c r="C380" i="21" s="1"/>
  <c r="B378" i="21"/>
  <c r="B377" i="21"/>
  <c r="C377" i="21" s="1"/>
  <c r="B375" i="21"/>
  <c r="C375" i="21" s="1"/>
  <c r="B374" i="21"/>
  <c r="C374" i="21" s="1"/>
  <c r="B372" i="21"/>
  <c r="C372" i="21" s="1"/>
  <c r="B371" i="21"/>
  <c r="B337" i="21"/>
  <c r="C337" i="21" s="1"/>
  <c r="B336" i="21"/>
  <c r="C336" i="21" s="1"/>
  <c r="B334" i="21"/>
  <c r="B333" i="21"/>
  <c r="C333" i="21" s="1"/>
  <c r="B331" i="21"/>
  <c r="C331" i="21" s="1"/>
  <c r="B330" i="21"/>
  <c r="C330" i="21" s="1"/>
  <c r="B328" i="21"/>
  <c r="C328" i="21" s="1"/>
  <c r="B327" i="21"/>
  <c r="B329" i="21" s="1"/>
  <c r="C329" i="21" s="1"/>
  <c r="B325" i="21"/>
  <c r="C325" i="21" s="1"/>
  <c r="B324" i="21"/>
  <c r="C324" i="21" s="1"/>
  <c r="B322" i="21"/>
  <c r="C322" i="21" s="1"/>
  <c r="B321" i="21"/>
  <c r="B313" i="21"/>
  <c r="C313" i="21" s="1"/>
  <c r="B312" i="21"/>
  <c r="C312" i="21" s="1"/>
  <c r="B310" i="21"/>
  <c r="C310" i="21" s="1"/>
  <c r="B309" i="21"/>
  <c r="B307" i="21"/>
  <c r="C307" i="21" s="1"/>
  <c r="B306" i="21"/>
  <c r="C306" i="21" s="1"/>
  <c r="B304" i="21"/>
  <c r="B303" i="21"/>
  <c r="C303" i="21" s="1"/>
  <c r="B244" i="21"/>
  <c r="C244" i="21" s="1"/>
  <c r="B243" i="21"/>
  <c r="C243" i="21" s="1"/>
  <c r="B241" i="21"/>
  <c r="C241" i="21" s="1"/>
  <c r="B240" i="21"/>
  <c r="C240" i="21" s="1"/>
  <c r="B232" i="21"/>
  <c r="C232" i="21" s="1"/>
  <c r="B231" i="21"/>
  <c r="C231" i="21" s="1"/>
  <c r="B229" i="21"/>
  <c r="C229" i="21" s="1"/>
  <c r="B228" i="21"/>
  <c r="C228" i="21" s="1"/>
  <c r="B226" i="21"/>
  <c r="C226" i="21" s="1"/>
  <c r="B225" i="21"/>
  <c r="C225" i="21" s="1"/>
  <c r="B223" i="21"/>
  <c r="C223" i="21" s="1"/>
  <c r="B222" i="21"/>
  <c r="B206" i="21"/>
  <c r="C206" i="21" s="1"/>
  <c r="B205" i="21"/>
  <c r="C205" i="21" s="1"/>
  <c r="B203" i="21"/>
  <c r="C203" i="21" s="1"/>
  <c r="B202" i="21"/>
  <c r="C202" i="21" s="1"/>
  <c r="B200" i="21"/>
  <c r="C200" i="21" s="1"/>
  <c r="B199" i="21"/>
  <c r="C199" i="21" s="1"/>
  <c r="B198" i="21"/>
  <c r="C198" i="21" s="1"/>
  <c r="B196" i="21"/>
  <c r="C196" i="21" s="1"/>
  <c r="B195" i="21"/>
  <c r="B177" i="21"/>
  <c r="C177" i="21" s="1"/>
  <c r="B180" i="21"/>
  <c r="C180" i="21" s="1"/>
  <c r="B179" i="21"/>
  <c r="C179" i="21" s="1"/>
  <c r="B176" i="21"/>
  <c r="B174" i="21"/>
  <c r="C174" i="21" s="1"/>
  <c r="B173" i="21"/>
  <c r="C173" i="21" s="1"/>
  <c r="B171" i="21"/>
  <c r="C171" i="21" s="1"/>
  <c r="B170" i="21"/>
  <c r="B150" i="21"/>
  <c r="C150" i="21" s="1"/>
  <c r="B149" i="21"/>
  <c r="C149" i="21" s="1"/>
  <c r="B147" i="21"/>
  <c r="C147" i="21" s="1"/>
  <c r="B146" i="21"/>
  <c r="C146" i="21" s="1"/>
  <c r="B144" i="21"/>
  <c r="C144" i="21" s="1"/>
  <c r="B143" i="21"/>
  <c r="B101" i="21"/>
  <c r="C101" i="21" s="1"/>
  <c r="B100" i="21"/>
  <c r="C100" i="21" s="1"/>
  <c r="B98" i="21"/>
  <c r="C98" i="21" s="1"/>
  <c r="B97" i="21"/>
  <c r="C97" i="21" s="1"/>
  <c r="B86" i="21"/>
  <c r="C86" i="21" s="1"/>
  <c r="B89" i="21"/>
  <c r="C89" i="21" s="1"/>
  <c r="B88" i="21"/>
  <c r="C88" i="21" s="1"/>
  <c r="B85" i="21"/>
  <c r="C85" i="21" s="1"/>
  <c r="B83" i="21"/>
  <c r="C83" i="21" s="1"/>
  <c r="B82" i="21"/>
  <c r="C82" i="21" s="1"/>
  <c r="B65" i="21"/>
  <c r="C65" i="21" s="1"/>
  <c r="B64" i="21"/>
  <c r="C64" i="21" s="1"/>
  <c r="B62" i="21"/>
  <c r="B61" i="21"/>
  <c r="C61" i="21" s="1"/>
  <c r="B53" i="21"/>
  <c r="C53" i="21" s="1"/>
  <c r="B52" i="21"/>
  <c r="C52" i="21" s="1"/>
  <c r="B50" i="21"/>
  <c r="C50" i="21" s="1"/>
  <c r="B49" i="21"/>
  <c r="B20" i="21"/>
  <c r="C20" i="21" s="1"/>
  <c r="B19" i="21"/>
  <c r="C19" i="21" s="1"/>
  <c r="B15" i="21"/>
  <c r="B16" i="21"/>
  <c r="C16" i="21" s="1"/>
  <c r="B111" i="21"/>
  <c r="C111" i="21" s="1"/>
  <c r="B110" i="21"/>
  <c r="C110" i="21" s="1"/>
  <c r="B108" i="21"/>
  <c r="B107" i="21"/>
  <c r="C107" i="21" s="1"/>
  <c r="B104" i="21"/>
  <c r="C104" i="21" s="1"/>
  <c r="B103" i="21"/>
  <c r="C168" i="21"/>
  <c r="C167" i="21"/>
  <c r="C165" i="21"/>
  <c r="C164" i="21"/>
  <c r="C161" i="21"/>
  <c r="C160" i="21"/>
  <c r="B168" i="21"/>
  <c r="B167" i="21"/>
  <c r="B161" i="21"/>
  <c r="B160" i="21"/>
  <c r="B165" i="21"/>
  <c r="B164" i="21"/>
  <c r="B301" i="21"/>
  <c r="C301" i="21" s="1"/>
  <c r="B300" i="21"/>
  <c r="C300" i="21" s="1"/>
  <c r="B299" i="21"/>
  <c r="C299" i="21" s="1"/>
  <c r="B297" i="21"/>
  <c r="C297" i="21" s="1"/>
  <c r="B296" i="21"/>
  <c r="C296" i="21" s="1"/>
  <c r="B95" i="21"/>
  <c r="C95" i="21" s="1"/>
  <c r="B94" i="21"/>
  <c r="C94" i="21" s="1"/>
  <c r="B92" i="21"/>
  <c r="C92" i="21" s="1"/>
  <c r="B91" i="21"/>
  <c r="B158" i="21"/>
  <c r="C158" i="21" s="1"/>
  <c r="B157" i="21"/>
  <c r="C157" i="21" s="1"/>
  <c r="B156" i="21"/>
  <c r="C156" i="21" s="1"/>
  <c r="B153" i="21"/>
  <c r="C153" i="21" s="1"/>
  <c r="B152" i="21"/>
  <c r="C152" i="21" s="1"/>
  <c r="B155" i="21"/>
  <c r="C155" i="21" s="1"/>
  <c r="B263" i="21"/>
  <c r="C263" i="21" s="1"/>
  <c r="B262" i="21"/>
  <c r="B266" i="21"/>
  <c r="C266" i="21" s="1"/>
  <c r="B265" i="21"/>
  <c r="C265" i="21" s="1"/>
  <c r="C272" i="21"/>
  <c r="C269" i="21"/>
  <c r="C268" i="21"/>
  <c r="B272" i="21"/>
  <c r="B269" i="21"/>
  <c r="B268" i="21"/>
  <c r="C271" i="21"/>
  <c r="B271" i="21"/>
  <c r="B13" i="21"/>
  <c r="C13" i="21" s="1"/>
  <c r="B12" i="21"/>
  <c r="C12" i="21" s="1"/>
  <c r="B10" i="21"/>
  <c r="C10" i="21" s="1"/>
  <c r="B9" i="21"/>
  <c r="C9" i="21" s="1"/>
  <c r="C11" i="21" s="1"/>
  <c r="B8" i="21"/>
  <c r="C8" i="21" s="1"/>
  <c r="B6" i="21"/>
  <c r="C6" i="21" s="1"/>
  <c r="B5" i="21"/>
  <c r="B186" i="21"/>
  <c r="C186" i="21" s="1"/>
  <c r="B185" i="21"/>
  <c r="C185" i="21" s="1"/>
  <c r="B183" i="21"/>
  <c r="C183" i="21" s="1"/>
  <c r="B182" i="21"/>
  <c r="C141" i="21"/>
  <c r="C140" i="21"/>
  <c r="C137" i="21"/>
  <c r="C136" i="21"/>
  <c r="C133" i="21"/>
  <c r="C132" i="21"/>
  <c r="B141" i="21"/>
  <c r="B140" i="21"/>
  <c r="B137" i="21"/>
  <c r="B136" i="21"/>
  <c r="C135" i="21"/>
  <c r="B135" i="21"/>
  <c r="B133" i="21"/>
  <c r="B132" i="21"/>
  <c r="B363" i="21"/>
  <c r="C363" i="21" s="1"/>
  <c r="B362" i="21"/>
  <c r="C362" i="21" s="1"/>
  <c r="B361" i="21"/>
  <c r="C361" i="21" s="1"/>
  <c r="B360" i="21"/>
  <c r="C360" i="21" s="1"/>
  <c r="B359" i="21"/>
  <c r="C359" i="21" s="1"/>
  <c r="B357" i="21"/>
  <c r="C357" i="21" s="1"/>
  <c r="B356" i="21"/>
  <c r="C33" i="21"/>
  <c r="C32" i="21"/>
  <c r="C31" i="21"/>
  <c r="C29" i="21"/>
  <c r="C28" i="21"/>
  <c r="B33" i="21"/>
  <c r="B32" i="21"/>
  <c r="B31" i="21"/>
  <c r="B29" i="21"/>
  <c r="B28" i="21"/>
  <c r="B80" i="21"/>
  <c r="C80" i="21" s="1"/>
  <c r="B79" i="21"/>
  <c r="C79" i="21" s="1"/>
  <c r="B76" i="21"/>
  <c r="C76" i="21" s="1"/>
  <c r="B75" i="21"/>
  <c r="C75" i="21" s="1"/>
  <c r="B78" i="21"/>
  <c r="C78" i="21" s="1"/>
  <c r="C121" i="21"/>
  <c r="C118" i="21"/>
  <c r="C117" i="21"/>
  <c r="C116" i="21"/>
  <c r="C114" i="21"/>
  <c r="C113" i="21"/>
  <c r="B121" i="21"/>
  <c r="C120" i="21"/>
  <c r="B120" i="21"/>
  <c r="B118" i="21"/>
  <c r="B117" i="21"/>
  <c r="B116" i="21"/>
  <c r="B114" i="21"/>
  <c r="B113" i="21"/>
  <c r="B287" i="21"/>
  <c r="C287" i="21" s="1"/>
  <c r="B286" i="21"/>
  <c r="C286" i="21" s="1"/>
  <c r="B285" i="21"/>
  <c r="C285" i="21" s="1"/>
  <c r="B283" i="21"/>
  <c r="C283" i="21" s="1"/>
  <c r="B282" i="21"/>
  <c r="C282" i="21" s="1"/>
  <c r="B319" i="21"/>
  <c r="C319" i="21" s="1"/>
  <c r="B318" i="21"/>
  <c r="C318" i="21" s="1"/>
  <c r="B316" i="21"/>
  <c r="B315" i="21"/>
  <c r="B354" i="21"/>
  <c r="C354" i="21" s="1"/>
  <c r="B353" i="21"/>
  <c r="C353" i="21" s="1"/>
  <c r="B351" i="21"/>
  <c r="C351" i="21" s="1"/>
  <c r="B350" i="21"/>
  <c r="C350" i="21" s="1"/>
  <c r="B348" i="21"/>
  <c r="C348" i="21" s="1"/>
  <c r="B347" i="21"/>
  <c r="C347" i="21" s="1"/>
  <c r="B352" i="21"/>
  <c r="C352" i="21" s="1"/>
  <c r="C73" i="21"/>
  <c r="C72" i="21"/>
  <c r="C71" i="21"/>
  <c r="C68" i="21"/>
  <c r="C67" i="21"/>
  <c r="B73" i="21"/>
  <c r="B72" i="21"/>
  <c r="B71" i="21"/>
  <c r="B68" i="21"/>
  <c r="B67" i="21"/>
  <c r="C70" i="21"/>
  <c r="B70" i="21"/>
  <c r="B369" i="21"/>
  <c r="C369" i="21" s="1"/>
  <c r="B368" i="21"/>
  <c r="C368" i="21" s="1"/>
  <c r="B366" i="21"/>
  <c r="C366" i="21" s="1"/>
  <c r="B365" i="21"/>
  <c r="B213" i="21"/>
  <c r="C213" i="21" s="1"/>
  <c r="B212" i="21"/>
  <c r="C212" i="21" s="1"/>
  <c r="B209" i="21"/>
  <c r="C209" i="21" s="1"/>
  <c r="B208" i="21"/>
  <c r="B220" i="21"/>
  <c r="C220" i="21" s="1"/>
  <c r="B219" i="21"/>
  <c r="C219" i="21" s="1"/>
  <c r="B218" i="21"/>
  <c r="C218" i="21" s="1"/>
  <c r="B216" i="21"/>
  <c r="C216" i="21" s="1"/>
  <c r="B215" i="21"/>
  <c r="B294" i="21"/>
  <c r="C294" i="21" s="1"/>
  <c r="B293" i="21"/>
  <c r="C293" i="21" s="1"/>
  <c r="B292" i="21"/>
  <c r="C292" i="21" s="1"/>
  <c r="B290" i="21"/>
  <c r="C290" i="21" s="1"/>
  <c r="B289" i="21"/>
  <c r="C44" i="21"/>
  <c r="C47" i="21"/>
  <c r="C46" i="21"/>
  <c r="C42" i="21"/>
  <c r="C41" i="21"/>
  <c r="B47" i="21"/>
  <c r="B46" i="21"/>
  <c r="C45" i="21"/>
  <c r="B270" i="21" l="1"/>
  <c r="C30" i="21"/>
  <c r="B373" i="21"/>
  <c r="C373" i="21" s="1"/>
  <c r="B51" i="21"/>
  <c r="C51" i="21" s="1"/>
  <c r="B391" i="21"/>
  <c r="C391" i="21" s="1"/>
  <c r="B93" i="21"/>
  <c r="C93" i="21" s="1"/>
  <c r="B197" i="21"/>
  <c r="C197" i="21" s="1"/>
  <c r="B311" i="21"/>
  <c r="C311" i="21" s="1"/>
  <c r="B379" i="21"/>
  <c r="C379" i="21" s="1"/>
  <c r="C378" i="21"/>
  <c r="B323" i="21"/>
  <c r="C323" i="21" s="1"/>
  <c r="B17" i="21"/>
  <c r="C17" i="21" s="1"/>
  <c r="B138" i="21"/>
  <c r="C134" i="21"/>
  <c r="B335" i="21"/>
  <c r="C335" i="21" s="1"/>
  <c r="C119" i="21"/>
  <c r="B119" i="21"/>
  <c r="C274" i="1"/>
  <c r="B404" i="21"/>
  <c r="C404" i="21" s="1"/>
  <c r="B397" i="21"/>
  <c r="C397" i="21" s="1"/>
  <c r="C389" i="21"/>
  <c r="C371" i="21"/>
  <c r="C334" i="21"/>
  <c r="B305" i="21"/>
  <c r="C305" i="21" s="1"/>
  <c r="C327" i="21"/>
  <c r="C321" i="21"/>
  <c r="C309" i="21"/>
  <c r="C304" i="21"/>
  <c r="B109" i="21"/>
  <c r="B242" i="21"/>
  <c r="C242" i="21" s="1"/>
  <c r="B264" i="21"/>
  <c r="C264" i="21" s="1"/>
  <c r="B7" i="21"/>
  <c r="C7" i="21" s="1"/>
  <c r="B145" i="21"/>
  <c r="C145" i="21" s="1"/>
  <c r="B230" i="21"/>
  <c r="C230" i="21" s="1"/>
  <c r="C162" i="21"/>
  <c r="B63" i="21"/>
  <c r="C63" i="21" s="1"/>
  <c r="C108" i="21"/>
  <c r="C109" i="21" s="1"/>
  <c r="B172" i="21"/>
  <c r="C172" i="21" s="1"/>
  <c r="B224" i="21"/>
  <c r="C224" i="21" s="1"/>
  <c r="C222" i="21"/>
  <c r="B204" i="21"/>
  <c r="C204" i="21" s="1"/>
  <c r="C195" i="21"/>
  <c r="B178" i="21"/>
  <c r="C178" i="21" s="1"/>
  <c r="C176" i="21"/>
  <c r="C170" i="21"/>
  <c r="C143" i="21"/>
  <c r="B99" i="21"/>
  <c r="C99" i="21" s="1"/>
  <c r="B84" i="21"/>
  <c r="C84" i="21" s="1"/>
  <c r="C62" i="21"/>
  <c r="C49" i="21"/>
  <c r="C15" i="21"/>
  <c r="B105" i="21"/>
  <c r="C105" i="21" s="1"/>
  <c r="C103" i="21"/>
  <c r="C166" i="21"/>
  <c r="B162" i="21"/>
  <c r="B298" i="21"/>
  <c r="C298" i="21" s="1"/>
  <c r="C91" i="21"/>
  <c r="B154" i="21"/>
  <c r="C154" i="21" s="1"/>
  <c r="C262" i="21"/>
  <c r="C270" i="21"/>
  <c r="B134" i="21"/>
  <c r="B115" i="21"/>
  <c r="B11" i="21"/>
  <c r="C138" i="21"/>
  <c r="C5" i="21"/>
  <c r="B184" i="21"/>
  <c r="C184" i="21" s="1"/>
  <c r="C182" i="21"/>
  <c r="B358" i="21"/>
  <c r="C358" i="21" s="1"/>
  <c r="C356" i="21"/>
  <c r="B30" i="21"/>
  <c r="B77" i="21"/>
  <c r="C77" i="21" s="1"/>
  <c r="C115" i="21"/>
  <c r="B317" i="21"/>
  <c r="C317" i="21" s="1"/>
  <c r="B284" i="21"/>
  <c r="C284" i="21" s="1"/>
  <c r="C316" i="21"/>
  <c r="C315" i="21"/>
  <c r="B69" i="21"/>
  <c r="C69" i="21"/>
  <c r="B349" i="21"/>
  <c r="C349" i="21" s="1"/>
  <c r="B367" i="21"/>
  <c r="C367" i="21" s="1"/>
  <c r="C365" i="21"/>
  <c r="B210" i="21"/>
  <c r="C210" i="21" s="1"/>
  <c r="C208" i="21"/>
  <c r="B217" i="21"/>
  <c r="C217" i="21" s="1"/>
  <c r="C215" i="21"/>
  <c r="B291" i="21"/>
  <c r="C291" i="21" s="1"/>
  <c r="C289" i="21"/>
  <c r="B44" i="21"/>
  <c r="B41" i="21"/>
  <c r="B45" i="21"/>
  <c r="B42" i="21"/>
  <c r="C43" i="21"/>
  <c r="C39" i="21"/>
  <c r="C38" i="21"/>
  <c r="C36" i="21"/>
  <c r="C35" i="21"/>
  <c r="B39" i="21"/>
  <c r="B38" i="21"/>
  <c r="B36" i="21"/>
  <c r="B35" i="21"/>
  <c r="C193" i="21"/>
  <c r="C192" i="21"/>
  <c r="C189" i="21"/>
  <c r="C188" i="21"/>
  <c r="B193" i="21"/>
  <c r="B192" i="21"/>
  <c r="B189" i="21"/>
  <c r="B188" i="21"/>
  <c r="C345" i="21"/>
  <c r="C344" i="21"/>
  <c r="C343" i="21"/>
  <c r="C340" i="21"/>
  <c r="C339" i="21"/>
  <c r="B345" i="21"/>
  <c r="B344" i="21"/>
  <c r="B343" i="21"/>
  <c r="B340" i="21"/>
  <c r="B339" i="21"/>
  <c r="C260" i="21"/>
  <c r="C259" i="21"/>
  <c r="C255" i="21"/>
  <c r="C254" i="21"/>
  <c r="B260" i="21"/>
  <c r="B259" i="21"/>
  <c r="B258" i="21"/>
  <c r="C257" i="21"/>
  <c r="B255" i="21"/>
  <c r="B254" i="21"/>
  <c r="C258" i="21"/>
  <c r="B257" i="21"/>
  <c r="B280" i="21"/>
  <c r="C280" i="21" s="1"/>
  <c r="B279" i="21"/>
  <c r="C279" i="21" s="1"/>
  <c r="B278" i="21"/>
  <c r="C278" i="21" s="1"/>
  <c r="B277" i="21"/>
  <c r="C277" i="21" s="1"/>
  <c r="B275" i="21"/>
  <c r="C275" i="21" s="1"/>
  <c r="B274" i="21"/>
  <c r="C252" i="21"/>
  <c r="C251" i="21"/>
  <c r="C250" i="21"/>
  <c r="C249" i="21"/>
  <c r="C247" i="21"/>
  <c r="C246" i="21"/>
  <c r="B252" i="21"/>
  <c r="B251" i="21"/>
  <c r="B250" i="21"/>
  <c r="B249" i="21"/>
  <c r="B247" i="21"/>
  <c r="B246" i="21"/>
  <c r="B37" i="21" l="1"/>
  <c r="B248" i="21"/>
  <c r="B256" i="21"/>
  <c r="B190" i="21"/>
  <c r="B341" i="21"/>
  <c r="C37" i="21"/>
  <c r="B43" i="21"/>
  <c r="B276" i="21"/>
  <c r="C276" i="21" s="1"/>
  <c r="C190" i="21"/>
  <c r="C256" i="21"/>
  <c r="C341" i="21"/>
  <c r="C274" i="21"/>
  <c r="C248" i="21"/>
  <c r="B141" i="24" l="1"/>
  <c r="C141" i="24" s="1"/>
  <c r="C423" i="23"/>
  <c r="C130" i="21" l="1"/>
  <c r="C129" i="21"/>
  <c r="C127" i="21"/>
  <c r="C126" i="21"/>
  <c r="C124" i="21"/>
  <c r="C123" i="21"/>
  <c r="B130" i="21"/>
  <c r="B129" i="21"/>
  <c r="B127" i="21"/>
  <c r="B126" i="21"/>
  <c r="B124" i="21"/>
  <c r="B123" i="21"/>
  <c r="B128" i="21" l="1"/>
  <c r="C128" i="21"/>
  <c r="C125" i="21"/>
  <c r="B125" i="21"/>
  <c r="B295" i="23" l="1"/>
  <c r="C295" i="23" s="1"/>
  <c r="B294" i="23"/>
  <c r="C294" i="23" s="1"/>
  <c r="B292" i="23"/>
  <c r="B291" i="23"/>
  <c r="C291" i="23" s="1"/>
  <c r="C214" i="23"/>
  <c r="C213" i="23"/>
  <c r="C211" i="23"/>
  <c r="C210" i="23"/>
  <c r="B214" i="23"/>
  <c r="B213" i="23"/>
  <c r="B211" i="23"/>
  <c r="B210" i="23"/>
  <c r="B188" i="23"/>
  <c r="C188" i="23" s="1"/>
  <c r="B187" i="23"/>
  <c r="C187" i="23" s="1"/>
  <c r="B185" i="23"/>
  <c r="C185" i="23" s="1"/>
  <c r="B184" i="23"/>
  <c r="C298" i="23"/>
  <c r="C297" i="23"/>
  <c r="B301" i="23"/>
  <c r="B300" i="23"/>
  <c r="B298" i="23"/>
  <c r="B297" i="23"/>
  <c r="C301" i="23"/>
  <c r="C300" i="23"/>
  <c r="B108" i="23"/>
  <c r="C108" i="23" s="1"/>
  <c r="B107" i="23"/>
  <c r="C107" i="23" s="1"/>
  <c r="B104" i="23"/>
  <c r="C104" i="23" s="1"/>
  <c r="B103" i="23"/>
  <c r="C103" i="23" s="1"/>
  <c r="C283" i="23"/>
  <c r="C282" i="23"/>
  <c r="C280" i="23"/>
  <c r="C279" i="23"/>
  <c r="B283" i="23"/>
  <c r="B282" i="23"/>
  <c r="B280" i="23"/>
  <c r="B279" i="23"/>
  <c r="B155" i="23"/>
  <c r="C155" i="23" s="1"/>
  <c r="B154" i="23"/>
  <c r="C154" i="23" s="1"/>
  <c r="C146" i="23"/>
  <c r="C145" i="23"/>
  <c r="C142" i="23"/>
  <c r="C141" i="23"/>
  <c r="C140" i="23"/>
  <c r="C138" i="23"/>
  <c r="C137" i="23"/>
  <c r="B145" i="23"/>
  <c r="B146" i="23"/>
  <c r="B142" i="23"/>
  <c r="B141" i="23"/>
  <c r="B140" i="23"/>
  <c r="B138" i="23"/>
  <c r="B137" i="23"/>
  <c r="B51" i="23"/>
  <c r="C51" i="23" s="1"/>
  <c r="B50" i="23"/>
  <c r="C50" i="23" s="1"/>
  <c r="B47" i="23"/>
  <c r="C47" i="23" s="1"/>
  <c r="B46" i="23"/>
  <c r="B49" i="23"/>
  <c r="C49" i="23" s="1"/>
  <c r="B382" i="23"/>
  <c r="C382" i="23" s="1"/>
  <c r="B381" i="23"/>
  <c r="C381" i="23" s="1"/>
  <c r="B378" i="23"/>
  <c r="C378" i="23" s="1"/>
  <c r="B377" i="23"/>
  <c r="B380" i="23"/>
  <c r="C380" i="23" s="1"/>
  <c r="B38" i="23"/>
  <c r="C38" i="23" s="1"/>
  <c r="B37" i="23"/>
  <c r="C37" i="23" s="1"/>
  <c r="B35" i="23"/>
  <c r="C35" i="23" s="1"/>
  <c r="B33" i="23"/>
  <c r="C33" i="23" s="1"/>
  <c r="B32" i="23"/>
  <c r="B348" i="23"/>
  <c r="C348" i="23" s="1"/>
  <c r="B347" i="23"/>
  <c r="C347" i="23" s="1"/>
  <c r="B345" i="23"/>
  <c r="C345" i="23" s="1"/>
  <c r="B343" i="23"/>
  <c r="C343" i="23" s="1"/>
  <c r="B342" i="23"/>
  <c r="B396" i="23"/>
  <c r="C396" i="23" s="1"/>
  <c r="B395" i="23"/>
  <c r="C395" i="23" s="1"/>
  <c r="B393" i="23"/>
  <c r="C393" i="23" s="1"/>
  <c r="B392" i="23"/>
  <c r="C367" i="23"/>
  <c r="C366" i="23"/>
  <c r="C363" i="23"/>
  <c r="C362" i="23"/>
  <c r="B367" i="23"/>
  <c r="B366" i="23"/>
  <c r="B363" i="23"/>
  <c r="B362" i="23"/>
  <c r="C365" i="23"/>
  <c r="B365" i="23"/>
  <c r="B123" i="23"/>
  <c r="C123" i="23" s="1"/>
  <c r="B122" i="23"/>
  <c r="B129" i="23"/>
  <c r="C129" i="23" s="1"/>
  <c r="B128" i="23"/>
  <c r="C128" i="23" s="1"/>
  <c r="C332" i="23"/>
  <c r="C331" i="23"/>
  <c r="C327" i="23"/>
  <c r="C326" i="23"/>
  <c r="B332" i="23"/>
  <c r="B331" i="23"/>
  <c r="B327" i="23"/>
  <c r="B326" i="23"/>
  <c r="B165" i="23"/>
  <c r="C165" i="23" s="1"/>
  <c r="B164" i="23"/>
  <c r="C164" i="23" s="1"/>
  <c r="B162" i="23"/>
  <c r="C162" i="23" s="1"/>
  <c r="B160" i="23"/>
  <c r="C160" i="23" s="1"/>
  <c r="B158" i="23"/>
  <c r="C158" i="23" s="1"/>
  <c r="B157" i="23"/>
  <c r="B161" i="23"/>
  <c r="B322" i="23"/>
  <c r="C322" i="23" s="1"/>
  <c r="B321" i="23"/>
  <c r="C321" i="23" s="1"/>
  <c r="B436" i="23"/>
  <c r="C436" i="23" s="1"/>
  <c r="B435" i="23"/>
  <c r="C435" i="23" s="1"/>
  <c r="B433" i="23"/>
  <c r="C433" i="23" s="1"/>
  <c r="B432" i="23"/>
  <c r="B324" i="23"/>
  <c r="C324" i="23" s="1"/>
  <c r="B323" i="23"/>
  <c r="C323" i="23" s="1"/>
  <c r="B319" i="23"/>
  <c r="C319" i="23" s="1"/>
  <c r="B318" i="23"/>
  <c r="B289" i="23"/>
  <c r="C289" i="23" s="1"/>
  <c r="B288" i="23"/>
  <c r="C288" i="23" s="1"/>
  <c r="B286" i="23"/>
  <c r="C286" i="23" s="1"/>
  <c r="B285" i="23"/>
  <c r="B152" i="23"/>
  <c r="C152" i="23" s="1"/>
  <c r="B151" i="23"/>
  <c r="C151" i="23" s="1"/>
  <c r="B149" i="23"/>
  <c r="C149" i="23" s="1"/>
  <c r="B148" i="23"/>
  <c r="C148" i="23" s="1"/>
  <c r="B135" i="23"/>
  <c r="C135" i="23" s="1"/>
  <c r="B134" i="23"/>
  <c r="C134" i="23" s="1"/>
  <c r="B132" i="23"/>
  <c r="C132" i="23" s="1"/>
  <c r="B131" i="23"/>
  <c r="C131" i="23" s="1"/>
  <c r="B77" i="23"/>
  <c r="C77" i="23" s="1"/>
  <c r="B76" i="23"/>
  <c r="C76" i="23" s="1"/>
  <c r="B74" i="23"/>
  <c r="C74" i="23" s="1"/>
  <c r="B73" i="23"/>
  <c r="B59" i="23"/>
  <c r="C59" i="23" s="1"/>
  <c r="B58" i="23"/>
  <c r="C58" i="23" s="1"/>
  <c r="B54" i="23"/>
  <c r="C54" i="23" s="1"/>
  <c r="B53" i="23"/>
  <c r="B44" i="23"/>
  <c r="C44" i="23" s="1"/>
  <c r="B43" i="23"/>
  <c r="C43" i="23" s="1"/>
  <c r="B41" i="23"/>
  <c r="C41" i="23" s="1"/>
  <c r="B40" i="23"/>
  <c r="C40" i="23" s="1"/>
  <c r="B264" i="23"/>
  <c r="C264" i="23" s="1"/>
  <c r="B263" i="23"/>
  <c r="C263" i="23" s="1"/>
  <c r="B261" i="23"/>
  <c r="C261" i="23" s="1"/>
  <c r="B260" i="23"/>
  <c r="B258" i="23"/>
  <c r="C258" i="23" s="1"/>
  <c r="B257" i="23"/>
  <c r="C257" i="23" s="1"/>
  <c r="B255" i="23"/>
  <c r="B254" i="23"/>
  <c r="C254" i="23" s="1"/>
  <c r="B241" i="23"/>
  <c r="B245" i="23"/>
  <c r="C245" i="23" s="1"/>
  <c r="B244" i="23"/>
  <c r="C244" i="23" s="1"/>
  <c r="B242" i="23"/>
  <c r="C242" i="23" s="1"/>
  <c r="C239" i="23"/>
  <c r="C238" i="23"/>
  <c r="C237" i="23"/>
  <c r="C235" i="23"/>
  <c r="C234" i="23"/>
  <c r="B239" i="23"/>
  <c r="B238" i="23"/>
  <c r="B237" i="23"/>
  <c r="B235" i="23"/>
  <c r="B234" i="23"/>
  <c r="B178" i="23"/>
  <c r="C178" i="23" s="1"/>
  <c r="B177" i="23"/>
  <c r="B182" i="23"/>
  <c r="C182" i="23" s="1"/>
  <c r="B181" i="23"/>
  <c r="C181" i="23" s="1"/>
  <c r="B120" i="23"/>
  <c r="C120" i="23" s="1"/>
  <c r="B119" i="23"/>
  <c r="C119" i="23" s="1"/>
  <c r="B117" i="23"/>
  <c r="C117" i="23" s="1"/>
  <c r="B116" i="23"/>
  <c r="B340" i="23"/>
  <c r="C340" i="23" s="1"/>
  <c r="B339" i="23"/>
  <c r="C339" i="23" s="1"/>
  <c r="B338" i="23"/>
  <c r="C338" i="23" s="1"/>
  <c r="B335" i="23"/>
  <c r="C335" i="23" s="1"/>
  <c r="B334" i="23"/>
  <c r="B337" i="23"/>
  <c r="C337" i="23" s="1"/>
  <c r="B87" i="23"/>
  <c r="C87" i="23" s="1"/>
  <c r="B86" i="23"/>
  <c r="C86" i="23" s="1"/>
  <c r="B90" i="23"/>
  <c r="C90" i="23" s="1"/>
  <c r="B89" i="23"/>
  <c r="C89" i="23" s="1"/>
  <c r="C277" i="23"/>
  <c r="C276" i="23"/>
  <c r="C275" i="23"/>
  <c r="C273" i="23"/>
  <c r="C272" i="23"/>
  <c r="B277" i="23"/>
  <c r="B276" i="23"/>
  <c r="B275" i="23"/>
  <c r="B273" i="23"/>
  <c r="B272" i="23"/>
  <c r="B375" i="23"/>
  <c r="C375" i="23" s="1"/>
  <c r="B374" i="23"/>
  <c r="C374" i="23" s="1"/>
  <c r="B373" i="23"/>
  <c r="C373" i="23" s="1"/>
  <c r="B372" i="23"/>
  <c r="C372" i="23" s="1"/>
  <c r="B370" i="23"/>
  <c r="C370" i="23" s="1"/>
  <c r="B369" i="23"/>
  <c r="B170" i="23"/>
  <c r="C170" i="23" s="1"/>
  <c r="B172" i="23"/>
  <c r="C172" i="23" s="1"/>
  <c r="B171" i="23"/>
  <c r="C171" i="23" s="1"/>
  <c r="B175" i="23"/>
  <c r="C175" i="23" s="1"/>
  <c r="B174" i="23"/>
  <c r="C174" i="23" s="1"/>
  <c r="B168" i="23"/>
  <c r="B167" i="23"/>
  <c r="C167" i="23" s="1"/>
  <c r="B201" i="23"/>
  <c r="C201" i="23" s="1"/>
  <c r="B200" i="23"/>
  <c r="C200" i="23" s="1"/>
  <c r="B197" i="23"/>
  <c r="C197" i="23" s="1"/>
  <c r="B196" i="23"/>
  <c r="B199" i="23"/>
  <c r="C199" i="23" s="1"/>
  <c r="B101" i="23"/>
  <c r="C101" i="23" s="1"/>
  <c r="B100" i="23"/>
  <c r="C100" i="23" s="1"/>
  <c r="B98" i="23"/>
  <c r="C98" i="23" s="1"/>
  <c r="B97" i="23"/>
  <c r="B96" i="23"/>
  <c r="C96" i="23" s="1"/>
  <c r="B95" i="23"/>
  <c r="C95" i="23" s="1"/>
  <c r="B93" i="23"/>
  <c r="C93" i="23" s="1"/>
  <c r="B92" i="23"/>
  <c r="C92" i="23" s="1"/>
  <c r="B22" i="23"/>
  <c r="C22" i="23" s="1"/>
  <c r="B21" i="23"/>
  <c r="C21" i="23" s="1"/>
  <c r="B20" i="23"/>
  <c r="C20" i="23" s="1"/>
  <c r="B18" i="23"/>
  <c r="C18" i="23" s="1"/>
  <c r="B17" i="23"/>
  <c r="C252" i="23"/>
  <c r="C251" i="23"/>
  <c r="C248" i="23"/>
  <c r="C247" i="23"/>
  <c r="B252" i="23"/>
  <c r="B251" i="23"/>
  <c r="B248" i="23"/>
  <c r="B247" i="23"/>
  <c r="B390" i="23"/>
  <c r="C390" i="23" s="1"/>
  <c r="B389" i="23"/>
  <c r="C389" i="23" s="1"/>
  <c r="B388" i="23"/>
  <c r="C388" i="23" s="1"/>
  <c r="B387" i="23"/>
  <c r="C387" i="23" s="1"/>
  <c r="B385" i="23"/>
  <c r="C385" i="23" s="1"/>
  <c r="B384" i="23"/>
  <c r="B71" i="23"/>
  <c r="C71" i="23" s="1"/>
  <c r="B70" i="23"/>
  <c r="C70" i="23" s="1"/>
  <c r="B68" i="23"/>
  <c r="B67" i="23"/>
  <c r="C67" i="23" s="1"/>
  <c r="B15" i="23"/>
  <c r="C15" i="23" s="1"/>
  <c r="B14" i="23"/>
  <c r="C14" i="23" s="1"/>
  <c r="B11" i="23"/>
  <c r="C11" i="23" s="1"/>
  <c r="B10" i="23"/>
  <c r="C10" i="23" s="1"/>
  <c r="B9" i="23"/>
  <c r="C9" i="23" s="1"/>
  <c r="B8" i="23"/>
  <c r="C8" i="23" s="1"/>
  <c r="B6" i="23"/>
  <c r="C6" i="23" s="1"/>
  <c r="B5" i="23"/>
  <c r="C5" i="23" s="1"/>
  <c r="B30" i="23"/>
  <c r="C30" i="23" s="1"/>
  <c r="B29" i="23"/>
  <c r="C29" i="23" s="1"/>
  <c r="B27" i="23"/>
  <c r="C27" i="23" s="1"/>
  <c r="B25" i="23"/>
  <c r="C25" i="23" s="1"/>
  <c r="B24" i="23"/>
  <c r="C24" i="23" s="1"/>
  <c r="C208" i="23"/>
  <c r="C207" i="23"/>
  <c r="C204" i="23"/>
  <c r="C203" i="23"/>
  <c r="B208" i="23"/>
  <c r="B207" i="23"/>
  <c r="B204" i="23"/>
  <c r="B203" i="23"/>
  <c r="B84" i="23"/>
  <c r="C84" i="23" s="1"/>
  <c r="B83" i="23"/>
  <c r="C83" i="23" s="1"/>
  <c r="B82" i="23"/>
  <c r="C82" i="23" s="1"/>
  <c r="B80" i="23"/>
  <c r="C80" i="23" s="1"/>
  <c r="B79" i="23"/>
  <c r="C79" i="23" s="1"/>
  <c r="B34" i="23" l="1"/>
  <c r="C34" i="23" s="1"/>
  <c r="C299" i="23"/>
  <c r="B287" i="23"/>
  <c r="C287" i="23" s="1"/>
  <c r="C205" i="23"/>
  <c r="C153" i="23"/>
  <c r="B212" i="23"/>
  <c r="B379" i="23"/>
  <c r="C379" i="23" s="1"/>
  <c r="C173" i="23"/>
  <c r="C364" i="23"/>
  <c r="C139" i="23"/>
  <c r="C328" i="23"/>
  <c r="B55" i="23"/>
  <c r="C55" i="23" s="1"/>
  <c r="B434" i="23"/>
  <c r="C434" i="23" s="1"/>
  <c r="B48" i="23"/>
  <c r="C48" i="23" s="1"/>
  <c r="B394" i="23"/>
  <c r="C394" i="23" s="1"/>
  <c r="B139" i="23"/>
  <c r="B118" i="23"/>
  <c r="C118" i="23" s="1"/>
  <c r="B124" i="23"/>
  <c r="C124" i="23" s="1"/>
  <c r="B19" i="23"/>
  <c r="C19" i="23" s="1"/>
  <c r="B371" i="23"/>
  <c r="C371" i="23" s="1"/>
  <c r="B336" i="23"/>
  <c r="C336" i="23" s="1"/>
  <c r="B99" i="23"/>
  <c r="C236" i="23"/>
  <c r="C281" i="23"/>
  <c r="B299" i="23"/>
  <c r="B281" i="23"/>
  <c r="B293" i="23"/>
  <c r="C293" i="23" s="1"/>
  <c r="B328" i="23"/>
  <c r="C12" i="23"/>
  <c r="C212" i="23"/>
  <c r="B153" i="23"/>
  <c r="C97" i="23"/>
  <c r="C99" i="23" s="1"/>
  <c r="B186" i="23"/>
  <c r="C186" i="23" s="1"/>
  <c r="C292" i="23"/>
  <c r="C143" i="23"/>
  <c r="B143" i="23"/>
  <c r="C184" i="23"/>
  <c r="B105" i="23"/>
  <c r="C105" i="23" s="1"/>
  <c r="C46" i="23"/>
  <c r="C377" i="23"/>
  <c r="C32" i="23"/>
  <c r="B344" i="23"/>
  <c r="C344" i="23" s="1"/>
  <c r="C342" i="23"/>
  <c r="C392" i="23"/>
  <c r="B364" i="23"/>
  <c r="C122" i="23"/>
  <c r="B163" i="23"/>
  <c r="B159" i="23"/>
  <c r="C159" i="23" s="1"/>
  <c r="C157" i="23"/>
  <c r="C161" i="23"/>
  <c r="C163" i="23" s="1"/>
  <c r="B42" i="23"/>
  <c r="C42" i="23" s="1"/>
  <c r="B243" i="23"/>
  <c r="C243" i="23" s="1"/>
  <c r="B75" i="23"/>
  <c r="C75" i="23" s="1"/>
  <c r="B320" i="23"/>
  <c r="C320" i="23" s="1"/>
  <c r="B173" i="23"/>
  <c r="B262" i="23"/>
  <c r="C262" i="23" s="1"/>
  <c r="B169" i="23"/>
  <c r="C169" i="23" s="1"/>
  <c r="C432" i="23"/>
  <c r="C318" i="23"/>
  <c r="C285" i="23"/>
  <c r="B150" i="23"/>
  <c r="C150" i="23" s="1"/>
  <c r="B133" i="23"/>
  <c r="C133" i="23" s="1"/>
  <c r="C73" i="23"/>
  <c r="C53" i="23"/>
  <c r="B236" i="23"/>
  <c r="C241" i="23"/>
  <c r="C17" i="23"/>
  <c r="B69" i="23"/>
  <c r="C69" i="23" s="1"/>
  <c r="B12" i="23"/>
  <c r="B249" i="23"/>
  <c r="C168" i="23"/>
  <c r="B386" i="23"/>
  <c r="C386" i="23" s="1"/>
  <c r="B198" i="23"/>
  <c r="C198" i="23" s="1"/>
  <c r="B256" i="23"/>
  <c r="C256" i="23" s="1"/>
  <c r="C260" i="23"/>
  <c r="C255" i="23"/>
  <c r="B179" i="23"/>
  <c r="C179" i="23" s="1"/>
  <c r="C177" i="23"/>
  <c r="C116" i="23"/>
  <c r="C334" i="23"/>
  <c r="B88" i="23"/>
  <c r="C88" i="23" s="1"/>
  <c r="C274" i="23"/>
  <c r="B274" i="23"/>
  <c r="C369" i="23"/>
  <c r="C196" i="23"/>
  <c r="B94" i="23"/>
  <c r="C94" i="23" s="1"/>
  <c r="C249" i="23"/>
  <c r="C384" i="23"/>
  <c r="C68" i="23"/>
  <c r="B7" i="23"/>
  <c r="C7" i="23" s="1"/>
  <c r="B26" i="23"/>
  <c r="C26" i="23" s="1"/>
  <c r="B205" i="23"/>
  <c r="B81" i="23"/>
  <c r="C81" i="23" s="1"/>
  <c r="C232" i="23"/>
  <c r="C231" i="23"/>
  <c r="C229" i="23"/>
  <c r="C228" i="23"/>
  <c r="B232" i="23"/>
  <c r="B231" i="23"/>
  <c r="B229" i="23"/>
  <c r="B228" i="23"/>
  <c r="B315" i="23"/>
  <c r="C315" i="23" s="1"/>
  <c r="B316" i="23"/>
  <c r="C316" i="23" s="1"/>
  <c r="B313" i="23"/>
  <c r="C313" i="23" s="1"/>
  <c r="B312" i="23"/>
  <c r="C312" i="23" s="1"/>
  <c r="B310" i="23"/>
  <c r="C310" i="23" s="1"/>
  <c r="B309" i="23"/>
  <c r="C430" i="23"/>
  <c r="C429" i="23"/>
  <c r="C428" i="23"/>
  <c r="C427" i="23"/>
  <c r="C426" i="23"/>
  <c r="C424" i="23"/>
  <c r="B430" i="23"/>
  <c r="B429" i="23"/>
  <c r="B428" i="23"/>
  <c r="B427" i="23"/>
  <c r="B426" i="23"/>
  <c r="B424" i="23"/>
  <c r="B423" i="23"/>
  <c r="B399" i="23"/>
  <c r="C399" i="23" s="1"/>
  <c r="B398" i="23"/>
  <c r="B402" i="23"/>
  <c r="C402" i="23" s="1"/>
  <c r="B401" i="23"/>
  <c r="C401" i="23" s="1"/>
  <c r="B417" i="23"/>
  <c r="C417" i="23" s="1"/>
  <c r="B416" i="23"/>
  <c r="B421" i="23"/>
  <c r="C421" i="23" s="1"/>
  <c r="B420" i="23"/>
  <c r="C420" i="23" s="1"/>
  <c r="M448" i="16"/>
  <c r="B419" i="19"/>
  <c r="C419" i="19" s="1"/>
  <c r="B418" i="19"/>
  <c r="C418" i="19" s="1"/>
  <c r="B417" i="19"/>
  <c r="C417" i="19" s="1"/>
  <c r="B416" i="19"/>
  <c r="C416" i="19" s="1"/>
  <c r="B414" i="19"/>
  <c r="C414" i="19" s="1"/>
  <c r="B413" i="19"/>
  <c r="B117" i="19"/>
  <c r="C117" i="19" s="1"/>
  <c r="B116" i="19"/>
  <c r="C116" i="19" s="1"/>
  <c r="B114" i="19"/>
  <c r="C114" i="19" s="1"/>
  <c r="B113" i="19"/>
  <c r="B156" i="19"/>
  <c r="C156" i="19" s="1"/>
  <c r="B155" i="19"/>
  <c r="C155" i="19" s="1"/>
  <c r="B153" i="19"/>
  <c r="C153" i="19" s="1"/>
  <c r="B152" i="19"/>
  <c r="B150" i="19"/>
  <c r="C150" i="19" s="1"/>
  <c r="B149" i="19"/>
  <c r="B105" i="19"/>
  <c r="C105" i="19" s="1"/>
  <c r="B104" i="19"/>
  <c r="C104" i="19" s="1"/>
  <c r="B102" i="19"/>
  <c r="C102" i="19" s="1"/>
  <c r="B101" i="19"/>
  <c r="B209" i="19"/>
  <c r="C209" i="19" s="1"/>
  <c r="B208" i="19"/>
  <c r="C208" i="19" s="1"/>
  <c r="B206" i="19"/>
  <c r="C206" i="19" s="1"/>
  <c r="B205" i="19"/>
  <c r="B38" i="19"/>
  <c r="C38" i="19" s="1"/>
  <c r="B37" i="19"/>
  <c r="C37" i="19" s="1"/>
  <c r="B39" i="19"/>
  <c r="C39" i="19" s="1"/>
  <c r="B40" i="19"/>
  <c r="C40" i="19" s="1"/>
  <c r="B35" i="19"/>
  <c r="C35" i="19" s="1"/>
  <c r="B34" i="19"/>
  <c r="B154" i="19" l="1"/>
  <c r="B207" i="19"/>
  <c r="C207" i="19" s="1"/>
  <c r="B425" i="23"/>
  <c r="B230" i="23"/>
  <c r="B400" i="23"/>
  <c r="C400" i="23" s="1"/>
  <c r="C230" i="23"/>
  <c r="C425" i="23"/>
  <c r="B311" i="23"/>
  <c r="C311" i="23" s="1"/>
  <c r="C309" i="23"/>
  <c r="C398" i="23"/>
  <c r="B418" i="23"/>
  <c r="C418" i="23" s="1"/>
  <c r="C416" i="23"/>
  <c r="B36" i="19"/>
  <c r="C36" i="19" s="1"/>
  <c r="B115" i="19"/>
  <c r="C115" i="19" s="1"/>
  <c r="C152" i="19"/>
  <c r="C154" i="19" s="1"/>
  <c r="B415" i="19"/>
  <c r="C415" i="19" s="1"/>
  <c r="C413" i="19"/>
  <c r="B103" i="19"/>
  <c r="C103" i="19" s="1"/>
  <c r="C113" i="19"/>
  <c r="B151" i="19"/>
  <c r="C151" i="19" s="1"/>
  <c r="C149" i="19"/>
  <c r="C101" i="19"/>
  <c r="C205" i="19"/>
  <c r="C34" i="19"/>
  <c r="C47" i="20" l="1"/>
  <c r="B47" i="20"/>
  <c r="B383" i="16" l="1"/>
  <c r="C236" i="16"/>
  <c r="B236" i="16"/>
  <c r="C196" i="16"/>
  <c r="B196" i="16"/>
  <c r="B57" i="18" l="1"/>
  <c r="C57" i="18" s="1"/>
  <c r="B56" i="18"/>
  <c r="C56" i="18" s="1"/>
  <c r="B54" i="18"/>
  <c r="C54" i="18" s="1"/>
  <c r="B53" i="18"/>
  <c r="C53" i="18" s="1"/>
  <c r="B419" i="18"/>
  <c r="C419" i="18" s="1"/>
  <c r="B418" i="18"/>
  <c r="C418" i="18" s="1"/>
  <c r="B417" i="18"/>
  <c r="C417" i="18" s="1"/>
  <c r="B415" i="18"/>
  <c r="C415" i="18" s="1"/>
  <c r="B414" i="18"/>
  <c r="B412" i="18"/>
  <c r="C412" i="18" s="1"/>
  <c r="B411" i="18"/>
  <c r="C411" i="18" s="1"/>
  <c r="B409" i="18"/>
  <c r="C409" i="18" s="1"/>
  <c r="B408" i="18"/>
  <c r="C408" i="18" s="1"/>
  <c r="B406" i="18"/>
  <c r="C406" i="18" s="1"/>
  <c r="B405" i="18"/>
  <c r="C405" i="18" s="1"/>
  <c r="B403" i="18"/>
  <c r="C403" i="18" s="1"/>
  <c r="B402" i="18"/>
  <c r="B400" i="18"/>
  <c r="C400" i="18" s="1"/>
  <c r="B399" i="18"/>
  <c r="C399" i="18" s="1"/>
  <c r="B397" i="18"/>
  <c r="C397" i="18" s="1"/>
  <c r="B396" i="18"/>
  <c r="B386" i="18"/>
  <c r="C386" i="18" s="1"/>
  <c r="B385" i="18"/>
  <c r="C385" i="18" s="1"/>
  <c r="B382" i="18"/>
  <c r="C382" i="18" s="1"/>
  <c r="B381" i="18"/>
  <c r="B379" i="18"/>
  <c r="C379" i="18" s="1"/>
  <c r="B378" i="18"/>
  <c r="C378" i="18" s="1"/>
  <c r="B376" i="18"/>
  <c r="C376" i="18" s="1"/>
  <c r="B375" i="18"/>
  <c r="B367" i="18"/>
  <c r="C367" i="18" s="1"/>
  <c r="B366" i="18"/>
  <c r="C366" i="18" s="1"/>
  <c r="B364" i="18"/>
  <c r="C364" i="18" s="1"/>
  <c r="B363" i="18"/>
  <c r="B361" i="18"/>
  <c r="C361" i="18" s="1"/>
  <c r="B360" i="18"/>
  <c r="C360" i="18" s="1"/>
  <c r="B357" i="18"/>
  <c r="C357" i="18" s="1"/>
  <c r="B356" i="18"/>
  <c r="C356" i="18" s="1"/>
  <c r="B354" i="18"/>
  <c r="C354" i="18" s="1"/>
  <c r="B353" i="18"/>
  <c r="C353" i="18" s="1"/>
  <c r="B351" i="18"/>
  <c r="C351" i="18" s="1"/>
  <c r="B350" i="18"/>
  <c r="B309" i="18"/>
  <c r="C309" i="18" s="1"/>
  <c r="B308" i="18"/>
  <c r="C308" i="18" s="1"/>
  <c r="B306" i="18"/>
  <c r="C306" i="18" s="1"/>
  <c r="B305" i="18"/>
  <c r="B307" i="18" s="1"/>
  <c r="C307" i="18" s="1"/>
  <c r="B303" i="18"/>
  <c r="C303" i="18" s="1"/>
  <c r="B302" i="18"/>
  <c r="C302" i="18" s="1"/>
  <c r="B300" i="18"/>
  <c r="C300" i="18" s="1"/>
  <c r="B299" i="18"/>
  <c r="B144" i="18"/>
  <c r="C144" i="18" s="1"/>
  <c r="B143" i="18"/>
  <c r="C143" i="18" s="1"/>
  <c r="B141" i="18"/>
  <c r="C141" i="18" s="1"/>
  <c r="B140" i="18"/>
  <c r="C140" i="18" s="1"/>
  <c r="B118" i="18"/>
  <c r="C118" i="18" s="1"/>
  <c r="B117" i="18"/>
  <c r="C117" i="18" s="1"/>
  <c r="B115" i="18"/>
  <c r="C115" i="18" s="1"/>
  <c r="B114" i="18"/>
  <c r="B113" i="18"/>
  <c r="C113" i="18" s="1"/>
  <c r="B111" i="18"/>
  <c r="C111" i="18" s="1"/>
  <c r="B110" i="18"/>
  <c r="B95" i="18"/>
  <c r="C95" i="18" s="1"/>
  <c r="B94" i="18"/>
  <c r="C94" i="18" s="1"/>
  <c r="B92" i="18"/>
  <c r="C92" i="18" s="1"/>
  <c r="B91" i="18"/>
  <c r="B74" i="18"/>
  <c r="C74" i="18" s="1"/>
  <c r="B76" i="18"/>
  <c r="C76" i="18" s="1"/>
  <c r="B75" i="18"/>
  <c r="C75" i="18" s="1"/>
  <c r="B72" i="18"/>
  <c r="C72" i="18" s="1"/>
  <c r="B71" i="18"/>
  <c r="C71" i="18" s="1"/>
  <c r="B301" i="18" l="1"/>
  <c r="C301" i="18" s="1"/>
  <c r="B377" i="18"/>
  <c r="C377" i="18" s="1"/>
  <c r="B416" i="18"/>
  <c r="C416" i="18" s="1"/>
  <c r="B404" i="18"/>
  <c r="C404" i="18" s="1"/>
  <c r="B352" i="18"/>
  <c r="C352" i="18" s="1"/>
  <c r="B398" i="18"/>
  <c r="C398" i="18" s="1"/>
  <c r="B55" i="18"/>
  <c r="C55" i="18" s="1"/>
  <c r="B365" i="18"/>
  <c r="C365" i="18" s="1"/>
  <c r="B116" i="18"/>
  <c r="C414" i="18"/>
  <c r="B410" i="18"/>
  <c r="C410" i="18" s="1"/>
  <c r="C402" i="18"/>
  <c r="C396" i="18"/>
  <c r="B383" i="18"/>
  <c r="C383" i="18" s="1"/>
  <c r="B112" i="18"/>
  <c r="C112" i="18" s="1"/>
  <c r="C381" i="18"/>
  <c r="C375" i="18"/>
  <c r="C363" i="18"/>
  <c r="B358" i="18"/>
  <c r="C358" i="18" s="1"/>
  <c r="C350" i="18"/>
  <c r="C305" i="18"/>
  <c r="C299" i="18"/>
  <c r="B142" i="18"/>
  <c r="C142" i="18" s="1"/>
  <c r="B93" i="18"/>
  <c r="C93" i="18" s="1"/>
  <c r="C114" i="18"/>
  <c r="C116" i="18" s="1"/>
  <c r="C110" i="18"/>
  <c r="C91" i="18"/>
  <c r="B73" i="18"/>
  <c r="C73" i="18" s="1"/>
  <c r="B69" i="18" l="1"/>
  <c r="C69" i="18" s="1"/>
  <c r="B68" i="18"/>
  <c r="C68" i="18" s="1"/>
  <c r="B66" i="18"/>
  <c r="C66" i="18" s="1"/>
  <c r="B65" i="18"/>
  <c r="B63" i="18"/>
  <c r="C63" i="18" s="1"/>
  <c r="B62" i="18"/>
  <c r="C62" i="18" s="1"/>
  <c r="B60" i="18"/>
  <c r="C60" i="18" s="1"/>
  <c r="B59" i="18"/>
  <c r="B51" i="18"/>
  <c r="C51" i="18" s="1"/>
  <c r="B50" i="18"/>
  <c r="C50" i="18" s="1"/>
  <c r="B48" i="18"/>
  <c r="C48" i="18" s="1"/>
  <c r="B47" i="18"/>
  <c r="B22" i="18"/>
  <c r="C22" i="18" s="1"/>
  <c r="B21" i="18"/>
  <c r="C21" i="18" s="1"/>
  <c r="B19" i="18"/>
  <c r="C19" i="18" s="1"/>
  <c r="B18" i="18"/>
  <c r="B160" i="18"/>
  <c r="C160" i="18" s="1"/>
  <c r="B159" i="18"/>
  <c r="C159" i="18" s="1"/>
  <c r="B157" i="18"/>
  <c r="C157" i="18" s="1"/>
  <c r="B156" i="18"/>
  <c r="B155" i="18"/>
  <c r="C155" i="18" s="1"/>
  <c r="B153" i="18"/>
  <c r="C153" i="18" s="1"/>
  <c r="B152" i="18"/>
  <c r="C152" i="18" s="1"/>
  <c r="C446" i="18"/>
  <c r="C445" i="18"/>
  <c r="C443" i="18"/>
  <c r="C442" i="18"/>
  <c r="B446" i="18"/>
  <c r="B445" i="18"/>
  <c r="B443" i="18"/>
  <c r="B442" i="18"/>
  <c r="B29" i="18"/>
  <c r="C29" i="18" s="1"/>
  <c r="B28" i="18"/>
  <c r="C28" i="18" s="1"/>
  <c r="B27" i="18"/>
  <c r="C27" i="18" s="1"/>
  <c r="B25" i="18"/>
  <c r="B24" i="18"/>
  <c r="B348" i="18"/>
  <c r="C348" i="18" s="1"/>
  <c r="B347" i="18"/>
  <c r="C347" i="18" s="1"/>
  <c r="B345" i="18"/>
  <c r="C345" i="18" s="1"/>
  <c r="B344" i="18"/>
  <c r="B426" i="18"/>
  <c r="C426" i="18" s="1"/>
  <c r="B425" i="18"/>
  <c r="C425" i="18" s="1"/>
  <c r="B424" i="18"/>
  <c r="C424" i="18" s="1"/>
  <c r="B422" i="18"/>
  <c r="B421" i="18"/>
  <c r="B258" i="18"/>
  <c r="C258" i="18" s="1"/>
  <c r="B257" i="18"/>
  <c r="C257" i="18" s="1"/>
  <c r="B255" i="18"/>
  <c r="C255" i="18" s="1"/>
  <c r="B254" i="18"/>
  <c r="B264" i="18"/>
  <c r="C264" i="18" s="1"/>
  <c r="B263" i="18"/>
  <c r="C263" i="18" s="1"/>
  <c r="B261" i="18"/>
  <c r="B260" i="18"/>
  <c r="C260" i="18" s="1"/>
  <c r="B271" i="18"/>
  <c r="C271" i="18" s="1"/>
  <c r="B270" i="18"/>
  <c r="C270" i="18" s="1"/>
  <c r="B267" i="18"/>
  <c r="C267" i="18" s="1"/>
  <c r="B266" i="18"/>
  <c r="C284" i="18"/>
  <c r="C283" i="18"/>
  <c r="C282" i="18"/>
  <c r="C280" i="18"/>
  <c r="C279" i="18"/>
  <c r="B284" i="18"/>
  <c r="B283" i="18"/>
  <c r="B282" i="18"/>
  <c r="B280" i="18"/>
  <c r="B279" i="18"/>
  <c r="C45" i="18"/>
  <c r="C44" i="18"/>
  <c r="C42" i="18"/>
  <c r="C41" i="18"/>
  <c r="B45" i="18"/>
  <c r="B44" i="18"/>
  <c r="B42" i="18"/>
  <c r="B41" i="18"/>
  <c r="B175" i="18"/>
  <c r="C175" i="18" s="1"/>
  <c r="B174" i="18"/>
  <c r="C174" i="18" s="1"/>
  <c r="B172" i="18"/>
  <c r="C172" i="18" s="1"/>
  <c r="B171" i="18"/>
  <c r="C171" i="18" s="1"/>
  <c r="B181" i="18"/>
  <c r="C181" i="18" s="1"/>
  <c r="B180" i="18"/>
  <c r="C180" i="18" s="1"/>
  <c r="B178" i="18"/>
  <c r="C178" i="18" s="1"/>
  <c r="B177" i="18"/>
  <c r="B239" i="18"/>
  <c r="C239" i="18" s="1"/>
  <c r="B238" i="18"/>
  <c r="C238" i="18" s="1"/>
  <c r="B236" i="18"/>
  <c r="C236" i="18" s="1"/>
  <c r="B235" i="18"/>
  <c r="C235" i="18" s="1"/>
  <c r="B227" i="18"/>
  <c r="C227" i="18" s="1"/>
  <c r="B226" i="18"/>
  <c r="C226" i="18" s="1"/>
  <c r="B224" i="18"/>
  <c r="C224" i="18" s="1"/>
  <c r="B223" i="18"/>
  <c r="C223" i="18" s="1"/>
  <c r="C195" i="18"/>
  <c r="C194" i="18"/>
  <c r="C193" i="18"/>
  <c r="C192" i="18"/>
  <c r="C190" i="18"/>
  <c r="C189" i="18"/>
  <c r="B195" i="18"/>
  <c r="B194" i="18"/>
  <c r="B193" i="18"/>
  <c r="B190" i="18"/>
  <c r="B189" i="18"/>
  <c r="B192" i="18"/>
  <c r="B36" i="18"/>
  <c r="C36" i="18" s="1"/>
  <c r="B35" i="18"/>
  <c r="B39" i="18"/>
  <c r="C39" i="18" s="1"/>
  <c r="B32" i="18"/>
  <c r="C32" i="18" s="1"/>
  <c r="B31" i="18"/>
  <c r="B38" i="18"/>
  <c r="C38" i="18" s="1"/>
  <c r="B34" i="18"/>
  <c r="C34" i="18" s="1"/>
  <c r="B394" i="18"/>
  <c r="C394" i="18" s="1"/>
  <c r="B393" i="18"/>
  <c r="C393" i="18" s="1"/>
  <c r="B392" i="18"/>
  <c r="C392" i="18" s="1"/>
  <c r="B391" i="18"/>
  <c r="C391" i="18" s="1"/>
  <c r="B389" i="18"/>
  <c r="C389" i="18" s="1"/>
  <c r="B388" i="18"/>
  <c r="C388" i="18" s="1"/>
  <c r="C10" i="18"/>
  <c r="C9" i="18"/>
  <c r="C8" i="18"/>
  <c r="C6" i="18"/>
  <c r="C5" i="18"/>
  <c r="B10" i="18"/>
  <c r="B9" i="18"/>
  <c r="B8" i="18"/>
  <c r="B6" i="18"/>
  <c r="B5" i="18"/>
  <c r="B101" i="18"/>
  <c r="C101" i="18" s="1"/>
  <c r="B100" i="18"/>
  <c r="C100" i="18" s="1"/>
  <c r="B97" i="18"/>
  <c r="C97" i="18" s="1"/>
  <c r="B98" i="18"/>
  <c r="B211" i="18"/>
  <c r="C211" i="18" s="1"/>
  <c r="B210" i="18"/>
  <c r="C210" i="18" s="1"/>
  <c r="B215" i="18"/>
  <c r="C215" i="18" s="1"/>
  <c r="B214" i="18"/>
  <c r="C214" i="18" s="1"/>
  <c r="B213" i="18"/>
  <c r="C213" i="18" s="1"/>
  <c r="C82" i="18"/>
  <c r="C81" i="18"/>
  <c r="C79" i="18"/>
  <c r="C78" i="18"/>
  <c r="B81" i="18"/>
  <c r="B79" i="18"/>
  <c r="B78" i="18"/>
  <c r="B334" i="18"/>
  <c r="C334" i="18" s="1"/>
  <c r="B333" i="18"/>
  <c r="C333" i="18" s="1"/>
  <c r="B331" i="18"/>
  <c r="C331" i="18" s="1"/>
  <c r="B330" i="18"/>
  <c r="C330" i="18" s="1"/>
  <c r="C297" i="18"/>
  <c r="C296" i="18"/>
  <c r="C294" i="18"/>
  <c r="C293" i="18"/>
  <c r="B297" i="18"/>
  <c r="B296" i="18"/>
  <c r="B294" i="18"/>
  <c r="B293" i="18"/>
  <c r="B16" i="18"/>
  <c r="C16" i="18" s="1"/>
  <c r="B15" i="18"/>
  <c r="C15" i="18" s="1"/>
  <c r="B13" i="18"/>
  <c r="B12" i="18"/>
  <c r="B244" i="18"/>
  <c r="C244" i="18" s="1"/>
  <c r="B242" i="18"/>
  <c r="C242" i="18" s="1"/>
  <c r="B241" i="18"/>
  <c r="B245" i="18"/>
  <c r="C245" i="18" s="1"/>
  <c r="C202" i="18"/>
  <c r="C201" i="18"/>
  <c r="C200" i="18"/>
  <c r="C198" i="18"/>
  <c r="C197" i="18"/>
  <c r="B202" i="18"/>
  <c r="B201" i="18"/>
  <c r="B200" i="18"/>
  <c r="B207" i="18"/>
  <c r="C207" i="18" s="1"/>
  <c r="B205" i="18"/>
  <c r="C205" i="18" s="1"/>
  <c r="B204" i="18"/>
  <c r="B208" i="18"/>
  <c r="C208" i="18" s="1"/>
  <c r="B198" i="18"/>
  <c r="B197" i="18"/>
  <c r="B252" i="18"/>
  <c r="C252" i="18" s="1"/>
  <c r="B251" i="18"/>
  <c r="C251" i="18" s="1"/>
  <c r="B248" i="18"/>
  <c r="C248" i="18" s="1"/>
  <c r="B247" i="18"/>
  <c r="B250" i="18"/>
  <c r="C250" i="18" s="1"/>
  <c r="C166" i="18"/>
  <c r="C165" i="18"/>
  <c r="C167" i="18" s="1"/>
  <c r="C169" i="18"/>
  <c r="C168" i="18"/>
  <c r="C163" i="18"/>
  <c r="C162" i="18"/>
  <c r="B169" i="18"/>
  <c r="B168" i="18"/>
  <c r="B166" i="18"/>
  <c r="B165" i="18"/>
  <c r="B163" i="18"/>
  <c r="B162" i="18"/>
  <c r="B373" i="18"/>
  <c r="C373" i="18" s="1"/>
  <c r="B372" i="18"/>
  <c r="C372" i="18" s="1"/>
  <c r="B370" i="18"/>
  <c r="C370" i="18" s="1"/>
  <c r="B369" i="18"/>
  <c r="B433" i="18"/>
  <c r="C433" i="18" s="1"/>
  <c r="B432" i="18"/>
  <c r="C432" i="18" s="1"/>
  <c r="B431" i="18"/>
  <c r="C431" i="18" s="1"/>
  <c r="B429" i="18"/>
  <c r="B428" i="18"/>
  <c r="C428" i="18" s="1"/>
  <c r="C342" i="18"/>
  <c r="C341" i="18"/>
  <c r="C337" i="18"/>
  <c r="C336" i="18"/>
  <c r="B342" i="18"/>
  <c r="B341" i="18"/>
  <c r="B340" i="18"/>
  <c r="B337" i="18"/>
  <c r="B336" i="18"/>
  <c r="C340" i="18"/>
  <c r="C89" i="18"/>
  <c r="C88" i="18"/>
  <c r="C87" i="18"/>
  <c r="C85" i="18"/>
  <c r="C84" i="18"/>
  <c r="B89" i="18"/>
  <c r="B88" i="18"/>
  <c r="B87" i="18"/>
  <c r="B84" i="18"/>
  <c r="B85" i="18"/>
  <c r="B291" i="18"/>
  <c r="C291" i="18" s="1"/>
  <c r="B290" i="18"/>
  <c r="C290" i="18" s="1"/>
  <c r="B287" i="18"/>
  <c r="C287" i="18" s="1"/>
  <c r="B286" i="18"/>
  <c r="C286" i="18" s="1"/>
  <c r="B289" i="18"/>
  <c r="C289" i="18" s="1"/>
  <c r="C221" i="18"/>
  <c r="C218" i="18"/>
  <c r="C217" i="18"/>
  <c r="C219" i="18" s="1"/>
  <c r="B221" i="18"/>
  <c r="C220" i="18"/>
  <c r="B220" i="18"/>
  <c r="B218" i="18"/>
  <c r="B217" i="18"/>
  <c r="C440" i="18"/>
  <c r="C439" i="18"/>
  <c r="C436" i="18"/>
  <c r="C435" i="18"/>
  <c r="B440" i="18"/>
  <c r="B439" i="18"/>
  <c r="B438" i="18"/>
  <c r="B436" i="18"/>
  <c r="B435" i="18"/>
  <c r="C438" i="18"/>
  <c r="B135" i="18"/>
  <c r="B134" i="18"/>
  <c r="C134" i="18" s="1"/>
  <c r="B138" i="18"/>
  <c r="C138" i="18" s="1"/>
  <c r="B137" i="18"/>
  <c r="C137" i="18" s="1"/>
  <c r="B131" i="18"/>
  <c r="C131" i="18" s="1"/>
  <c r="B130" i="18"/>
  <c r="C130" i="18" s="1"/>
  <c r="B133" i="18"/>
  <c r="C133" i="18" s="1"/>
  <c r="C108" i="18"/>
  <c r="C107" i="18"/>
  <c r="C104" i="18"/>
  <c r="C103" i="18"/>
  <c r="B108" i="18"/>
  <c r="B107" i="18"/>
  <c r="B104" i="18"/>
  <c r="B103" i="18"/>
  <c r="C123" i="18"/>
  <c r="C125" i="18"/>
  <c r="C124" i="18"/>
  <c r="C128" i="18"/>
  <c r="C127" i="18"/>
  <c r="C121" i="18"/>
  <c r="C120" i="18"/>
  <c r="B123" i="18"/>
  <c r="B125" i="18"/>
  <c r="B124" i="18"/>
  <c r="B128" i="18"/>
  <c r="B127" i="18"/>
  <c r="B121" i="18"/>
  <c r="B120" i="18"/>
  <c r="B328" i="18"/>
  <c r="C328" i="18" s="1"/>
  <c r="B327" i="18"/>
  <c r="C327" i="18" s="1"/>
  <c r="B326" i="18"/>
  <c r="C326" i="18" s="1"/>
  <c r="B324" i="18"/>
  <c r="C324" i="18" s="1"/>
  <c r="B323" i="18"/>
  <c r="B158" i="18" l="1"/>
  <c r="C437" i="18"/>
  <c r="C191" i="18"/>
  <c r="B346" i="18"/>
  <c r="C346" i="18" s="1"/>
  <c r="B67" i="18"/>
  <c r="C67" i="18" s="1"/>
  <c r="B338" i="18"/>
  <c r="B268" i="18"/>
  <c r="C268" i="18" s="1"/>
  <c r="C295" i="18"/>
  <c r="C43" i="18"/>
  <c r="C199" i="18"/>
  <c r="B281" i="18"/>
  <c r="B7" i="18"/>
  <c r="B191" i="18"/>
  <c r="B49" i="18"/>
  <c r="C49" i="18" s="1"/>
  <c r="B179" i="18"/>
  <c r="C179" i="18" s="1"/>
  <c r="B61" i="18"/>
  <c r="C61" i="18" s="1"/>
  <c r="B199" i="18"/>
  <c r="B164" i="18"/>
  <c r="B249" i="18"/>
  <c r="C249" i="18" s="1"/>
  <c r="B33" i="18"/>
  <c r="C33" i="18" s="1"/>
  <c r="C65" i="18"/>
  <c r="C59" i="18"/>
  <c r="C47" i="18"/>
  <c r="B20" i="18"/>
  <c r="C20" i="18" s="1"/>
  <c r="C18" i="18"/>
  <c r="C105" i="18"/>
  <c r="C86" i="18"/>
  <c r="B371" i="18"/>
  <c r="C371" i="18" s="1"/>
  <c r="C7" i="18"/>
  <c r="B26" i="18"/>
  <c r="C26" i="18" s="1"/>
  <c r="C444" i="18"/>
  <c r="B206" i="18"/>
  <c r="C206" i="18" s="1"/>
  <c r="B256" i="18"/>
  <c r="C256" i="18" s="1"/>
  <c r="B444" i="18"/>
  <c r="B154" i="18"/>
  <c r="C154" i="18" s="1"/>
  <c r="C156" i="18"/>
  <c r="C158" i="18" s="1"/>
  <c r="B173" i="18"/>
  <c r="C173" i="18" s="1"/>
  <c r="B43" i="18"/>
  <c r="C126" i="18"/>
  <c r="C281" i="18"/>
  <c r="B423" i="18"/>
  <c r="C423" i="18" s="1"/>
  <c r="C422" i="18"/>
  <c r="C25" i="18"/>
  <c r="C24" i="18"/>
  <c r="C344" i="18"/>
  <c r="C421" i="18"/>
  <c r="B243" i="18"/>
  <c r="C243" i="18" s="1"/>
  <c r="B262" i="18"/>
  <c r="C262" i="18" s="1"/>
  <c r="B14" i="18"/>
  <c r="C14" i="18" s="1"/>
  <c r="B167" i="18"/>
  <c r="B295" i="18"/>
  <c r="B237" i="18"/>
  <c r="C237" i="18" s="1"/>
  <c r="B80" i="18"/>
  <c r="C254" i="18"/>
  <c r="C261" i="18"/>
  <c r="C266" i="18"/>
  <c r="C177" i="18"/>
  <c r="B225" i="18"/>
  <c r="C225" i="18" s="1"/>
  <c r="B37" i="18"/>
  <c r="C31" i="18"/>
  <c r="C35" i="18"/>
  <c r="C37" i="18" s="1"/>
  <c r="B390" i="18"/>
  <c r="C390" i="18" s="1"/>
  <c r="C122" i="18"/>
  <c r="B136" i="18"/>
  <c r="B86" i="18"/>
  <c r="C13" i="18"/>
  <c r="B99" i="18"/>
  <c r="C99" i="18" s="1"/>
  <c r="C98" i="18"/>
  <c r="B212" i="18"/>
  <c r="C212" i="18" s="1"/>
  <c r="C80" i="18"/>
  <c r="B332" i="18"/>
  <c r="C332" i="18" s="1"/>
  <c r="C12" i="18"/>
  <c r="C241" i="18"/>
  <c r="C204" i="18"/>
  <c r="B219" i="18"/>
  <c r="B126" i="18"/>
  <c r="C247" i="18"/>
  <c r="C338" i="18"/>
  <c r="C164" i="18"/>
  <c r="B430" i="18"/>
  <c r="C430" i="18" s="1"/>
  <c r="C369" i="18"/>
  <c r="C429" i="18"/>
  <c r="B288" i="18"/>
  <c r="C288" i="18" s="1"/>
  <c r="B437" i="18"/>
  <c r="C135" i="18"/>
  <c r="C136" i="18" s="1"/>
  <c r="B132" i="18"/>
  <c r="C132" i="18" s="1"/>
  <c r="B105" i="18"/>
  <c r="B122" i="18"/>
  <c r="B325" i="18"/>
  <c r="C325" i="18" s="1"/>
  <c r="C323" i="18"/>
  <c r="B398" i="17" l="1"/>
  <c r="C398" i="17" s="1"/>
  <c r="B397" i="17"/>
  <c r="C397" i="17" s="1"/>
  <c r="B395" i="17"/>
  <c r="C395" i="17" s="1"/>
  <c r="B394" i="17"/>
  <c r="B385" i="17"/>
  <c r="C385" i="17" s="1"/>
  <c r="B384" i="17"/>
  <c r="C384" i="17" s="1"/>
  <c r="B382" i="17"/>
  <c r="C382" i="17" s="1"/>
  <c r="B381" i="17"/>
  <c r="B379" i="17"/>
  <c r="C379" i="17" s="1"/>
  <c r="B378" i="17"/>
  <c r="C378" i="17" s="1"/>
  <c r="B376" i="17"/>
  <c r="C376" i="17" s="1"/>
  <c r="B375" i="17"/>
  <c r="C375" i="17" s="1"/>
  <c r="B367" i="17"/>
  <c r="C367" i="17" s="1"/>
  <c r="B366" i="17"/>
  <c r="C366" i="17" s="1"/>
  <c r="B364" i="17"/>
  <c r="C364" i="17" s="1"/>
  <c r="B363" i="17"/>
  <c r="B241" i="17"/>
  <c r="C241" i="17" s="1"/>
  <c r="B244" i="17"/>
  <c r="C244" i="17" s="1"/>
  <c r="B243" i="17"/>
  <c r="C243" i="17" s="1"/>
  <c r="B240" i="17"/>
  <c r="C240" i="17" s="1"/>
  <c r="B191" i="17"/>
  <c r="C191" i="17" s="1"/>
  <c r="B190" i="17"/>
  <c r="C190" i="17" s="1"/>
  <c r="B188" i="17"/>
  <c r="C188" i="17" s="1"/>
  <c r="B187" i="17"/>
  <c r="B189" i="17" s="1"/>
  <c r="C189" i="17" s="1"/>
  <c r="B185" i="17"/>
  <c r="C185" i="17" s="1"/>
  <c r="B184" i="17"/>
  <c r="C184" i="17" s="1"/>
  <c r="B182" i="17"/>
  <c r="C182" i="17" s="1"/>
  <c r="B181" i="17"/>
  <c r="B123" i="17"/>
  <c r="C123" i="17" s="1"/>
  <c r="B122" i="17"/>
  <c r="C122" i="17" s="1"/>
  <c r="B120" i="17"/>
  <c r="B119" i="17"/>
  <c r="C119" i="17" s="1"/>
  <c r="B117" i="17"/>
  <c r="C117" i="17" s="1"/>
  <c r="B116" i="17"/>
  <c r="C116" i="17" s="1"/>
  <c r="B114" i="17"/>
  <c r="C114" i="17" s="1"/>
  <c r="B113" i="17"/>
  <c r="B93" i="17"/>
  <c r="C93" i="17" s="1"/>
  <c r="B92" i="17"/>
  <c r="C92" i="17" s="1"/>
  <c r="B90" i="17"/>
  <c r="C90" i="17" s="1"/>
  <c r="B89" i="17"/>
  <c r="B53" i="17"/>
  <c r="C53" i="17" s="1"/>
  <c r="B56" i="17"/>
  <c r="C56" i="17" s="1"/>
  <c r="B55" i="17"/>
  <c r="C55" i="17" s="1"/>
  <c r="B52" i="17"/>
  <c r="C52" i="17" s="1"/>
  <c r="B50" i="17"/>
  <c r="C50" i="17" s="1"/>
  <c r="B49" i="17"/>
  <c r="C49" i="17" s="1"/>
  <c r="B48" i="17"/>
  <c r="C48" i="17" s="1"/>
  <c r="B46" i="17"/>
  <c r="B45" i="17"/>
  <c r="B47" i="17" s="1"/>
  <c r="C47" i="17" s="1"/>
  <c r="C46" i="17"/>
  <c r="B165" i="17"/>
  <c r="C165" i="17" s="1"/>
  <c r="B164" i="17"/>
  <c r="C164" i="17" s="1"/>
  <c r="B161" i="17"/>
  <c r="C161" i="17" s="1"/>
  <c r="B160" i="17"/>
  <c r="C160" i="17" s="1"/>
  <c r="B163" i="17"/>
  <c r="C163" i="17" s="1"/>
  <c r="C323" i="17"/>
  <c r="C322" i="17"/>
  <c r="C321" i="17"/>
  <c r="C319" i="17"/>
  <c r="C318" i="17"/>
  <c r="B323" i="17"/>
  <c r="B322" i="17"/>
  <c r="B321" i="17"/>
  <c r="B319" i="17"/>
  <c r="B318" i="17"/>
  <c r="B328" i="17"/>
  <c r="C328" i="17" s="1"/>
  <c r="B336" i="17"/>
  <c r="C336" i="17" s="1"/>
  <c r="B347" i="17"/>
  <c r="C347" i="17" s="1"/>
  <c r="B346" i="17"/>
  <c r="C346" i="17" s="1"/>
  <c r="B345" i="17"/>
  <c r="C345" i="17" s="1"/>
  <c r="B344" i="17"/>
  <c r="C344" i="17" s="1"/>
  <c r="B342" i="17"/>
  <c r="C342" i="17" s="1"/>
  <c r="B341" i="17"/>
  <c r="B179" i="17"/>
  <c r="C179" i="17" s="1"/>
  <c r="B178" i="17"/>
  <c r="C178" i="17" s="1"/>
  <c r="B175" i="17"/>
  <c r="C175" i="17" s="1"/>
  <c r="B174" i="17"/>
  <c r="B177" i="17"/>
  <c r="C177" i="17" s="1"/>
  <c r="B29" i="17"/>
  <c r="C29" i="17" s="1"/>
  <c r="B28" i="17"/>
  <c r="C28" i="17" s="1"/>
  <c r="B26" i="17"/>
  <c r="C26" i="17" s="1"/>
  <c r="B25" i="17"/>
  <c r="C25" i="17" s="1"/>
  <c r="B197" i="17"/>
  <c r="C197" i="17" s="1"/>
  <c r="B198" i="17"/>
  <c r="C198" i="17" s="1"/>
  <c r="B194" i="17"/>
  <c r="C194" i="17" s="1"/>
  <c r="B193" i="17"/>
  <c r="B196" i="17"/>
  <c r="C196" i="17" s="1"/>
  <c r="B36" i="17"/>
  <c r="C36" i="17" s="1"/>
  <c r="B35" i="17"/>
  <c r="C35" i="17" s="1"/>
  <c r="B34" i="17"/>
  <c r="C34" i="17" s="1"/>
  <c r="B32" i="17"/>
  <c r="C32" i="17" s="1"/>
  <c r="B31" i="17"/>
  <c r="B247" i="17"/>
  <c r="C247" i="17" s="1"/>
  <c r="B250" i="17"/>
  <c r="C250" i="17" s="1"/>
  <c r="B249" i="17"/>
  <c r="C249" i="17" s="1"/>
  <c r="B246" i="17"/>
  <c r="B172" i="17"/>
  <c r="C172" i="17" s="1"/>
  <c r="B171" i="17"/>
  <c r="C171" i="17" s="1"/>
  <c r="B168" i="17"/>
  <c r="C168" i="17" s="1"/>
  <c r="B167" i="17"/>
  <c r="B170" i="17"/>
  <c r="C170" i="17" s="1"/>
  <c r="B224" i="17"/>
  <c r="C224" i="17" s="1"/>
  <c r="B223" i="17"/>
  <c r="C223" i="17" s="1"/>
  <c r="B222" i="17"/>
  <c r="C222" i="17" s="1"/>
  <c r="B220" i="17"/>
  <c r="C220" i="17" s="1"/>
  <c r="B219" i="17"/>
  <c r="C43" i="17"/>
  <c r="C42" i="17"/>
  <c r="C41" i="17"/>
  <c r="C39" i="17"/>
  <c r="C38" i="17"/>
  <c r="B43" i="17"/>
  <c r="B42" i="17"/>
  <c r="B41" i="17"/>
  <c r="B39" i="17"/>
  <c r="B38" i="17"/>
  <c r="C205" i="17"/>
  <c r="C204" i="17"/>
  <c r="C203" i="17"/>
  <c r="C201" i="17"/>
  <c r="C200" i="17"/>
  <c r="B205" i="17"/>
  <c r="B204" i="17"/>
  <c r="B203" i="17"/>
  <c r="B201" i="17"/>
  <c r="B200" i="17"/>
  <c r="C277" i="17"/>
  <c r="C276" i="17"/>
  <c r="C274" i="17"/>
  <c r="C273" i="17"/>
  <c r="B277" i="17"/>
  <c r="B276" i="17"/>
  <c r="B274" i="17"/>
  <c r="B273" i="17"/>
  <c r="B100" i="17"/>
  <c r="C100" i="17" s="1"/>
  <c r="B99" i="17"/>
  <c r="C99" i="17" s="1"/>
  <c r="B96" i="17"/>
  <c r="C96" i="17" s="1"/>
  <c r="B95" i="17"/>
  <c r="B98" i="17"/>
  <c r="C98" i="17" s="1"/>
  <c r="B280" i="17"/>
  <c r="C280" i="17" s="1"/>
  <c r="B279" i="17"/>
  <c r="C279" i="17" s="1"/>
  <c r="B283" i="17"/>
  <c r="C283" i="17" s="1"/>
  <c r="B282" i="17"/>
  <c r="C282" i="17" s="1"/>
  <c r="C373" i="17"/>
  <c r="C372" i="17"/>
  <c r="C369" i="17"/>
  <c r="C370" i="17"/>
  <c r="B372" i="17"/>
  <c r="B370" i="17"/>
  <c r="B369" i="17"/>
  <c r="B373" i="17"/>
  <c r="B236" i="17"/>
  <c r="C236" i="17" s="1"/>
  <c r="B234" i="17"/>
  <c r="C234" i="17" s="1"/>
  <c r="B233" i="17"/>
  <c r="B238" i="17"/>
  <c r="C238" i="17" s="1"/>
  <c r="B237" i="17"/>
  <c r="C237" i="17" s="1"/>
  <c r="C265" i="17"/>
  <c r="C264" i="17"/>
  <c r="C263" i="17"/>
  <c r="C261" i="17"/>
  <c r="C260" i="17"/>
  <c r="B265" i="17"/>
  <c r="B261" i="17"/>
  <c r="B260" i="17"/>
  <c r="B263" i="17"/>
  <c r="B264" i="17"/>
  <c r="B23" i="17"/>
  <c r="C23" i="17" s="1"/>
  <c r="B22" i="17"/>
  <c r="C22" i="17" s="1"/>
  <c r="B20" i="17"/>
  <c r="C20" i="17" s="1"/>
  <c r="B19" i="17"/>
  <c r="C19" i="17" s="1"/>
  <c r="B10" i="17"/>
  <c r="C10" i="17" s="1"/>
  <c r="B9" i="17"/>
  <c r="C9" i="17" s="1"/>
  <c r="B6" i="17"/>
  <c r="B5" i="17"/>
  <c r="B8" i="17"/>
  <c r="C8" i="17" s="1"/>
  <c r="B231" i="17"/>
  <c r="C231" i="17" s="1"/>
  <c r="B230" i="17"/>
  <c r="C230" i="17" s="1"/>
  <c r="B227" i="17"/>
  <c r="C227" i="17" s="1"/>
  <c r="B226" i="17"/>
  <c r="C226" i="17" s="1"/>
  <c r="B229" i="17"/>
  <c r="C229" i="17" s="1"/>
  <c r="C135" i="17"/>
  <c r="C134" i="17"/>
  <c r="C133" i="17"/>
  <c r="C131" i="17"/>
  <c r="C130" i="17"/>
  <c r="C129" i="17"/>
  <c r="C128" i="17"/>
  <c r="C126" i="17"/>
  <c r="C125" i="17"/>
  <c r="B135" i="17"/>
  <c r="B134" i="17"/>
  <c r="B133" i="17"/>
  <c r="B131" i="17"/>
  <c r="B130" i="17"/>
  <c r="B129" i="17"/>
  <c r="B128" i="17"/>
  <c r="B126" i="17"/>
  <c r="B125" i="17"/>
  <c r="B355" i="17"/>
  <c r="C355" i="17" s="1"/>
  <c r="B354" i="17"/>
  <c r="C354" i="17" s="1"/>
  <c r="B353" i="17"/>
  <c r="C353" i="17" s="1"/>
  <c r="B352" i="17"/>
  <c r="C352" i="17" s="1"/>
  <c r="B350" i="17"/>
  <c r="C350" i="17" s="1"/>
  <c r="B349" i="17"/>
  <c r="C349" i="17" s="1"/>
  <c r="B146" i="17"/>
  <c r="C146" i="17" s="1"/>
  <c r="B142" i="17"/>
  <c r="C142" i="17" s="1"/>
  <c r="B141" i="17"/>
  <c r="C141" i="17" s="1"/>
  <c r="B144" i="17"/>
  <c r="C144" i="17" s="1"/>
  <c r="B143" i="17"/>
  <c r="C143" i="17" s="1"/>
  <c r="B148" i="17"/>
  <c r="C148" i="17" s="1"/>
  <c r="B147" i="17"/>
  <c r="C147" i="17" s="1"/>
  <c r="B140" i="17"/>
  <c r="C140" i="17" s="1"/>
  <c r="B138" i="17"/>
  <c r="C138" i="17" s="1"/>
  <c r="B137" i="17"/>
  <c r="B392" i="17"/>
  <c r="C392" i="17" s="1"/>
  <c r="B391" i="17"/>
  <c r="C391" i="17" s="1"/>
  <c r="B390" i="17"/>
  <c r="C390" i="17" s="1"/>
  <c r="B388" i="17"/>
  <c r="C388" i="17" s="1"/>
  <c r="B387" i="17"/>
  <c r="B157" i="17"/>
  <c r="C157" i="17" s="1"/>
  <c r="B155" i="17"/>
  <c r="C155" i="17" s="1"/>
  <c r="B154" i="17"/>
  <c r="C154" i="17" s="1"/>
  <c r="B158" i="17"/>
  <c r="C158" i="17" s="1"/>
  <c r="B151" i="17"/>
  <c r="C151" i="17" s="1"/>
  <c r="B150" i="17"/>
  <c r="B153" i="17"/>
  <c r="C153" i="17" s="1"/>
  <c r="B339" i="17"/>
  <c r="C339" i="17" s="1"/>
  <c r="B338" i="17"/>
  <c r="C338" i="17" s="1"/>
  <c r="B337" i="17"/>
  <c r="C337" i="17" s="1"/>
  <c r="B334" i="17"/>
  <c r="C334" i="17" s="1"/>
  <c r="B333" i="17"/>
  <c r="B335" i="17" s="1"/>
  <c r="C335" i="17" s="1"/>
  <c r="B331" i="17"/>
  <c r="C331" i="17" s="1"/>
  <c r="B330" i="17"/>
  <c r="C330" i="17" s="1"/>
  <c r="B329" i="17"/>
  <c r="C329" i="17" s="1"/>
  <c r="B326" i="17"/>
  <c r="C326" i="17" s="1"/>
  <c r="B325" i="17"/>
  <c r="C325" i="17" s="1"/>
  <c r="C258" i="17"/>
  <c r="C257" i="17"/>
  <c r="C256" i="17"/>
  <c r="C253" i="17"/>
  <c r="C252" i="17"/>
  <c r="B258" i="17"/>
  <c r="B257" i="17"/>
  <c r="B255" i="17"/>
  <c r="B253" i="17"/>
  <c r="B252" i="17"/>
  <c r="B256" i="17"/>
  <c r="C255" i="17"/>
  <c r="B17" i="17"/>
  <c r="C17" i="17" s="1"/>
  <c r="B16" i="17"/>
  <c r="C16" i="17" s="1"/>
  <c r="B15" i="17"/>
  <c r="C15" i="17" s="1"/>
  <c r="B13" i="17"/>
  <c r="B12" i="17"/>
  <c r="B271" i="17"/>
  <c r="C271" i="17" s="1"/>
  <c r="B270" i="17"/>
  <c r="C270" i="17" s="1"/>
  <c r="B268" i="17"/>
  <c r="C268" i="17" s="1"/>
  <c r="B267" i="17"/>
  <c r="B300" i="17"/>
  <c r="C300" i="17" s="1"/>
  <c r="B299" i="17"/>
  <c r="B304" i="17"/>
  <c r="C304" i="17" s="1"/>
  <c r="B303" i="17"/>
  <c r="C303" i="17" s="1"/>
  <c r="B360" i="17"/>
  <c r="C360" i="17" s="1"/>
  <c r="B358" i="17"/>
  <c r="C358" i="17" s="1"/>
  <c r="B357" i="17"/>
  <c r="B361" i="17"/>
  <c r="C361" i="17" s="1"/>
  <c r="C106" i="17"/>
  <c r="C105" i="17"/>
  <c r="C107" i="17"/>
  <c r="C108" i="17"/>
  <c r="C111" i="17"/>
  <c r="C110" i="17"/>
  <c r="C103" i="17"/>
  <c r="C102" i="17"/>
  <c r="B111" i="17"/>
  <c r="B110" i="17"/>
  <c r="B108" i="17"/>
  <c r="B106" i="17"/>
  <c r="B105" i="17"/>
  <c r="B103" i="17"/>
  <c r="B102" i="17"/>
  <c r="B107" i="17"/>
  <c r="B295" i="17"/>
  <c r="C295" i="17" s="1"/>
  <c r="B293" i="17"/>
  <c r="C293" i="17" s="1"/>
  <c r="B292" i="17"/>
  <c r="C292" i="17" s="1"/>
  <c r="B297" i="17"/>
  <c r="C297" i="17" s="1"/>
  <c r="B296" i="17"/>
  <c r="C296" i="17" s="1"/>
  <c r="B290" i="17"/>
  <c r="C290" i="17" s="1"/>
  <c r="B289" i="17"/>
  <c r="C289" i="17" s="1"/>
  <c r="B285" i="17"/>
  <c r="C285" i="17" s="1"/>
  <c r="B286" i="17"/>
  <c r="C286" i="17" s="1"/>
  <c r="C211" i="20"/>
  <c r="C210" i="20"/>
  <c r="B211" i="20"/>
  <c r="B210" i="20"/>
  <c r="C214" i="20"/>
  <c r="B214" i="20"/>
  <c r="C213" i="20"/>
  <c r="B213" i="20"/>
  <c r="C214" i="16"/>
  <c r="B214" i="16"/>
  <c r="C213" i="16"/>
  <c r="B213" i="16"/>
  <c r="C217" i="16"/>
  <c r="B217" i="16"/>
  <c r="C216" i="16"/>
  <c r="B216" i="16"/>
  <c r="C40" i="17" l="1"/>
  <c r="B396" i="17"/>
  <c r="C396" i="17" s="1"/>
  <c r="B365" i="17"/>
  <c r="C365" i="17" s="1"/>
  <c r="B139" i="17"/>
  <c r="C139" i="17" s="1"/>
  <c r="B359" i="17"/>
  <c r="C359" i="17" s="1"/>
  <c r="C254" i="17"/>
  <c r="B281" i="17"/>
  <c r="B383" i="17"/>
  <c r="C383" i="17" s="1"/>
  <c r="B183" i="17"/>
  <c r="C183" i="17" s="1"/>
  <c r="B115" i="17"/>
  <c r="C115" i="17" s="1"/>
  <c r="B169" i="17"/>
  <c r="C169" i="17" s="1"/>
  <c r="B202" i="17"/>
  <c r="B269" i="17"/>
  <c r="C269" i="17" s="1"/>
  <c r="C394" i="17"/>
  <c r="C381" i="17"/>
  <c r="B377" i="17"/>
  <c r="C377" i="17" s="1"/>
  <c r="C363" i="17"/>
  <c r="B242" i="17"/>
  <c r="C242" i="17" s="1"/>
  <c r="B91" i="17"/>
  <c r="C91" i="17" s="1"/>
  <c r="C187" i="17"/>
  <c r="C181" i="17"/>
  <c r="B262" i="17"/>
  <c r="B121" i="17"/>
  <c r="C121" i="17" s="1"/>
  <c r="C120" i="17"/>
  <c r="C113" i="17"/>
  <c r="C89" i="17"/>
  <c r="B54" i="17"/>
  <c r="C54" i="17" s="1"/>
  <c r="C45" i="17"/>
  <c r="B162" i="17"/>
  <c r="C162" i="17" s="1"/>
  <c r="B145" i="17"/>
  <c r="C127" i="17"/>
  <c r="C145" i="17"/>
  <c r="B320" i="17"/>
  <c r="B371" i="17"/>
  <c r="B104" i="17"/>
  <c r="C275" i="17"/>
  <c r="C320" i="17"/>
  <c r="C104" i="17"/>
  <c r="B287" i="17"/>
  <c r="C109" i="17"/>
  <c r="C281" i="17"/>
  <c r="B221" i="17"/>
  <c r="C221" i="17" s="1"/>
  <c r="B40" i="17"/>
  <c r="B327" i="17"/>
  <c r="C327" i="17" s="1"/>
  <c r="B132" i="17"/>
  <c r="B156" i="17"/>
  <c r="B294" i="17"/>
  <c r="C294" i="17" s="1"/>
  <c r="C287" i="17"/>
  <c r="C132" i="17"/>
  <c r="B14" i="17"/>
  <c r="C14" i="17" s="1"/>
  <c r="B127" i="17"/>
  <c r="B97" i="17"/>
  <c r="C97" i="17" s="1"/>
  <c r="C262" i="17"/>
  <c r="B7" i="17"/>
  <c r="C7" i="17" s="1"/>
  <c r="B254" i="17"/>
  <c r="B275" i="17"/>
  <c r="B195" i="17"/>
  <c r="C195" i="17" s="1"/>
  <c r="B343" i="17"/>
  <c r="C343" i="17" s="1"/>
  <c r="C341" i="17"/>
  <c r="B176" i="17"/>
  <c r="C176" i="17" s="1"/>
  <c r="C174" i="17"/>
  <c r="B27" i="17"/>
  <c r="C27" i="17" s="1"/>
  <c r="C193" i="17"/>
  <c r="B33" i="17"/>
  <c r="C33" i="17" s="1"/>
  <c r="C31" i="17"/>
  <c r="B248" i="17"/>
  <c r="C248" i="17" s="1"/>
  <c r="C246" i="17"/>
  <c r="C167" i="17"/>
  <c r="C219" i="17"/>
  <c r="C202" i="17"/>
  <c r="C95" i="17"/>
  <c r="C371" i="17"/>
  <c r="B235" i="17"/>
  <c r="C235" i="17" s="1"/>
  <c r="C233" i="17"/>
  <c r="B21" i="17"/>
  <c r="C21" i="17" s="1"/>
  <c r="C6" i="17"/>
  <c r="C5" i="17"/>
  <c r="B228" i="17"/>
  <c r="C228" i="17" s="1"/>
  <c r="B351" i="17"/>
  <c r="C351" i="17" s="1"/>
  <c r="C137" i="17"/>
  <c r="B389" i="17"/>
  <c r="C389" i="17" s="1"/>
  <c r="C387" i="17"/>
  <c r="C156" i="17"/>
  <c r="B152" i="17"/>
  <c r="C152" i="17" s="1"/>
  <c r="C150" i="17"/>
  <c r="C333" i="17"/>
  <c r="C13" i="17"/>
  <c r="C12" i="17"/>
  <c r="C267" i="17"/>
  <c r="B301" i="17"/>
  <c r="C301" i="17" s="1"/>
  <c r="C299" i="17"/>
  <c r="C357" i="17"/>
  <c r="C212" i="20"/>
  <c r="B212" i="20"/>
  <c r="C215" i="16"/>
  <c r="B215" i="16"/>
  <c r="C209" i="16" l="1"/>
  <c r="B209" i="16"/>
  <c r="B29" i="1" l="1"/>
  <c r="C29" i="1" s="1"/>
  <c r="B28" i="1"/>
  <c r="C28" i="1" s="1"/>
  <c r="B26" i="1"/>
  <c r="C26" i="1" s="1"/>
  <c r="C25" i="1"/>
  <c r="C23" i="1"/>
  <c r="C22" i="1"/>
  <c r="C20" i="1"/>
  <c r="C19" i="1"/>
  <c r="C18" i="1"/>
  <c r="C16" i="1"/>
  <c r="C15" i="1"/>
  <c r="B23" i="1"/>
  <c r="B22" i="1"/>
  <c r="B20" i="1"/>
  <c r="B19" i="1"/>
  <c r="B18" i="1"/>
  <c r="B16" i="1"/>
  <c r="B15" i="1"/>
  <c r="B13" i="1"/>
  <c r="C13" i="1" s="1"/>
  <c r="B12" i="1"/>
  <c r="C12" i="1" s="1"/>
  <c r="B10" i="1"/>
  <c r="C10" i="1" s="1"/>
  <c r="B9" i="1"/>
  <c r="C9" i="1" s="1"/>
  <c r="B8" i="1"/>
  <c r="C8" i="1" s="1"/>
  <c r="B6" i="1"/>
  <c r="C6" i="1" s="1"/>
  <c r="B5" i="1"/>
  <c r="C5" i="1" s="1"/>
  <c r="B27" i="1" l="1"/>
  <c r="C27" i="1" s="1"/>
  <c r="C10" i="16" l="1"/>
  <c r="C9" i="16"/>
  <c r="B10" i="16"/>
  <c r="B9" i="16"/>
  <c r="B11" i="16" l="1"/>
  <c r="C11" i="16"/>
  <c r="AV509" i="19" l="1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X509" i="19"/>
  <c r="W509" i="19"/>
  <c r="V509" i="19"/>
  <c r="U509" i="19"/>
  <c r="T509" i="19"/>
  <c r="S509" i="19"/>
  <c r="R509" i="19"/>
  <c r="Q509" i="19"/>
  <c r="P509" i="19"/>
  <c r="O509" i="19"/>
  <c r="N509" i="19"/>
  <c r="M509" i="19"/>
  <c r="L509" i="19"/>
  <c r="K509" i="19"/>
  <c r="J509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AV507" i="19"/>
  <c r="AU507" i="19"/>
  <c r="AT507" i="19"/>
  <c r="AS507" i="19"/>
  <c r="AR507" i="19"/>
  <c r="AQ507" i="19"/>
  <c r="AP507" i="19"/>
  <c r="AO507" i="19"/>
  <c r="AN507" i="19"/>
  <c r="AM507" i="19"/>
  <c r="AL507" i="19"/>
  <c r="AK507" i="19"/>
  <c r="AJ507" i="19"/>
  <c r="AI507" i="19"/>
  <c r="AH507" i="19"/>
  <c r="AG507" i="19"/>
  <c r="AF507" i="19"/>
  <c r="AE507" i="19"/>
  <c r="AD507" i="19"/>
  <c r="AC507" i="19"/>
  <c r="AB507" i="19"/>
  <c r="AA507" i="19"/>
  <c r="Z507" i="19"/>
  <c r="Y507" i="19"/>
  <c r="X507" i="19"/>
  <c r="W507" i="19"/>
  <c r="V507" i="19"/>
  <c r="U507" i="19"/>
  <c r="T507" i="19"/>
  <c r="S507" i="19"/>
  <c r="R507" i="19"/>
  <c r="Q507" i="19"/>
  <c r="P507" i="19"/>
  <c r="O507" i="19"/>
  <c r="N507" i="19"/>
  <c r="M507" i="19"/>
  <c r="L507" i="19"/>
  <c r="K507" i="19"/>
  <c r="J507" i="19"/>
  <c r="AV506" i="19"/>
  <c r="AU506" i="19"/>
  <c r="AT506" i="19"/>
  <c r="AS506" i="19"/>
  <c r="AR506" i="19"/>
  <c r="AQ506" i="19"/>
  <c r="AP506" i="19"/>
  <c r="AO506" i="19"/>
  <c r="AN506" i="19"/>
  <c r="AM506" i="19"/>
  <c r="AL506" i="19"/>
  <c r="AK506" i="19"/>
  <c r="AJ506" i="19"/>
  <c r="AI506" i="19"/>
  <c r="AH506" i="19"/>
  <c r="AG506" i="19"/>
  <c r="AF506" i="19"/>
  <c r="AE506" i="19"/>
  <c r="AD506" i="19"/>
  <c r="AC506" i="19"/>
  <c r="AB506" i="19"/>
  <c r="AA506" i="19"/>
  <c r="Z506" i="19"/>
  <c r="Y506" i="19"/>
  <c r="X506" i="19"/>
  <c r="W506" i="19"/>
  <c r="V506" i="19"/>
  <c r="U506" i="19"/>
  <c r="T506" i="19"/>
  <c r="S506" i="19"/>
  <c r="R506" i="19"/>
  <c r="Q506" i="19"/>
  <c r="P506" i="19"/>
  <c r="O506" i="19"/>
  <c r="N506" i="19"/>
  <c r="M506" i="19"/>
  <c r="L506" i="19"/>
  <c r="K506" i="19"/>
  <c r="J506" i="19"/>
  <c r="C409" i="16" l="1"/>
  <c r="B409" i="16"/>
  <c r="C408" i="16"/>
  <c r="B408" i="16"/>
  <c r="C406" i="16"/>
  <c r="B406" i="16"/>
  <c r="C405" i="16"/>
  <c r="B405" i="16"/>
  <c r="B241" i="16"/>
  <c r="C245" i="16"/>
  <c r="B245" i="16"/>
  <c r="C244" i="16"/>
  <c r="B244" i="16"/>
  <c r="C242" i="16"/>
  <c r="B242" i="16"/>
  <c r="C241" i="16"/>
  <c r="C173" i="16"/>
  <c r="C172" i="16"/>
  <c r="C170" i="16"/>
  <c r="C169" i="16"/>
  <c r="C167" i="16"/>
  <c r="C166" i="16"/>
  <c r="B173" i="16"/>
  <c r="B172" i="16"/>
  <c r="B170" i="16"/>
  <c r="B169" i="16"/>
  <c r="B167" i="16"/>
  <c r="B166" i="16"/>
  <c r="C237" i="16"/>
  <c r="C234" i="16"/>
  <c r="C233" i="16"/>
  <c r="B237" i="16"/>
  <c r="B234" i="16"/>
  <c r="B233" i="16"/>
  <c r="C204" i="16"/>
  <c r="C203" i="16"/>
  <c r="C201" i="16"/>
  <c r="C200" i="16"/>
  <c r="B201" i="16"/>
  <c r="C148" i="16"/>
  <c r="C145" i="16"/>
  <c r="C144" i="16"/>
  <c r="C141" i="16"/>
  <c r="C140" i="16"/>
  <c r="B145" i="16"/>
  <c r="B144" i="16"/>
  <c r="B148" i="16"/>
  <c r="B147" i="16"/>
  <c r="B141" i="16"/>
  <c r="B140" i="16"/>
  <c r="C147" i="16"/>
  <c r="C297" i="16"/>
  <c r="C296" i="16"/>
  <c r="C295" i="16"/>
  <c r="C294" i="16"/>
  <c r="C292" i="16"/>
  <c r="C291" i="16"/>
  <c r="B297" i="16"/>
  <c r="B296" i="16"/>
  <c r="B295" i="16"/>
  <c r="B294" i="16"/>
  <c r="B292" i="16"/>
  <c r="B291" i="16"/>
  <c r="C329" i="16"/>
  <c r="C328" i="16"/>
  <c r="C327" i="16"/>
  <c r="C324" i="16"/>
  <c r="C325" i="16"/>
  <c r="B325" i="16"/>
  <c r="B324" i="16"/>
  <c r="C75" i="16"/>
  <c r="C74" i="16"/>
  <c r="C73" i="16"/>
  <c r="C71" i="16"/>
  <c r="C70" i="16"/>
  <c r="B70" i="16"/>
  <c r="C102" i="16"/>
  <c r="C101" i="16"/>
  <c r="C100" i="16"/>
  <c r="C98" i="16"/>
  <c r="C97" i="16"/>
  <c r="B101" i="16"/>
  <c r="B102" i="16"/>
  <c r="B100" i="16"/>
  <c r="B98" i="16"/>
  <c r="B97" i="16"/>
  <c r="C190" i="16"/>
  <c r="C189" i="16"/>
  <c r="C188" i="16"/>
  <c r="C187" i="16"/>
  <c r="C185" i="16"/>
  <c r="C184" i="16"/>
  <c r="B190" i="16"/>
  <c r="B189" i="16"/>
  <c r="B188" i="16"/>
  <c r="B187" i="16"/>
  <c r="B185" i="16"/>
  <c r="B184" i="16"/>
  <c r="C211" i="16"/>
  <c r="C210" i="16"/>
  <c r="C207" i="16"/>
  <c r="C206" i="16"/>
  <c r="C352" i="16"/>
  <c r="C351" i="16"/>
  <c r="B352" i="16"/>
  <c r="B351" i="16"/>
  <c r="C346" i="16"/>
  <c r="C345" i="16"/>
  <c r="B346" i="16"/>
  <c r="B345" i="16"/>
  <c r="C303" i="16"/>
  <c r="C304" i="16"/>
  <c r="C302" i="16"/>
  <c r="C300" i="16"/>
  <c r="C299" i="16"/>
  <c r="B304" i="16"/>
  <c r="B303" i="16"/>
  <c r="B302" i="16"/>
  <c r="B300" i="16"/>
  <c r="B299" i="16"/>
  <c r="C436" i="16"/>
  <c r="C435" i="16"/>
  <c r="C434" i="16"/>
  <c r="C432" i="16"/>
  <c r="C431" i="16"/>
  <c r="B436" i="16"/>
  <c r="B435" i="16"/>
  <c r="B434" i="16"/>
  <c r="B432" i="16"/>
  <c r="B431" i="16"/>
  <c r="C198" i="16"/>
  <c r="C197" i="16"/>
  <c r="C195" i="16"/>
  <c r="C193" i="16"/>
  <c r="C192" i="16"/>
  <c r="B198" i="16"/>
  <c r="B197" i="16"/>
  <c r="B195" i="16"/>
  <c r="B193" i="16"/>
  <c r="B192" i="16"/>
  <c r="C164" i="16"/>
  <c r="C163" i="16"/>
  <c r="C161" i="16"/>
  <c r="C160" i="16"/>
  <c r="C159" i="16"/>
  <c r="C157" i="16"/>
  <c r="C156" i="16"/>
  <c r="B161" i="16"/>
  <c r="B160" i="16"/>
  <c r="B164" i="16"/>
  <c r="B163" i="16"/>
  <c r="B159" i="16"/>
  <c r="B157" i="16"/>
  <c r="B156" i="16"/>
  <c r="C388" i="16"/>
  <c r="C387" i="16"/>
  <c r="C386" i="16"/>
  <c r="C385" i="16"/>
  <c r="C383" i="16"/>
  <c r="C382" i="16"/>
  <c r="B388" i="16"/>
  <c r="B387" i="16"/>
  <c r="B386" i="16"/>
  <c r="B385" i="16"/>
  <c r="B382" i="16"/>
  <c r="B384" i="16" s="1"/>
  <c r="C20" i="16"/>
  <c r="C19" i="16"/>
  <c r="C16" i="16"/>
  <c r="C15" i="16"/>
  <c r="B20" i="16"/>
  <c r="B16" i="16"/>
  <c r="B15" i="16"/>
  <c r="B19" i="16"/>
  <c r="C264" i="16"/>
  <c r="C263" i="16"/>
  <c r="C262" i="16"/>
  <c r="C260" i="16"/>
  <c r="C259" i="16"/>
  <c r="B264" i="16"/>
  <c r="B263" i="16"/>
  <c r="B262" i="16"/>
  <c r="B260" i="16"/>
  <c r="B259" i="16"/>
  <c r="C277" i="16"/>
  <c r="C276" i="16"/>
  <c r="C275" i="16"/>
  <c r="C273" i="16"/>
  <c r="C272" i="16"/>
  <c r="B277" i="16"/>
  <c r="B276" i="16"/>
  <c r="B275" i="16"/>
  <c r="B273" i="16"/>
  <c r="B272" i="16"/>
  <c r="C132" i="16"/>
  <c r="C131" i="16"/>
  <c r="C128" i="16"/>
  <c r="C127" i="16"/>
  <c r="B132" i="16"/>
  <c r="B131" i="16"/>
  <c r="B128" i="16"/>
  <c r="B127" i="16"/>
  <c r="C120" i="16"/>
  <c r="C122" i="16"/>
  <c r="C121" i="16"/>
  <c r="C125" i="16"/>
  <c r="C124" i="16"/>
  <c r="C118" i="16"/>
  <c r="C117" i="16"/>
  <c r="B120" i="16"/>
  <c r="B122" i="16"/>
  <c r="B121" i="16"/>
  <c r="B125" i="16"/>
  <c r="B124" i="16"/>
  <c r="B117" i="16"/>
  <c r="B118" i="16"/>
  <c r="C65" i="16"/>
  <c r="C64" i="16"/>
  <c r="C63" i="16"/>
  <c r="B63" i="16"/>
  <c r="C68" i="16"/>
  <c r="C67" i="16"/>
  <c r="C61" i="16"/>
  <c r="C60" i="16"/>
  <c r="B65" i="16"/>
  <c r="B64" i="16"/>
  <c r="B68" i="16"/>
  <c r="B67" i="16"/>
  <c r="B61" i="16"/>
  <c r="B60" i="16"/>
  <c r="C58" i="16"/>
  <c r="C57" i="16"/>
  <c r="C55" i="16"/>
  <c r="C53" i="16"/>
  <c r="C52" i="16"/>
  <c r="B58" i="16"/>
  <c r="B57" i="16"/>
  <c r="B55" i="16"/>
  <c r="B53" i="16"/>
  <c r="B52" i="16"/>
  <c r="C429" i="16"/>
  <c r="C428" i="16"/>
  <c r="C427" i="16"/>
  <c r="C426" i="16"/>
  <c r="C424" i="16"/>
  <c r="C423" i="16"/>
  <c r="B429" i="16"/>
  <c r="B428" i="16"/>
  <c r="B427" i="16"/>
  <c r="B426" i="16"/>
  <c r="B424" i="16"/>
  <c r="B423" i="16"/>
  <c r="C280" i="16"/>
  <c r="B280" i="16"/>
  <c r="C395" i="16"/>
  <c r="C394" i="16"/>
  <c r="C393" i="16"/>
  <c r="C391" i="16"/>
  <c r="C390" i="16"/>
  <c r="B395" i="16"/>
  <c r="B394" i="16"/>
  <c r="B393" i="16"/>
  <c r="B391" i="16"/>
  <c r="B390" i="16"/>
  <c r="C399" i="16"/>
  <c r="C398" i="16"/>
  <c r="B399" i="16"/>
  <c r="B398" i="16"/>
  <c r="C231" i="16"/>
  <c r="C230" i="16"/>
  <c r="C229" i="16"/>
  <c r="C228" i="16"/>
  <c r="B228" i="16"/>
  <c r="C226" i="16"/>
  <c r="C225" i="16"/>
  <c r="B231" i="16"/>
  <c r="B230" i="16"/>
  <c r="B229" i="16"/>
  <c r="B226" i="16"/>
  <c r="B225" i="16"/>
  <c r="C86" i="16"/>
  <c r="B86" i="16"/>
  <c r="C322" i="16"/>
  <c r="C321" i="16"/>
  <c r="C319" i="16"/>
  <c r="C318" i="16"/>
  <c r="B322" i="16"/>
  <c r="B321" i="16"/>
  <c r="B319" i="16"/>
  <c r="B318" i="16"/>
  <c r="C267" i="16"/>
  <c r="C266" i="16"/>
  <c r="B267" i="16"/>
  <c r="C289" i="16"/>
  <c r="C288" i="16"/>
  <c r="C286" i="16"/>
  <c r="C285" i="16"/>
  <c r="B288" i="16"/>
  <c r="B289" i="16"/>
  <c r="B286" i="16"/>
  <c r="B285" i="16"/>
  <c r="C337" i="16"/>
  <c r="C336" i="16"/>
  <c r="C334" i="16"/>
  <c r="C332" i="16"/>
  <c r="C331" i="16"/>
  <c r="B336" i="16"/>
  <c r="B334" i="16"/>
  <c r="B331" i="16"/>
  <c r="C83" i="16"/>
  <c r="C82" i="16"/>
  <c r="C80" i="16"/>
  <c r="C78" i="16"/>
  <c r="C77" i="16"/>
  <c r="B82" i="16"/>
  <c r="B80" i="16"/>
  <c r="B78" i="16"/>
  <c r="B77" i="16"/>
  <c r="B332" i="16"/>
  <c r="B329" i="16"/>
  <c r="B328" i="16"/>
  <c r="B327" i="16"/>
  <c r="C239" i="16"/>
  <c r="B239" i="16"/>
  <c r="C238" i="16"/>
  <c r="B238" i="16"/>
  <c r="C130" i="16"/>
  <c r="B130" i="16"/>
  <c r="B75" i="16"/>
  <c r="B74" i="16"/>
  <c r="B73" i="16"/>
  <c r="B71" i="16"/>
  <c r="C340" i="16"/>
  <c r="B340" i="16"/>
  <c r="C421" i="16"/>
  <c r="B421" i="16"/>
  <c r="C420" i="16"/>
  <c r="B420" i="16"/>
  <c r="C418" i="16"/>
  <c r="B418" i="16"/>
  <c r="C417" i="16"/>
  <c r="B417" i="16"/>
  <c r="C403" i="16"/>
  <c r="B403" i="16"/>
  <c r="C402" i="16"/>
  <c r="B402" i="16"/>
  <c r="C380" i="16"/>
  <c r="B380" i="16"/>
  <c r="C379" i="16"/>
  <c r="B379" i="16"/>
  <c r="C377" i="16"/>
  <c r="B377" i="16"/>
  <c r="C376" i="16"/>
  <c r="B376" i="16"/>
  <c r="C374" i="16"/>
  <c r="B374" i="16"/>
  <c r="C373" i="16"/>
  <c r="B373" i="16"/>
  <c r="C371" i="16"/>
  <c r="B371" i="16"/>
  <c r="C370" i="16"/>
  <c r="B370" i="16"/>
  <c r="C368" i="16"/>
  <c r="B368" i="16"/>
  <c r="C367" i="16"/>
  <c r="B367" i="16"/>
  <c r="C364" i="16"/>
  <c r="B364" i="16"/>
  <c r="C363" i="16"/>
  <c r="B363" i="16"/>
  <c r="C361" i="16"/>
  <c r="B361" i="16"/>
  <c r="C360" i="16"/>
  <c r="B360" i="16"/>
  <c r="C358" i="16"/>
  <c r="B358" i="16"/>
  <c r="C357" i="16"/>
  <c r="B357" i="16"/>
  <c r="C355" i="16"/>
  <c r="B355" i="16"/>
  <c r="C354" i="16"/>
  <c r="B354" i="16"/>
  <c r="C349" i="16"/>
  <c r="B349" i="16"/>
  <c r="C348" i="16"/>
  <c r="B348" i="16"/>
  <c r="C343" i="16"/>
  <c r="B343" i="16"/>
  <c r="C342" i="16"/>
  <c r="B342" i="16"/>
  <c r="C339" i="16"/>
  <c r="B339" i="16"/>
  <c r="C316" i="16"/>
  <c r="B316" i="16"/>
  <c r="C315" i="16"/>
  <c r="B315" i="16"/>
  <c r="C313" i="16"/>
  <c r="B313" i="16"/>
  <c r="C312" i="16"/>
  <c r="B312" i="16"/>
  <c r="C310" i="16"/>
  <c r="B310" i="16"/>
  <c r="C309" i="16"/>
  <c r="B309" i="16"/>
  <c r="C307" i="16"/>
  <c r="B307" i="16"/>
  <c r="C306" i="16"/>
  <c r="B306" i="16"/>
  <c r="C283" i="16"/>
  <c r="B283" i="16"/>
  <c r="C282" i="16"/>
  <c r="B282" i="16"/>
  <c r="C279" i="16"/>
  <c r="B279" i="16"/>
  <c r="C270" i="16"/>
  <c r="B270" i="16"/>
  <c r="C269" i="16"/>
  <c r="B269" i="16"/>
  <c r="B266" i="16"/>
  <c r="C257" i="16"/>
  <c r="B257" i="16"/>
  <c r="C256" i="16"/>
  <c r="B256" i="16"/>
  <c r="C254" i="16"/>
  <c r="B254" i="16"/>
  <c r="C253" i="16"/>
  <c r="B253" i="16"/>
  <c r="C251" i="16"/>
  <c r="B251" i="16"/>
  <c r="C250" i="16"/>
  <c r="B250" i="16"/>
  <c r="C248" i="16"/>
  <c r="B248" i="16"/>
  <c r="C247" i="16"/>
  <c r="B247" i="16"/>
  <c r="B211" i="16"/>
  <c r="B210" i="16"/>
  <c r="B207" i="16"/>
  <c r="B206" i="16"/>
  <c r="B204" i="16"/>
  <c r="B203" i="16"/>
  <c r="B200" i="16"/>
  <c r="C154" i="16"/>
  <c r="B154" i="16"/>
  <c r="C153" i="16"/>
  <c r="B153" i="16"/>
  <c r="C151" i="16"/>
  <c r="B151" i="16"/>
  <c r="C150" i="16"/>
  <c r="B150" i="16"/>
  <c r="C138" i="16"/>
  <c r="B138" i="16"/>
  <c r="C137" i="16"/>
  <c r="B137" i="16"/>
  <c r="C135" i="16"/>
  <c r="B135" i="16"/>
  <c r="C134" i="16"/>
  <c r="B134" i="16"/>
  <c r="C95" i="16"/>
  <c r="B95" i="16"/>
  <c r="C94" i="16"/>
  <c r="B94" i="16"/>
  <c r="C92" i="16"/>
  <c r="B92" i="16"/>
  <c r="C91" i="16"/>
  <c r="B91" i="16"/>
  <c r="C89" i="16"/>
  <c r="B89" i="16"/>
  <c r="C88" i="16"/>
  <c r="B88" i="16"/>
  <c r="C85" i="16"/>
  <c r="B85" i="16"/>
  <c r="C50" i="16"/>
  <c r="B50" i="16"/>
  <c r="C49" i="16"/>
  <c r="B49" i="16"/>
  <c r="C47" i="16"/>
  <c r="B47" i="16"/>
  <c r="C46" i="16"/>
  <c r="B46" i="16"/>
  <c r="C32" i="16"/>
  <c r="B32" i="16"/>
  <c r="C31" i="16"/>
  <c r="B31" i="16"/>
  <c r="C29" i="16"/>
  <c r="B29" i="16"/>
  <c r="C28" i="16"/>
  <c r="B28" i="16"/>
  <c r="C13" i="16"/>
  <c r="C12" i="16"/>
  <c r="C6" i="16"/>
  <c r="C5" i="16"/>
  <c r="B13" i="16"/>
  <c r="B12" i="16"/>
  <c r="B6" i="16"/>
  <c r="B5" i="16"/>
  <c r="C398" i="24"/>
  <c r="B398" i="24"/>
  <c r="C397" i="24"/>
  <c r="B397" i="24"/>
  <c r="C395" i="24"/>
  <c r="B395" i="24"/>
  <c r="C394" i="24"/>
  <c r="B394" i="24"/>
  <c r="C392" i="24"/>
  <c r="B392" i="24"/>
  <c r="C391" i="24"/>
  <c r="B391" i="24"/>
  <c r="C389" i="24"/>
  <c r="B389" i="24"/>
  <c r="C388" i="24"/>
  <c r="B388" i="24"/>
  <c r="C379" i="24"/>
  <c r="C378" i="24"/>
  <c r="C377" i="24"/>
  <c r="C375" i="24"/>
  <c r="C374" i="24"/>
  <c r="B379" i="24"/>
  <c r="B378" i="24"/>
  <c r="B377" i="24"/>
  <c r="B375" i="24"/>
  <c r="B374" i="24"/>
  <c r="C175" i="24"/>
  <c r="C174" i="24"/>
  <c r="C173" i="24"/>
  <c r="C172" i="24"/>
  <c r="C170" i="24"/>
  <c r="C169" i="24"/>
  <c r="B175" i="24"/>
  <c r="B174" i="24"/>
  <c r="B173" i="24"/>
  <c r="B172" i="24"/>
  <c r="B170" i="24"/>
  <c r="B169" i="24"/>
  <c r="C359" i="24"/>
  <c r="C358" i="24"/>
  <c r="C356" i="24"/>
  <c r="C355" i="24"/>
  <c r="B359" i="24"/>
  <c r="B358" i="24"/>
  <c r="B356" i="24"/>
  <c r="B355" i="24"/>
  <c r="C347" i="24"/>
  <c r="B347" i="24"/>
  <c r="C346" i="24"/>
  <c r="B346" i="24"/>
  <c r="C344" i="24"/>
  <c r="B344" i="24"/>
  <c r="C343" i="24"/>
  <c r="B343" i="24"/>
  <c r="C335" i="24"/>
  <c r="C334" i="24"/>
  <c r="C332" i="24"/>
  <c r="C331" i="24"/>
  <c r="B335" i="24"/>
  <c r="B334" i="24"/>
  <c r="B332" i="24"/>
  <c r="B331" i="24"/>
  <c r="C322" i="24"/>
  <c r="C321" i="24"/>
  <c r="C320" i="24"/>
  <c r="C317" i="24"/>
  <c r="C316" i="24"/>
  <c r="B322" i="24"/>
  <c r="B321" i="24"/>
  <c r="B320" i="24"/>
  <c r="B317" i="24"/>
  <c r="B316" i="24"/>
  <c r="C285" i="24"/>
  <c r="C284" i="24"/>
  <c r="C282" i="24"/>
  <c r="C281" i="24"/>
  <c r="B284" i="24"/>
  <c r="B285" i="24"/>
  <c r="B282" i="24"/>
  <c r="B281" i="24"/>
  <c r="C220" i="24"/>
  <c r="C219" i="24"/>
  <c r="C217" i="24"/>
  <c r="C216" i="24"/>
  <c r="B220" i="24"/>
  <c r="B219" i="24"/>
  <c r="B217" i="24"/>
  <c r="B216" i="24"/>
  <c r="C207" i="24"/>
  <c r="C206" i="24"/>
  <c r="C205" i="24"/>
  <c r="C203" i="24"/>
  <c r="C202" i="24"/>
  <c r="B207" i="24"/>
  <c r="B206" i="24"/>
  <c r="B205" i="24"/>
  <c r="B203" i="24"/>
  <c r="B202" i="24"/>
  <c r="C100" i="24"/>
  <c r="C99" i="24"/>
  <c r="C98" i="24"/>
  <c r="C96" i="24"/>
  <c r="C95" i="24"/>
  <c r="B100" i="24"/>
  <c r="B99" i="24"/>
  <c r="B98" i="24"/>
  <c r="B95" i="24"/>
  <c r="B96" i="24"/>
  <c r="C314" i="24"/>
  <c r="C313" i="24"/>
  <c r="C309" i="24"/>
  <c r="C308" i="24"/>
  <c r="C312" i="24"/>
  <c r="B314" i="24"/>
  <c r="B313" i="24"/>
  <c r="B312" i="24"/>
  <c r="B309" i="24"/>
  <c r="B308" i="24"/>
  <c r="C240" i="24"/>
  <c r="C239" i="24"/>
  <c r="C236" i="24"/>
  <c r="C235" i="24"/>
  <c r="B238" i="24"/>
  <c r="B240" i="24"/>
  <c r="B239" i="24"/>
  <c r="B236" i="24"/>
  <c r="B235" i="24"/>
  <c r="C118" i="24"/>
  <c r="C117" i="24"/>
  <c r="C115" i="24"/>
  <c r="C114" i="24"/>
  <c r="B118" i="24"/>
  <c r="B117" i="24"/>
  <c r="B115" i="24"/>
  <c r="B114" i="24"/>
  <c r="C329" i="24"/>
  <c r="C328" i="24"/>
  <c r="C325" i="24"/>
  <c r="C324" i="24"/>
  <c r="B329" i="24"/>
  <c r="B328" i="24"/>
  <c r="B325" i="24"/>
  <c r="B324" i="24"/>
  <c r="C181" i="24"/>
  <c r="C180" i="24"/>
  <c r="C178" i="24"/>
  <c r="C177" i="24"/>
  <c r="B181" i="24"/>
  <c r="B180" i="24"/>
  <c r="B178" i="24"/>
  <c r="B177" i="24"/>
  <c r="C167" i="24"/>
  <c r="C166" i="24"/>
  <c r="C164" i="24"/>
  <c r="C163" i="24"/>
  <c r="B167" i="24"/>
  <c r="B166" i="24"/>
  <c r="B164" i="24"/>
  <c r="B163" i="24"/>
  <c r="C69" i="24"/>
  <c r="C68" i="24"/>
  <c r="C66" i="24"/>
  <c r="C65" i="24"/>
  <c r="B69" i="24"/>
  <c r="B68" i="24"/>
  <c r="B66" i="24"/>
  <c r="B65" i="24"/>
  <c r="C390" i="24" l="1"/>
  <c r="C396" i="24"/>
  <c r="B345" i="24"/>
  <c r="B396" i="24"/>
  <c r="B390" i="24"/>
  <c r="B171" i="16"/>
  <c r="C345" i="24"/>
  <c r="B407" i="16"/>
  <c r="C407" i="16"/>
  <c r="B301" i="16"/>
  <c r="C162" i="16"/>
  <c r="C243" i="16"/>
  <c r="B308" i="16"/>
  <c r="B142" i="16"/>
  <c r="B243" i="16"/>
  <c r="B235" i="16"/>
  <c r="B62" i="16"/>
  <c r="C146" i="16"/>
  <c r="C384" i="16"/>
  <c r="C168" i="16"/>
  <c r="C378" i="16"/>
  <c r="C171" i="16"/>
  <c r="C293" i="16"/>
  <c r="B168" i="16"/>
  <c r="C353" i="16"/>
  <c r="B146" i="16"/>
  <c r="B293" i="16"/>
  <c r="C54" i="16"/>
  <c r="B119" i="16"/>
  <c r="C425" i="16"/>
  <c r="B433" i="16"/>
  <c r="C142" i="16"/>
  <c r="C93" i="16"/>
  <c r="B7" i="16"/>
  <c r="C365" i="16"/>
  <c r="C186" i="16"/>
  <c r="B66" i="16"/>
  <c r="C119" i="16"/>
  <c r="C392" i="16"/>
  <c r="B261" i="16"/>
  <c r="C249" i="16"/>
  <c r="B425" i="16"/>
  <c r="B186" i="16"/>
  <c r="C158" i="16"/>
  <c r="B162" i="16"/>
  <c r="B158" i="16"/>
  <c r="B341" i="16"/>
  <c r="C17" i="16"/>
  <c r="B392" i="16"/>
  <c r="B93" i="16"/>
  <c r="B17" i="16"/>
  <c r="C123" i="16"/>
  <c r="B123" i="16"/>
  <c r="C66" i="16"/>
  <c r="C62" i="16"/>
  <c r="C281" i="16"/>
  <c r="B281" i="16"/>
  <c r="B30" i="16"/>
  <c r="C194" i="16"/>
  <c r="C419" i="16"/>
  <c r="B333" i="16"/>
  <c r="C152" i="16"/>
  <c r="C326" i="16"/>
  <c r="B48" i="16"/>
  <c r="B54" i="16"/>
  <c r="B129" i="16"/>
  <c r="C235" i="16"/>
  <c r="C261" i="16"/>
  <c r="C301" i="16"/>
  <c r="B79" i="16"/>
  <c r="C287" i="16"/>
  <c r="B87" i="16"/>
  <c r="C87" i="16"/>
  <c r="B202" i="16"/>
  <c r="B249" i="16"/>
  <c r="B353" i="16"/>
  <c r="B378" i="16"/>
  <c r="B136" i="16"/>
  <c r="B227" i="16"/>
  <c r="B274" i="16"/>
  <c r="B326" i="16"/>
  <c r="C79" i="16"/>
  <c r="C136" i="16"/>
  <c r="B372" i="16"/>
  <c r="C129" i="16"/>
  <c r="C227" i="16"/>
  <c r="C274" i="16"/>
  <c r="C30" i="16"/>
  <c r="B208" i="16"/>
  <c r="B359" i="16"/>
  <c r="B400" i="16"/>
  <c r="C208" i="16"/>
  <c r="C400" i="16"/>
  <c r="C433" i="16"/>
  <c r="C320" i="16"/>
  <c r="C308" i="16"/>
  <c r="B72" i="16"/>
  <c r="B99" i="16"/>
  <c r="B365" i="16"/>
  <c r="C72" i="16"/>
  <c r="C99" i="16"/>
  <c r="B194" i="16"/>
  <c r="B320" i="16"/>
  <c r="C268" i="16"/>
  <c r="B268" i="16"/>
  <c r="B287" i="16"/>
  <c r="C333" i="16"/>
  <c r="C347" i="16"/>
  <c r="C372" i="16"/>
  <c r="B152" i="16"/>
  <c r="C202" i="16"/>
  <c r="B255" i="16"/>
  <c r="B314" i="16"/>
  <c r="C255" i="16"/>
  <c r="C314" i="16"/>
  <c r="C359" i="16"/>
  <c r="B419" i="16"/>
  <c r="C48" i="16"/>
  <c r="B347" i="16"/>
  <c r="C341" i="16"/>
  <c r="C7" i="16"/>
  <c r="C63" i="24" l="1"/>
  <c r="B63" i="24"/>
  <c r="C62" i="24"/>
  <c r="B62" i="24"/>
  <c r="C60" i="24"/>
  <c r="B60" i="24"/>
  <c r="C59" i="24"/>
  <c r="B59" i="24"/>
  <c r="C39" i="24"/>
  <c r="C38" i="24"/>
  <c r="C35" i="24"/>
  <c r="C34" i="24"/>
  <c r="B39" i="24"/>
  <c r="B38" i="24"/>
  <c r="B35" i="24"/>
  <c r="B34" i="24"/>
  <c r="C32" i="24"/>
  <c r="C31" i="24"/>
  <c r="C30" i="24"/>
  <c r="C28" i="24"/>
  <c r="C27" i="24"/>
  <c r="B32" i="24"/>
  <c r="B31" i="24"/>
  <c r="B30" i="24"/>
  <c r="B28" i="24"/>
  <c r="B27" i="24"/>
  <c r="C233" i="24"/>
  <c r="C232" i="24"/>
  <c r="C229" i="24"/>
  <c r="C228" i="24"/>
  <c r="B233" i="24"/>
  <c r="B232" i="24"/>
  <c r="B229" i="24"/>
  <c r="B228" i="24"/>
  <c r="C353" i="24"/>
  <c r="C352" i="24"/>
  <c r="C350" i="24"/>
  <c r="C349" i="24"/>
  <c r="B353" i="24"/>
  <c r="B352" i="24"/>
  <c r="B350" i="24"/>
  <c r="B349" i="24"/>
  <c r="C415" i="24"/>
  <c r="C414" i="24"/>
  <c r="C413" i="24"/>
  <c r="C412" i="24"/>
  <c r="C410" i="24"/>
  <c r="C409" i="24"/>
  <c r="B415" i="24"/>
  <c r="B414" i="24"/>
  <c r="B413" i="24"/>
  <c r="B412" i="24"/>
  <c r="B410" i="24"/>
  <c r="B409" i="24"/>
  <c r="C423" i="24"/>
  <c r="C422" i="24"/>
  <c r="C418" i="24"/>
  <c r="C417" i="24"/>
  <c r="B423" i="24"/>
  <c r="B422" i="24"/>
  <c r="C421" i="24"/>
  <c r="B421" i="24"/>
  <c r="B418" i="24"/>
  <c r="B417" i="24"/>
  <c r="B419" i="24" s="1"/>
  <c r="C365" i="24"/>
  <c r="C364" i="24"/>
  <c r="C362" i="24"/>
  <c r="C361" i="24"/>
  <c r="B365" i="24"/>
  <c r="B364" i="24"/>
  <c r="B362" i="24"/>
  <c r="B361" i="24"/>
  <c r="C194" i="24"/>
  <c r="C193" i="24"/>
  <c r="C192" i="24"/>
  <c r="C190" i="24"/>
  <c r="C189" i="24"/>
  <c r="B194" i="24"/>
  <c r="B193" i="24"/>
  <c r="B192" i="24"/>
  <c r="B190" i="24"/>
  <c r="B189" i="24"/>
  <c r="C20" i="24"/>
  <c r="C22" i="24"/>
  <c r="C21" i="24"/>
  <c r="C25" i="24"/>
  <c r="C24" i="24"/>
  <c r="C17" i="24"/>
  <c r="C16" i="24"/>
  <c r="B20" i="24"/>
  <c r="B22" i="24"/>
  <c r="B21" i="24"/>
  <c r="B25" i="24"/>
  <c r="B24" i="24"/>
  <c r="C19" i="24"/>
  <c r="B19" i="24"/>
  <c r="B17" i="24"/>
  <c r="B16" i="24"/>
  <c r="C106" i="24"/>
  <c r="C108" i="24"/>
  <c r="C107" i="24"/>
  <c r="C112" i="24"/>
  <c r="C110" i="24"/>
  <c r="C111" i="24"/>
  <c r="C105" i="24"/>
  <c r="C103" i="24"/>
  <c r="C102" i="24"/>
  <c r="B106" i="24"/>
  <c r="B108" i="24"/>
  <c r="B107" i="24"/>
  <c r="B112" i="24"/>
  <c r="B110" i="24"/>
  <c r="B111" i="24"/>
  <c r="B105" i="24"/>
  <c r="B103" i="24"/>
  <c r="B102" i="24"/>
  <c r="C386" i="24"/>
  <c r="C385" i="24"/>
  <c r="C384" i="24"/>
  <c r="C382" i="24"/>
  <c r="C381" i="24"/>
  <c r="B386" i="24"/>
  <c r="B385" i="24"/>
  <c r="B384" i="24"/>
  <c r="B382" i="24"/>
  <c r="B381" i="24"/>
  <c r="C161" i="24"/>
  <c r="C160" i="24"/>
  <c r="C158" i="24"/>
  <c r="C157" i="24"/>
  <c r="C155" i="24"/>
  <c r="C154" i="24"/>
  <c r="B161" i="24"/>
  <c r="B160" i="24"/>
  <c r="B158" i="24"/>
  <c r="B157" i="24"/>
  <c r="B155" i="24"/>
  <c r="B154" i="24"/>
  <c r="C51" i="24"/>
  <c r="C50" i="24"/>
  <c r="C48" i="24"/>
  <c r="C47" i="24"/>
  <c r="B51" i="24"/>
  <c r="B50" i="24"/>
  <c r="B48" i="24"/>
  <c r="B47" i="24"/>
  <c r="C299" i="24"/>
  <c r="C298" i="24"/>
  <c r="C297" i="24"/>
  <c r="C296" i="24"/>
  <c r="C294" i="24"/>
  <c r="C293" i="24"/>
  <c r="B299" i="24"/>
  <c r="B298" i="24"/>
  <c r="B297" i="24"/>
  <c r="B296" i="24"/>
  <c r="B294" i="24"/>
  <c r="B293" i="24"/>
  <c r="C306" i="24"/>
  <c r="C305" i="24"/>
  <c r="C304" i="24"/>
  <c r="C302" i="24"/>
  <c r="C301" i="24"/>
  <c r="B306" i="24"/>
  <c r="B305" i="24"/>
  <c r="B304" i="24"/>
  <c r="B302" i="24"/>
  <c r="B301" i="24"/>
  <c r="C130" i="24"/>
  <c r="C129" i="24"/>
  <c r="C127" i="24"/>
  <c r="C126" i="24"/>
  <c r="B130" i="24"/>
  <c r="B129" i="24"/>
  <c r="B127" i="24"/>
  <c r="B126" i="24"/>
  <c r="C124" i="24"/>
  <c r="C123" i="24"/>
  <c r="C121" i="24"/>
  <c r="C120" i="24"/>
  <c r="B124" i="24"/>
  <c r="B123" i="24"/>
  <c r="B121" i="24"/>
  <c r="B120" i="24"/>
  <c r="C57" i="24"/>
  <c r="C56" i="24"/>
  <c r="C54" i="24"/>
  <c r="C53" i="24"/>
  <c r="B57" i="24"/>
  <c r="B56" i="24"/>
  <c r="B54" i="24"/>
  <c r="B53" i="24"/>
  <c r="C279" i="24"/>
  <c r="C278" i="24"/>
  <c r="C276" i="24"/>
  <c r="C275" i="24"/>
  <c r="B279" i="24"/>
  <c r="B278" i="24"/>
  <c r="B276" i="24"/>
  <c r="B275" i="24"/>
  <c r="C372" i="24"/>
  <c r="C371" i="24"/>
  <c r="C370" i="24"/>
  <c r="C368" i="24"/>
  <c r="C367" i="24"/>
  <c r="B372" i="24"/>
  <c r="B371" i="24"/>
  <c r="B370" i="24"/>
  <c r="B368" i="24"/>
  <c r="B367" i="24"/>
  <c r="C267" i="24"/>
  <c r="C266" i="24"/>
  <c r="C265" i="24"/>
  <c r="C264" i="24"/>
  <c r="B264" i="24"/>
  <c r="C262" i="24"/>
  <c r="C261" i="24"/>
  <c r="B267" i="24"/>
  <c r="B266" i="24"/>
  <c r="B265" i="24"/>
  <c r="B262" i="24"/>
  <c r="B261" i="24"/>
  <c r="B137" i="24"/>
  <c r="C137" i="24" s="1"/>
  <c r="B136" i="24"/>
  <c r="C136" i="24" s="1"/>
  <c r="B139" i="24"/>
  <c r="C139" i="24" s="1"/>
  <c r="B138" i="24"/>
  <c r="C138" i="24" s="1"/>
  <c r="B143" i="24"/>
  <c r="C143" i="24" s="1"/>
  <c r="B142" i="24"/>
  <c r="C142" i="24" s="1"/>
  <c r="B135" i="24"/>
  <c r="C135" i="24" s="1"/>
  <c r="B133" i="24"/>
  <c r="C133" i="24" s="1"/>
  <c r="B132" i="24"/>
  <c r="C132" i="24" s="1"/>
  <c r="C45" i="24"/>
  <c r="C44" i="24"/>
  <c r="C42" i="24"/>
  <c r="C41" i="24"/>
  <c r="B45" i="24"/>
  <c r="B44" i="24"/>
  <c r="B42" i="24"/>
  <c r="B41" i="24"/>
  <c r="C405" i="24"/>
  <c r="C404" i="24"/>
  <c r="C407" i="24"/>
  <c r="C406" i="24"/>
  <c r="C403" i="24"/>
  <c r="C401" i="24"/>
  <c r="C400" i="24"/>
  <c r="B405" i="24"/>
  <c r="B404" i="24"/>
  <c r="B407" i="24"/>
  <c r="B406" i="24"/>
  <c r="B403" i="24"/>
  <c r="B401" i="24"/>
  <c r="B400" i="24"/>
  <c r="C273" i="24"/>
  <c r="C272" i="24"/>
  <c r="C270" i="24"/>
  <c r="C269" i="24"/>
  <c r="B273" i="24"/>
  <c r="B272" i="24"/>
  <c r="B270" i="24"/>
  <c r="B269" i="24"/>
  <c r="C14" i="24"/>
  <c r="C13" i="24"/>
  <c r="C11" i="24"/>
  <c r="C10" i="24"/>
  <c r="C9" i="24"/>
  <c r="C8" i="24"/>
  <c r="C6" i="24"/>
  <c r="C5" i="24"/>
  <c r="B9" i="24"/>
  <c r="B11" i="24"/>
  <c r="B10" i="24"/>
  <c r="B14" i="24"/>
  <c r="B13" i="24"/>
  <c r="B8" i="24"/>
  <c r="B6" i="24"/>
  <c r="B5" i="24"/>
  <c r="C247" i="24"/>
  <c r="C246" i="24"/>
  <c r="C245" i="24"/>
  <c r="C243" i="24"/>
  <c r="C242" i="24"/>
  <c r="B247" i="24"/>
  <c r="B246" i="24"/>
  <c r="B245" i="24"/>
  <c r="B243" i="24"/>
  <c r="B242" i="24"/>
  <c r="C93" i="24"/>
  <c r="C92" i="24"/>
  <c r="C90" i="24"/>
  <c r="C89" i="24"/>
  <c r="B93" i="24"/>
  <c r="B92" i="24"/>
  <c r="B90" i="24"/>
  <c r="B89" i="24"/>
  <c r="C200" i="24"/>
  <c r="C199" i="24"/>
  <c r="C197" i="24"/>
  <c r="C196" i="24"/>
  <c r="B200" i="24"/>
  <c r="B199" i="24"/>
  <c r="B197" i="24"/>
  <c r="B196" i="24"/>
  <c r="C152" i="24"/>
  <c r="C151" i="24"/>
  <c r="C149" i="24"/>
  <c r="C148" i="24"/>
  <c r="C146" i="24"/>
  <c r="C145" i="24"/>
  <c r="B152" i="24"/>
  <c r="B151" i="24"/>
  <c r="B149" i="24"/>
  <c r="B148" i="24"/>
  <c r="B146" i="24"/>
  <c r="B145" i="24"/>
  <c r="C214" i="24"/>
  <c r="C213" i="24"/>
  <c r="C212" i="24"/>
  <c r="C210" i="24"/>
  <c r="C209" i="24"/>
  <c r="B212" i="24"/>
  <c r="B214" i="24"/>
  <c r="B213" i="24"/>
  <c r="B210" i="24"/>
  <c r="B209" i="24"/>
  <c r="C187" i="24"/>
  <c r="C186" i="24"/>
  <c r="C184" i="24"/>
  <c r="C183" i="24"/>
  <c r="B187" i="24"/>
  <c r="B186" i="24"/>
  <c r="B184" i="24"/>
  <c r="B183" i="24"/>
  <c r="C250" i="24"/>
  <c r="B250" i="24"/>
  <c r="C253" i="24"/>
  <c r="B253" i="24"/>
  <c r="C252" i="24"/>
  <c r="B252" i="24"/>
  <c r="C249" i="24"/>
  <c r="B249" i="24"/>
  <c r="C291" i="24"/>
  <c r="C290" i="24"/>
  <c r="C288" i="24"/>
  <c r="C287" i="24"/>
  <c r="B291" i="24"/>
  <c r="B290" i="24"/>
  <c r="B288" i="24"/>
  <c r="B287" i="24"/>
  <c r="C156" i="24" l="1"/>
  <c r="B109" i="24"/>
  <c r="B91" i="24"/>
  <c r="B402" i="24"/>
  <c r="B61" i="24"/>
  <c r="C61" i="24"/>
  <c r="C271" i="24"/>
  <c r="B369" i="24"/>
  <c r="B140" i="24"/>
  <c r="C140" i="24" s="1"/>
  <c r="C419" i="24"/>
  <c r="B211" i="24"/>
  <c r="C91" i="24"/>
  <c r="B12" i="24"/>
  <c r="C402" i="24"/>
  <c r="B376" i="24"/>
  <c r="B171" i="24"/>
  <c r="B237" i="24"/>
  <c r="B116" i="24"/>
  <c r="B383" i="24"/>
  <c r="B156" i="24"/>
  <c r="B23" i="24"/>
  <c r="B159" i="24"/>
  <c r="C150" i="24"/>
  <c r="C109" i="24"/>
  <c r="B295" i="24"/>
  <c r="C251" i="24"/>
  <c r="C23" i="24"/>
  <c r="C159" i="24"/>
  <c r="C263" i="24"/>
  <c r="C104" i="24"/>
  <c r="C171" i="24"/>
  <c r="C237" i="24"/>
  <c r="C369" i="24"/>
  <c r="C326" i="24"/>
  <c r="C97" i="24"/>
  <c r="C204" i="24"/>
  <c r="B303" i="24"/>
  <c r="B97" i="24"/>
  <c r="B204" i="24"/>
  <c r="C318" i="24"/>
  <c r="B263" i="24"/>
  <c r="B185" i="24"/>
  <c r="B333" i="24"/>
  <c r="B411" i="24"/>
  <c r="C333" i="24"/>
  <c r="C411" i="24"/>
  <c r="C185" i="24"/>
  <c r="C383" i="24"/>
  <c r="B310" i="24"/>
  <c r="C310" i="24"/>
  <c r="C295" i="24"/>
  <c r="C12" i="24"/>
  <c r="B147" i="24"/>
  <c r="B251" i="24"/>
  <c r="C244" i="24"/>
  <c r="B134" i="24"/>
  <c r="C134" i="24" s="1"/>
  <c r="C128" i="24"/>
  <c r="C303" i="24"/>
  <c r="B318" i="24"/>
  <c r="C376" i="24"/>
  <c r="B104" i="24"/>
  <c r="C116" i="24"/>
  <c r="B29" i="24"/>
  <c r="B191" i="24"/>
  <c r="C191" i="24"/>
  <c r="C147" i="24"/>
  <c r="C211" i="24"/>
  <c r="C7" i="24"/>
  <c r="B244" i="24"/>
  <c r="B150" i="24"/>
  <c r="B55" i="24"/>
  <c r="B128" i="24"/>
  <c r="C29" i="24"/>
  <c r="B165" i="24"/>
  <c r="B230" i="24"/>
  <c r="B289" i="24"/>
  <c r="B357" i="24"/>
  <c r="C198" i="24"/>
  <c r="C165" i="24"/>
  <c r="C230" i="24"/>
  <c r="C289" i="24"/>
  <c r="B18" i="24"/>
  <c r="B49" i="24"/>
  <c r="B122" i="24"/>
  <c r="B198" i="24"/>
  <c r="B218" i="24"/>
  <c r="B283" i="24"/>
  <c r="B351" i="24"/>
  <c r="B271" i="24"/>
  <c r="C55" i="24"/>
  <c r="C363" i="24"/>
  <c r="C218" i="24"/>
  <c r="C283" i="24"/>
  <c r="C351" i="24"/>
  <c r="C43" i="24"/>
  <c r="C18" i="24"/>
  <c r="B7" i="24"/>
  <c r="C357" i="24"/>
  <c r="C49" i="24"/>
  <c r="C122" i="24"/>
  <c r="B277" i="24"/>
  <c r="C277" i="24"/>
  <c r="B43" i="24"/>
  <c r="B36" i="24"/>
  <c r="B67" i="24"/>
  <c r="B179" i="24"/>
  <c r="C36" i="24"/>
  <c r="C67" i="24"/>
  <c r="C179" i="24"/>
  <c r="B326" i="24"/>
  <c r="B363" i="24"/>
  <c r="C5" i="20" l="1"/>
  <c r="B5" i="20"/>
  <c r="C379" i="20" l="1"/>
  <c r="C378" i="20"/>
  <c r="C375" i="20"/>
  <c r="C374" i="20"/>
  <c r="B379" i="20"/>
  <c r="B378" i="20"/>
  <c r="B375" i="20"/>
  <c r="B374" i="20"/>
  <c r="C372" i="20"/>
  <c r="C371" i="20"/>
  <c r="C370" i="20"/>
  <c r="C368" i="20"/>
  <c r="C367" i="20"/>
  <c r="B372" i="20"/>
  <c r="B371" i="20"/>
  <c r="B370" i="20"/>
  <c r="B368" i="20"/>
  <c r="B367" i="20"/>
  <c r="C365" i="20"/>
  <c r="B365" i="20"/>
  <c r="C364" i="20"/>
  <c r="B364" i="20"/>
  <c r="C362" i="20"/>
  <c r="B362" i="20"/>
  <c r="C361" i="20"/>
  <c r="B361" i="20"/>
  <c r="C359" i="20"/>
  <c r="B359" i="20"/>
  <c r="C358" i="20"/>
  <c r="B358" i="20"/>
  <c r="C355" i="20"/>
  <c r="B355" i="20"/>
  <c r="C354" i="20"/>
  <c r="C356" i="20" s="1"/>
  <c r="B354" i="20"/>
  <c r="B356" i="20" s="1"/>
  <c r="C350" i="20"/>
  <c r="C347" i="20"/>
  <c r="C346" i="20"/>
  <c r="B350" i="20"/>
  <c r="B347" i="20"/>
  <c r="B346" i="20"/>
  <c r="C352" i="20"/>
  <c r="B352" i="20"/>
  <c r="C351" i="20"/>
  <c r="B351" i="20"/>
  <c r="C344" i="20"/>
  <c r="C343" i="20"/>
  <c r="C341" i="20"/>
  <c r="C340" i="20"/>
  <c r="B344" i="20"/>
  <c r="C338" i="20"/>
  <c r="B338" i="20"/>
  <c r="B343" i="20"/>
  <c r="B341" i="20"/>
  <c r="B340" i="20"/>
  <c r="C337" i="20"/>
  <c r="C335" i="20"/>
  <c r="C334" i="20"/>
  <c r="B337" i="20"/>
  <c r="B335" i="20"/>
  <c r="B334" i="20"/>
  <c r="C332" i="20"/>
  <c r="C331" i="20"/>
  <c r="C329" i="20"/>
  <c r="C328" i="20"/>
  <c r="B332" i="20"/>
  <c r="B331" i="20"/>
  <c r="B329" i="20"/>
  <c r="B328" i="20"/>
  <c r="C323" i="20"/>
  <c r="B323" i="20"/>
  <c r="C326" i="20"/>
  <c r="B326" i="20"/>
  <c r="C325" i="20"/>
  <c r="B325" i="20"/>
  <c r="C322" i="20"/>
  <c r="B322" i="20"/>
  <c r="C308" i="20"/>
  <c r="C307" i="20"/>
  <c r="C303" i="20"/>
  <c r="C302" i="20"/>
  <c r="B308" i="20"/>
  <c r="B307" i="20"/>
  <c r="B303" i="20"/>
  <c r="B302" i="20"/>
  <c r="C300" i="20"/>
  <c r="B300" i="20"/>
  <c r="C299" i="20"/>
  <c r="B299" i="20"/>
  <c r="C297" i="20"/>
  <c r="B297" i="20"/>
  <c r="C296" i="20"/>
  <c r="B296" i="20"/>
  <c r="C294" i="20"/>
  <c r="C293" i="20"/>
  <c r="C292" i="20"/>
  <c r="C291" i="20"/>
  <c r="C290" i="20"/>
  <c r="C288" i="20"/>
  <c r="C287" i="20"/>
  <c r="B290" i="20"/>
  <c r="B294" i="20"/>
  <c r="B293" i="20"/>
  <c r="B292" i="20"/>
  <c r="B288" i="20"/>
  <c r="B287" i="20"/>
  <c r="B291" i="20"/>
  <c r="C285" i="20"/>
  <c r="C284" i="20"/>
  <c r="C281" i="20"/>
  <c r="C280" i="20"/>
  <c r="B285" i="20"/>
  <c r="B284" i="20"/>
  <c r="B283" i="20"/>
  <c r="B281" i="20"/>
  <c r="B280" i="20"/>
  <c r="C283" i="20"/>
  <c r="B274" i="20"/>
  <c r="C278" i="20"/>
  <c r="B278" i="20"/>
  <c r="C277" i="20"/>
  <c r="B277" i="20"/>
  <c r="C275" i="20"/>
  <c r="B275" i="20"/>
  <c r="C274" i="20"/>
  <c r="C265" i="20"/>
  <c r="C264" i="20"/>
  <c r="C262" i="20"/>
  <c r="C261" i="20"/>
  <c r="B265" i="20"/>
  <c r="B264" i="20"/>
  <c r="B262" i="20"/>
  <c r="B261" i="20"/>
  <c r="C259" i="20"/>
  <c r="B259" i="20"/>
  <c r="C258" i="20"/>
  <c r="B258" i="20"/>
  <c r="C256" i="20"/>
  <c r="B256" i="20"/>
  <c r="C255" i="20"/>
  <c r="B255" i="20"/>
  <c r="C253" i="20"/>
  <c r="B253" i="20"/>
  <c r="C252" i="20"/>
  <c r="B252" i="20"/>
  <c r="C250" i="20"/>
  <c r="B250" i="20"/>
  <c r="C249" i="20"/>
  <c r="B249" i="20"/>
  <c r="C247" i="20"/>
  <c r="C246" i="20"/>
  <c r="C245" i="20"/>
  <c r="C242" i="20"/>
  <c r="C241" i="20"/>
  <c r="B247" i="20"/>
  <c r="B246" i="20"/>
  <c r="B245" i="20"/>
  <c r="B242" i="20"/>
  <c r="B241" i="20"/>
  <c r="C244" i="20"/>
  <c r="B244" i="20"/>
  <c r="C239" i="20"/>
  <c r="C238" i="20"/>
  <c r="C236" i="20"/>
  <c r="C235" i="20"/>
  <c r="B239" i="20"/>
  <c r="B238" i="20"/>
  <c r="B236" i="20"/>
  <c r="B235" i="20"/>
  <c r="C233" i="20"/>
  <c r="C232" i="20"/>
  <c r="C231" i="20"/>
  <c r="C229" i="20"/>
  <c r="C228" i="20"/>
  <c r="B233" i="20"/>
  <c r="B232" i="20"/>
  <c r="B228" i="20"/>
  <c r="B231" i="20"/>
  <c r="B229" i="20"/>
  <c r="B226" i="20"/>
  <c r="C226" i="20" s="1"/>
  <c r="B225" i="20"/>
  <c r="C225" i="20" s="1"/>
  <c r="B223" i="20"/>
  <c r="C223" i="20" s="1"/>
  <c r="B222" i="20"/>
  <c r="C222" i="20" s="1"/>
  <c r="C220" i="20"/>
  <c r="C219" i="20"/>
  <c r="C217" i="20"/>
  <c r="C216" i="20"/>
  <c r="B220" i="20"/>
  <c r="B219" i="20"/>
  <c r="B217" i="20"/>
  <c r="B216" i="20"/>
  <c r="C205" i="20"/>
  <c r="C204" i="20"/>
  <c r="B205" i="20"/>
  <c r="B204" i="20"/>
  <c r="C208" i="20"/>
  <c r="B208" i="20"/>
  <c r="C207" i="20"/>
  <c r="B207" i="20"/>
  <c r="C202" i="20"/>
  <c r="B202" i="20"/>
  <c r="C201" i="20"/>
  <c r="B201" i="20"/>
  <c r="C199" i="20"/>
  <c r="B199" i="20"/>
  <c r="C198" i="20"/>
  <c r="B198" i="20"/>
  <c r="C189" i="20"/>
  <c r="C188" i="20"/>
  <c r="C187" i="20"/>
  <c r="C185" i="20"/>
  <c r="C184" i="20"/>
  <c r="B189" i="20"/>
  <c r="B188" i="20"/>
  <c r="B187" i="20"/>
  <c r="B185" i="20"/>
  <c r="B184" i="20"/>
  <c r="C176" i="20"/>
  <c r="C175" i="20"/>
  <c r="C173" i="20"/>
  <c r="C172" i="20"/>
  <c r="B176" i="20"/>
  <c r="B175" i="20"/>
  <c r="B173" i="20"/>
  <c r="B172" i="20"/>
  <c r="C170" i="20"/>
  <c r="C169" i="20"/>
  <c r="C167" i="20"/>
  <c r="C166" i="20"/>
  <c r="B167" i="20"/>
  <c r="B166" i="20"/>
  <c r="B170" i="20"/>
  <c r="B169" i="20"/>
  <c r="C161" i="20"/>
  <c r="C160" i="20"/>
  <c r="C164" i="20"/>
  <c r="C163" i="20"/>
  <c r="C158" i="20"/>
  <c r="C157" i="20"/>
  <c r="B164" i="20"/>
  <c r="B163" i="20"/>
  <c r="B161" i="20"/>
  <c r="B160" i="20"/>
  <c r="B158" i="20"/>
  <c r="B157" i="20"/>
  <c r="C152" i="20"/>
  <c r="C151" i="20"/>
  <c r="B154" i="20"/>
  <c r="B152" i="20"/>
  <c r="B151" i="20"/>
  <c r="C155" i="20"/>
  <c r="B155" i="20"/>
  <c r="C154" i="20"/>
  <c r="C141" i="20"/>
  <c r="B141" i="20"/>
  <c r="C149" i="20"/>
  <c r="B149" i="20"/>
  <c r="C148" i="20"/>
  <c r="B148" i="20"/>
  <c r="C142" i="20"/>
  <c r="B142" i="20"/>
  <c r="C139" i="20"/>
  <c r="C138" i="20"/>
  <c r="C136" i="20"/>
  <c r="C135" i="20"/>
  <c r="C134" i="20"/>
  <c r="C131" i="20"/>
  <c r="B139" i="20"/>
  <c r="B138" i="20"/>
  <c r="B136" i="20"/>
  <c r="B135" i="20"/>
  <c r="B134" i="20"/>
  <c r="B132" i="20"/>
  <c r="B131" i="20"/>
  <c r="C132" i="20"/>
  <c r="C124" i="20"/>
  <c r="C126" i="20"/>
  <c r="C125" i="20"/>
  <c r="C129" i="20"/>
  <c r="C128" i="20"/>
  <c r="C122" i="20"/>
  <c r="C121" i="20"/>
  <c r="B129" i="20"/>
  <c r="B128" i="20"/>
  <c r="B126" i="20"/>
  <c r="B125" i="20"/>
  <c r="B124" i="20"/>
  <c r="B122" i="20"/>
  <c r="B121" i="20"/>
  <c r="C119" i="20"/>
  <c r="C118" i="20"/>
  <c r="C117" i="20"/>
  <c r="C115" i="20"/>
  <c r="C114" i="20"/>
  <c r="B119" i="20"/>
  <c r="B118" i="20"/>
  <c r="B117" i="20"/>
  <c r="B115" i="20"/>
  <c r="B114" i="20"/>
  <c r="C112" i="20"/>
  <c r="B112" i="20"/>
  <c r="C111" i="20"/>
  <c r="B111" i="20"/>
  <c r="C109" i="20"/>
  <c r="B109" i="20"/>
  <c r="C108" i="20"/>
  <c r="B108" i="20"/>
  <c r="C106" i="20"/>
  <c r="C105" i="20"/>
  <c r="C103" i="20"/>
  <c r="C102" i="20"/>
  <c r="B106" i="20"/>
  <c r="B105" i="20"/>
  <c r="B103" i="20"/>
  <c r="B102" i="20"/>
  <c r="B97" i="20"/>
  <c r="B96" i="20"/>
  <c r="C100" i="20"/>
  <c r="C99" i="20"/>
  <c r="C97" i="20"/>
  <c r="C96" i="20"/>
  <c r="B100" i="20"/>
  <c r="B99" i="20"/>
  <c r="C94" i="20"/>
  <c r="C93" i="20"/>
  <c r="C90" i="20"/>
  <c r="C89" i="20"/>
  <c r="C88" i="20"/>
  <c r="C87" i="20"/>
  <c r="C85" i="20"/>
  <c r="C84" i="20"/>
  <c r="B94" i="20"/>
  <c r="B93" i="20"/>
  <c r="B90" i="20"/>
  <c r="B89" i="20"/>
  <c r="B87" i="20"/>
  <c r="B88" i="20"/>
  <c r="B85" i="20"/>
  <c r="B84" i="20"/>
  <c r="C82" i="20"/>
  <c r="C81" i="20"/>
  <c r="B82" i="20"/>
  <c r="B81" i="20"/>
  <c r="C78" i="20"/>
  <c r="B78" i="20"/>
  <c r="C79" i="20"/>
  <c r="B79" i="20"/>
  <c r="C76" i="20"/>
  <c r="C75" i="20"/>
  <c r="C74" i="20"/>
  <c r="C72" i="20"/>
  <c r="C71" i="20"/>
  <c r="B76" i="20"/>
  <c r="B75" i="20"/>
  <c r="B74" i="20"/>
  <c r="B72" i="20"/>
  <c r="B71" i="20"/>
  <c r="C69" i="20"/>
  <c r="C68" i="20"/>
  <c r="C66" i="20"/>
  <c r="C65" i="20"/>
  <c r="B69" i="20"/>
  <c r="B68" i="20"/>
  <c r="B66" i="20"/>
  <c r="B65" i="20"/>
  <c r="C55" i="20"/>
  <c r="C54" i="20"/>
  <c r="C52" i="20"/>
  <c r="C51" i="20"/>
  <c r="B55" i="20"/>
  <c r="B54" i="20"/>
  <c r="B52" i="20"/>
  <c r="B51" i="20"/>
  <c r="C49" i="20"/>
  <c r="C48" i="20"/>
  <c r="C44" i="20"/>
  <c r="C43" i="20"/>
  <c r="B49" i="20"/>
  <c r="B48" i="20"/>
  <c r="B44" i="20"/>
  <c r="B43" i="20"/>
  <c r="C46" i="20"/>
  <c r="B46" i="20"/>
  <c r="C41" i="20"/>
  <c r="C40" i="20"/>
  <c r="C39" i="20"/>
  <c r="C38" i="20"/>
  <c r="C36" i="20"/>
  <c r="C35" i="20"/>
  <c r="B41" i="20"/>
  <c r="B40" i="20"/>
  <c r="B39" i="20"/>
  <c r="B38" i="20"/>
  <c r="B36" i="20"/>
  <c r="B35" i="20"/>
  <c r="C33" i="20"/>
  <c r="C32" i="20"/>
  <c r="C31" i="20"/>
  <c r="C29" i="20"/>
  <c r="C28" i="20"/>
  <c r="B33" i="20"/>
  <c r="B32" i="20"/>
  <c r="B31" i="20"/>
  <c r="B29" i="20"/>
  <c r="B28" i="20"/>
  <c r="C26" i="20"/>
  <c r="C25" i="20"/>
  <c r="C24" i="20"/>
  <c r="B26" i="20"/>
  <c r="B25" i="20"/>
  <c r="B24" i="20"/>
  <c r="C21" i="20"/>
  <c r="B22" i="20"/>
  <c r="B21" i="20"/>
  <c r="C22" i="20"/>
  <c r="C19" i="20"/>
  <c r="C18" i="20"/>
  <c r="C16" i="20"/>
  <c r="C15" i="20"/>
  <c r="B19" i="20"/>
  <c r="B18" i="20"/>
  <c r="B16" i="20"/>
  <c r="B15" i="20"/>
  <c r="C13" i="20"/>
  <c r="C12" i="20"/>
  <c r="B13" i="20"/>
  <c r="B12" i="20"/>
  <c r="C10" i="20"/>
  <c r="C9" i="20"/>
  <c r="C8" i="20"/>
  <c r="B8" i="20"/>
  <c r="B10" i="20"/>
  <c r="B9" i="20"/>
  <c r="C369" i="20" l="1"/>
  <c r="B110" i="20"/>
  <c r="B86" i="20"/>
  <c r="C363" i="20"/>
  <c r="B218" i="20"/>
  <c r="B330" i="20"/>
  <c r="B376" i="20"/>
  <c r="B98" i="20"/>
  <c r="C263" i="20"/>
  <c r="C251" i="20"/>
  <c r="B363" i="20"/>
  <c r="B200" i="20"/>
  <c r="B369" i="20"/>
  <c r="C376" i="20"/>
  <c r="B159" i="20"/>
  <c r="B174" i="20"/>
  <c r="B230" i="20"/>
  <c r="B257" i="20"/>
  <c r="C257" i="20"/>
  <c r="B282" i="20"/>
  <c r="B304" i="20"/>
  <c r="C348" i="20"/>
  <c r="B289" i="20"/>
  <c r="C206" i="20"/>
  <c r="C289" i="20"/>
  <c r="C298" i="20"/>
  <c r="B298" i="20"/>
  <c r="B127" i="20"/>
  <c r="C276" i="20"/>
  <c r="C342" i="20"/>
  <c r="C330" i="20"/>
  <c r="B348" i="20"/>
  <c r="C304" i="20"/>
  <c r="C162" i="20"/>
  <c r="C324" i="20"/>
  <c r="C116" i="20"/>
  <c r="B133" i="20"/>
  <c r="B263" i="20"/>
  <c r="B342" i="20"/>
  <c r="C336" i="20"/>
  <c r="B336" i="20"/>
  <c r="B324" i="20"/>
  <c r="B116" i="20"/>
  <c r="C159" i="20"/>
  <c r="B45" i="20"/>
  <c r="B276" i="20"/>
  <c r="C186" i="20"/>
  <c r="C30" i="20"/>
  <c r="B53" i="20"/>
  <c r="C37" i="20"/>
  <c r="C86" i="20"/>
  <c r="B237" i="20"/>
  <c r="C282" i="20"/>
  <c r="B206" i="20"/>
  <c r="B251" i="20"/>
  <c r="C237" i="20"/>
  <c r="B37" i="20"/>
  <c r="B73" i="20"/>
  <c r="B224" i="20"/>
  <c r="C224" i="20" s="1"/>
  <c r="C230" i="20"/>
  <c r="C218" i="20"/>
  <c r="C200" i="20"/>
  <c r="B143" i="20"/>
  <c r="C80" i="20"/>
  <c r="B168" i="20"/>
  <c r="B186" i="20"/>
  <c r="C174" i="20"/>
  <c r="C168" i="20"/>
  <c r="C143" i="20"/>
  <c r="B80" i="20"/>
  <c r="B137" i="20"/>
  <c r="B67" i="20"/>
  <c r="C67" i="20"/>
  <c r="C133" i="20"/>
  <c r="C73" i="20"/>
  <c r="B30" i="20"/>
  <c r="C110" i="20"/>
  <c r="C153" i="20"/>
  <c r="B153" i="20"/>
  <c r="C137" i="20"/>
  <c r="C104" i="20"/>
  <c r="B104" i="20"/>
  <c r="C98" i="20"/>
  <c r="C53" i="20"/>
  <c r="C45" i="20"/>
  <c r="C6" i="20" l="1"/>
  <c r="B6" i="20"/>
  <c r="C17" i="1" l="1"/>
  <c r="C21" i="1"/>
  <c r="B17" i="1"/>
  <c r="AV485" i="1" l="1"/>
  <c r="AU485" i="1"/>
  <c r="AV484" i="1"/>
  <c r="AU484" i="1"/>
  <c r="AV483" i="1"/>
  <c r="AU483" i="1"/>
  <c r="AV482" i="1"/>
  <c r="AU482" i="1"/>
  <c r="AV438" i="24" l="1"/>
  <c r="AU438" i="24"/>
  <c r="AT438" i="24"/>
  <c r="AS438" i="24"/>
  <c r="AR438" i="24"/>
  <c r="AQ438" i="24"/>
  <c r="AP438" i="24"/>
  <c r="AO438" i="24"/>
  <c r="AN438" i="24"/>
  <c r="AM438" i="24"/>
  <c r="AL438" i="24"/>
  <c r="AK438" i="24"/>
  <c r="AJ438" i="24"/>
  <c r="AI438" i="24"/>
  <c r="AH438" i="24"/>
  <c r="AG438" i="24"/>
  <c r="AE438" i="24"/>
  <c r="AD438" i="24"/>
  <c r="AC438" i="24"/>
  <c r="AB438" i="24"/>
  <c r="AA438" i="24"/>
  <c r="Z438" i="24"/>
  <c r="Y438" i="24"/>
  <c r="X438" i="24"/>
  <c r="W438" i="24"/>
  <c r="V438" i="24"/>
  <c r="U438" i="24"/>
  <c r="T438" i="24"/>
  <c r="S438" i="24"/>
  <c r="Q438" i="24"/>
  <c r="P438" i="24"/>
  <c r="O438" i="24"/>
  <c r="N438" i="24"/>
  <c r="M438" i="24"/>
  <c r="L438" i="24"/>
  <c r="K438" i="24"/>
  <c r="J438" i="24"/>
  <c r="AV437" i="24"/>
  <c r="AU437" i="24"/>
  <c r="AT437" i="24"/>
  <c r="AS437" i="24"/>
  <c r="AR437" i="24"/>
  <c r="AQ437" i="24"/>
  <c r="AP437" i="24"/>
  <c r="AO437" i="24"/>
  <c r="AN437" i="24"/>
  <c r="AM437" i="24"/>
  <c r="AL437" i="24"/>
  <c r="AK437" i="24"/>
  <c r="AJ437" i="24"/>
  <c r="AI437" i="24"/>
  <c r="AH437" i="24"/>
  <c r="AG437" i="24"/>
  <c r="AE437" i="24"/>
  <c r="AD437" i="24"/>
  <c r="AC437" i="24"/>
  <c r="AB437" i="24"/>
  <c r="AA437" i="24"/>
  <c r="Z437" i="24"/>
  <c r="Y437" i="24"/>
  <c r="X437" i="24"/>
  <c r="W437" i="24"/>
  <c r="V437" i="24"/>
  <c r="U437" i="24"/>
  <c r="T437" i="24"/>
  <c r="S437" i="24"/>
  <c r="Q437" i="24"/>
  <c r="P437" i="24"/>
  <c r="O437" i="24"/>
  <c r="N437" i="24"/>
  <c r="M437" i="24"/>
  <c r="L437" i="24"/>
  <c r="K437" i="24"/>
  <c r="J437" i="24"/>
  <c r="AV436" i="24"/>
  <c r="AU436" i="24"/>
  <c r="AT436" i="24"/>
  <c r="AS436" i="24"/>
  <c r="AR436" i="24"/>
  <c r="AQ436" i="24"/>
  <c r="AP436" i="24"/>
  <c r="AO436" i="24"/>
  <c r="AN436" i="24"/>
  <c r="AM436" i="24"/>
  <c r="AL436" i="24"/>
  <c r="AK436" i="24"/>
  <c r="AJ436" i="24"/>
  <c r="AI436" i="24"/>
  <c r="AH436" i="24"/>
  <c r="AG436" i="24"/>
  <c r="AE436" i="24"/>
  <c r="AD436" i="24"/>
  <c r="AC436" i="24"/>
  <c r="AB436" i="24"/>
  <c r="AA436" i="24"/>
  <c r="Z436" i="24"/>
  <c r="Y436" i="24"/>
  <c r="X436" i="24"/>
  <c r="W436" i="24"/>
  <c r="V436" i="24"/>
  <c r="U436" i="24"/>
  <c r="T436" i="24"/>
  <c r="S436" i="24"/>
  <c r="Q436" i="24"/>
  <c r="P436" i="24"/>
  <c r="O436" i="24"/>
  <c r="N436" i="24"/>
  <c r="M436" i="24"/>
  <c r="L436" i="24"/>
  <c r="K436" i="24"/>
  <c r="J436" i="24"/>
  <c r="AV435" i="24"/>
  <c r="AU435" i="24"/>
  <c r="AT435" i="24"/>
  <c r="AS435" i="24"/>
  <c r="AR435" i="24"/>
  <c r="AQ435" i="24"/>
  <c r="AP435" i="24"/>
  <c r="AO435" i="24"/>
  <c r="AN435" i="24"/>
  <c r="AM435" i="24"/>
  <c r="AL435" i="24"/>
  <c r="AK435" i="24"/>
  <c r="AJ435" i="24"/>
  <c r="AI435" i="24"/>
  <c r="AH435" i="24"/>
  <c r="AG435" i="24"/>
  <c r="AE435" i="24"/>
  <c r="AD435" i="24"/>
  <c r="AC435" i="24"/>
  <c r="AB435" i="24"/>
  <c r="AA435" i="24"/>
  <c r="Z435" i="24"/>
  <c r="Y435" i="24"/>
  <c r="X435" i="24"/>
  <c r="W435" i="24"/>
  <c r="V435" i="24"/>
  <c r="U435" i="24"/>
  <c r="T435" i="24"/>
  <c r="S435" i="24"/>
  <c r="Q435" i="24"/>
  <c r="P435" i="24"/>
  <c r="O435" i="24"/>
  <c r="N435" i="24"/>
  <c r="M435" i="24"/>
  <c r="L435" i="24"/>
  <c r="K435" i="24"/>
  <c r="J435" i="24"/>
  <c r="AP413" i="17"/>
  <c r="AO413" i="17"/>
  <c r="AN413" i="17"/>
  <c r="AM413" i="17"/>
  <c r="AL413" i="17"/>
  <c r="AK413" i="17"/>
  <c r="AJ413" i="17"/>
  <c r="AI413" i="17"/>
  <c r="AH413" i="17"/>
  <c r="AG413" i="17"/>
  <c r="AF413" i="17"/>
  <c r="AE413" i="17"/>
  <c r="AC413" i="17"/>
  <c r="AB413" i="17"/>
  <c r="AA413" i="17"/>
  <c r="Z413" i="17"/>
  <c r="Y413" i="17"/>
  <c r="X413" i="17"/>
  <c r="W413" i="17"/>
  <c r="V413" i="17"/>
  <c r="U413" i="17"/>
  <c r="T413" i="17"/>
  <c r="S413" i="17"/>
  <c r="R413" i="17"/>
  <c r="Q413" i="17"/>
  <c r="O413" i="17"/>
  <c r="N413" i="17"/>
  <c r="M413" i="17"/>
  <c r="L413" i="17"/>
  <c r="K413" i="17"/>
  <c r="J413" i="17"/>
  <c r="I413" i="17"/>
  <c r="H413" i="17"/>
  <c r="AP412" i="17"/>
  <c r="AO412" i="17"/>
  <c r="AN412" i="17"/>
  <c r="AM412" i="17"/>
  <c r="AL412" i="17"/>
  <c r="AK412" i="17"/>
  <c r="AJ412" i="17"/>
  <c r="AI412" i="17"/>
  <c r="AH412" i="17"/>
  <c r="AG412" i="17"/>
  <c r="AF412" i="17"/>
  <c r="AE412" i="17"/>
  <c r="AC412" i="17"/>
  <c r="AB412" i="17"/>
  <c r="AA412" i="17"/>
  <c r="Z412" i="17"/>
  <c r="Y412" i="17"/>
  <c r="X412" i="17"/>
  <c r="W412" i="17"/>
  <c r="V412" i="17"/>
  <c r="U412" i="17"/>
  <c r="T412" i="17"/>
  <c r="S412" i="17"/>
  <c r="R412" i="17"/>
  <c r="Q412" i="17"/>
  <c r="O412" i="17"/>
  <c r="N412" i="17"/>
  <c r="M412" i="17"/>
  <c r="L412" i="17"/>
  <c r="K412" i="17"/>
  <c r="J412" i="17"/>
  <c r="I412" i="17"/>
  <c r="H412" i="17"/>
  <c r="AP411" i="17"/>
  <c r="AO411" i="17"/>
  <c r="AN411" i="17"/>
  <c r="AM411" i="17"/>
  <c r="AL411" i="17"/>
  <c r="AK411" i="17"/>
  <c r="AJ411" i="17"/>
  <c r="AI411" i="17"/>
  <c r="AH411" i="17"/>
  <c r="AG411" i="17"/>
  <c r="AF411" i="17"/>
  <c r="AE411" i="17"/>
  <c r="AC411" i="17"/>
  <c r="AB411" i="17"/>
  <c r="AA411" i="17"/>
  <c r="Z411" i="17"/>
  <c r="Y411" i="17"/>
  <c r="X411" i="17"/>
  <c r="W411" i="17"/>
  <c r="V411" i="17"/>
  <c r="U411" i="17"/>
  <c r="T411" i="17"/>
  <c r="S411" i="17"/>
  <c r="R411" i="17"/>
  <c r="Q411" i="17"/>
  <c r="O411" i="17"/>
  <c r="N411" i="17"/>
  <c r="M411" i="17"/>
  <c r="L411" i="17"/>
  <c r="K411" i="17"/>
  <c r="J411" i="17"/>
  <c r="I411" i="17"/>
  <c r="H411" i="17"/>
  <c r="AP410" i="17"/>
  <c r="AO410" i="17"/>
  <c r="AN410" i="17"/>
  <c r="AM410" i="17"/>
  <c r="AL410" i="17"/>
  <c r="AK410" i="17"/>
  <c r="AJ410" i="17"/>
  <c r="AI410" i="17"/>
  <c r="AH410" i="17"/>
  <c r="AG410" i="17"/>
  <c r="AF410" i="17"/>
  <c r="AE410" i="17"/>
  <c r="AC410" i="17"/>
  <c r="AB410" i="17"/>
  <c r="AA410" i="17"/>
  <c r="Z410" i="17"/>
  <c r="Y410" i="17"/>
  <c r="X410" i="17"/>
  <c r="W410" i="17"/>
  <c r="V410" i="17"/>
  <c r="U410" i="17"/>
  <c r="T410" i="17"/>
  <c r="S410" i="17"/>
  <c r="R410" i="17"/>
  <c r="Q410" i="17"/>
  <c r="O410" i="17"/>
  <c r="N410" i="17"/>
  <c r="M410" i="17"/>
  <c r="L410" i="17"/>
  <c r="K410" i="17"/>
  <c r="J410" i="17"/>
  <c r="I410" i="17"/>
  <c r="H410" i="17"/>
  <c r="AT451" i="23"/>
  <c r="AS451" i="23"/>
  <c r="AR451" i="23"/>
  <c r="AQ451" i="23"/>
  <c r="AP451" i="23"/>
  <c r="AO451" i="23"/>
  <c r="AN451" i="23"/>
  <c r="AM451" i="23"/>
  <c r="AL451" i="23"/>
  <c r="AK451" i="23"/>
  <c r="AJ451" i="23"/>
  <c r="AI451" i="23"/>
  <c r="AC451" i="23"/>
  <c r="AB451" i="23"/>
  <c r="AA451" i="23"/>
  <c r="Z451" i="23"/>
  <c r="Y451" i="23"/>
  <c r="X451" i="23"/>
  <c r="W451" i="23"/>
  <c r="V451" i="23"/>
  <c r="U451" i="23"/>
  <c r="T451" i="23"/>
  <c r="S451" i="23"/>
  <c r="R451" i="23"/>
  <c r="Q451" i="23"/>
  <c r="O451" i="23"/>
  <c r="N451" i="23"/>
  <c r="M451" i="23"/>
  <c r="L451" i="23"/>
  <c r="K451" i="23"/>
  <c r="J451" i="23"/>
  <c r="I451" i="23"/>
  <c r="H451" i="23"/>
  <c r="AT450" i="23"/>
  <c r="AS450" i="23"/>
  <c r="AR450" i="23"/>
  <c r="AQ450" i="23"/>
  <c r="AP450" i="23"/>
  <c r="AO450" i="23"/>
  <c r="AN450" i="23"/>
  <c r="AM450" i="23"/>
  <c r="AL450" i="23"/>
  <c r="AK450" i="23"/>
  <c r="AJ450" i="23"/>
  <c r="AI450" i="23"/>
  <c r="AC450" i="23"/>
  <c r="AB450" i="23"/>
  <c r="AA450" i="23"/>
  <c r="Z450" i="23"/>
  <c r="Y450" i="23"/>
  <c r="X450" i="23"/>
  <c r="W450" i="23"/>
  <c r="V450" i="23"/>
  <c r="U450" i="23"/>
  <c r="T450" i="23"/>
  <c r="S450" i="23"/>
  <c r="R450" i="23"/>
  <c r="Q450" i="23"/>
  <c r="O450" i="23"/>
  <c r="N450" i="23"/>
  <c r="M450" i="23"/>
  <c r="L450" i="23"/>
  <c r="K450" i="23"/>
  <c r="J450" i="23"/>
  <c r="I450" i="23"/>
  <c r="H450" i="23"/>
  <c r="AT449" i="23"/>
  <c r="AS449" i="23"/>
  <c r="AR449" i="23"/>
  <c r="AQ449" i="23"/>
  <c r="AP449" i="23"/>
  <c r="AO449" i="23"/>
  <c r="AN449" i="23"/>
  <c r="AM449" i="23"/>
  <c r="AL449" i="23"/>
  <c r="AK449" i="23"/>
  <c r="AJ449" i="23"/>
  <c r="AI449" i="23"/>
  <c r="AC449" i="23"/>
  <c r="AB449" i="23"/>
  <c r="AA449" i="23"/>
  <c r="Z449" i="23"/>
  <c r="Y449" i="23"/>
  <c r="X449" i="23"/>
  <c r="W449" i="23"/>
  <c r="V449" i="23"/>
  <c r="U449" i="23"/>
  <c r="T449" i="23"/>
  <c r="S449" i="23"/>
  <c r="R449" i="23"/>
  <c r="Q449" i="23"/>
  <c r="O449" i="23"/>
  <c r="N449" i="23"/>
  <c r="M449" i="23"/>
  <c r="L449" i="23"/>
  <c r="K449" i="23"/>
  <c r="J449" i="23"/>
  <c r="I449" i="23"/>
  <c r="H449" i="23"/>
  <c r="AT448" i="23"/>
  <c r="AS448" i="23"/>
  <c r="AR448" i="23"/>
  <c r="AQ448" i="23"/>
  <c r="AP448" i="23"/>
  <c r="AO448" i="23"/>
  <c r="AN448" i="23"/>
  <c r="AM448" i="23"/>
  <c r="AL448" i="23"/>
  <c r="AK448" i="23"/>
  <c r="AJ448" i="23"/>
  <c r="AI448" i="23"/>
  <c r="AC448" i="23"/>
  <c r="AB448" i="23"/>
  <c r="AA448" i="23"/>
  <c r="Z448" i="23"/>
  <c r="Y448" i="23"/>
  <c r="X448" i="23"/>
  <c r="W448" i="23"/>
  <c r="V448" i="23"/>
  <c r="U448" i="23"/>
  <c r="T448" i="23"/>
  <c r="S448" i="23"/>
  <c r="R448" i="23"/>
  <c r="Q448" i="23"/>
  <c r="O448" i="23"/>
  <c r="N448" i="23"/>
  <c r="M448" i="23"/>
  <c r="L448" i="23"/>
  <c r="K448" i="23"/>
  <c r="J448" i="23"/>
  <c r="I448" i="23"/>
  <c r="H448" i="23"/>
  <c r="AT419" i="25"/>
  <c r="AS419" i="25"/>
  <c r="AR419" i="25"/>
  <c r="AQ419" i="25"/>
  <c r="AP419" i="25"/>
  <c r="AO419" i="25"/>
  <c r="AN419" i="25"/>
  <c r="AM419" i="25"/>
  <c r="AL419" i="25"/>
  <c r="AK419" i="25"/>
  <c r="AJ419" i="25"/>
  <c r="AI419" i="25"/>
  <c r="AH419" i="25"/>
  <c r="AG419" i="25"/>
  <c r="AF419" i="25"/>
  <c r="AE419" i="25"/>
  <c r="AC419" i="25"/>
  <c r="AA419" i="25"/>
  <c r="Z419" i="25"/>
  <c r="Y419" i="25"/>
  <c r="X419" i="25"/>
  <c r="W419" i="25"/>
  <c r="V419" i="25"/>
  <c r="U419" i="25"/>
  <c r="T419" i="25"/>
  <c r="S419" i="25"/>
  <c r="Q419" i="25"/>
  <c r="O419" i="25"/>
  <c r="N419" i="25"/>
  <c r="M419" i="25"/>
  <c r="L419" i="25"/>
  <c r="K419" i="25"/>
  <c r="J419" i="25"/>
  <c r="H419" i="25"/>
  <c r="AT418" i="25"/>
  <c r="AS418" i="25"/>
  <c r="AR418" i="25"/>
  <c r="AQ418" i="25"/>
  <c r="AP418" i="25"/>
  <c r="AO418" i="25"/>
  <c r="AN418" i="25"/>
  <c r="AM418" i="25"/>
  <c r="AL418" i="25"/>
  <c r="AK418" i="25"/>
  <c r="AJ418" i="25"/>
  <c r="AI418" i="25"/>
  <c r="AH418" i="25"/>
  <c r="AG418" i="25"/>
  <c r="AF418" i="25"/>
  <c r="AE418" i="25"/>
  <c r="AC418" i="25"/>
  <c r="AA418" i="25"/>
  <c r="Z418" i="25"/>
  <c r="Y418" i="25"/>
  <c r="X418" i="25"/>
  <c r="W418" i="25"/>
  <c r="V418" i="25"/>
  <c r="U418" i="25"/>
  <c r="T418" i="25"/>
  <c r="S418" i="25"/>
  <c r="Q418" i="25"/>
  <c r="O418" i="25"/>
  <c r="N418" i="25"/>
  <c r="M418" i="25"/>
  <c r="L418" i="25"/>
  <c r="K418" i="25"/>
  <c r="J418" i="25"/>
  <c r="H418" i="25"/>
  <c r="AT417" i="25"/>
  <c r="AS417" i="25"/>
  <c r="AR417" i="25"/>
  <c r="AQ417" i="25"/>
  <c r="AP417" i="25"/>
  <c r="AO417" i="25"/>
  <c r="AN417" i="25"/>
  <c r="AM417" i="25"/>
  <c r="AL417" i="25"/>
  <c r="AK417" i="25"/>
  <c r="AJ417" i="25"/>
  <c r="AI417" i="25"/>
  <c r="AH417" i="25"/>
  <c r="AG417" i="25"/>
  <c r="AF417" i="25"/>
  <c r="AE417" i="25"/>
  <c r="AC417" i="25"/>
  <c r="AA417" i="25"/>
  <c r="Z417" i="25"/>
  <c r="Y417" i="25"/>
  <c r="X417" i="25"/>
  <c r="W417" i="25"/>
  <c r="V417" i="25"/>
  <c r="U417" i="25"/>
  <c r="T417" i="25"/>
  <c r="S417" i="25"/>
  <c r="Q417" i="25"/>
  <c r="O417" i="25"/>
  <c r="N417" i="25"/>
  <c r="M417" i="25"/>
  <c r="L417" i="25"/>
  <c r="K417" i="25"/>
  <c r="J417" i="25"/>
  <c r="H417" i="25"/>
  <c r="AT416" i="25"/>
  <c r="AS416" i="25"/>
  <c r="AR416" i="25"/>
  <c r="AQ416" i="25"/>
  <c r="AP416" i="25"/>
  <c r="AO416" i="25"/>
  <c r="AN416" i="25"/>
  <c r="AM416" i="25"/>
  <c r="AL416" i="25"/>
  <c r="AK416" i="25"/>
  <c r="AJ416" i="25"/>
  <c r="AI416" i="25"/>
  <c r="AH416" i="25"/>
  <c r="AG416" i="25"/>
  <c r="AF416" i="25"/>
  <c r="AE416" i="25"/>
  <c r="AC416" i="25"/>
  <c r="AA416" i="25"/>
  <c r="Z416" i="25"/>
  <c r="Y416" i="25"/>
  <c r="X416" i="25"/>
  <c r="W416" i="25"/>
  <c r="V416" i="25"/>
  <c r="U416" i="25"/>
  <c r="T416" i="25"/>
  <c r="S416" i="25"/>
  <c r="Q416" i="25"/>
  <c r="O416" i="25"/>
  <c r="N416" i="25"/>
  <c r="M416" i="25"/>
  <c r="L416" i="25"/>
  <c r="K416" i="25"/>
  <c r="J416" i="25"/>
  <c r="H416" i="25"/>
  <c r="AT421" i="21"/>
  <c r="AS421" i="21"/>
  <c r="AR421" i="21"/>
  <c r="AQ421" i="21"/>
  <c r="AP421" i="21"/>
  <c r="AO421" i="21"/>
  <c r="AN421" i="21"/>
  <c r="AM421" i="21"/>
  <c r="AL421" i="21"/>
  <c r="AK421" i="21"/>
  <c r="AJ421" i="21"/>
  <c r="AI421" i="21"/>
  <c r="AH421" i="21"/>
  <c r="AG421" i="21"/>
  <c r="AF421" i="21"/>
  <c r="AC421" i="21"/>
  <c r="AB421" i="21"/>
  <c r="AA421" i="21"/>
  <c r="Z421" i="21"/>
  <c r="Y421" i="21"/>
  <c r="X421" i="21"/>
  <c r="W421" i="21"/>
  <c r="V421" i="21"/>
  <c r="U421" i="21"/>
  <c r="T421" i="21"/>
  <c r="S421" i="21"/>
  <c r="R421" i="21"/>
  <c r="Q421" i="21"/>
  <c r="O421" i="21"/>
  <c r="N421" i="21"/>
  <c r="M421" i="21"/>
  <c r="L421" i="21"/>
  <c r="K421" i="21"/>
  <c r="J421" i="21"/>
  <c r="I421" i="21"/>
  <c r="H421" i="21"/>
  <c r="AT420" i="21"/>
  <c r="AS420" i="21"/>
  <c r="AR420" i="21"/>
  <c r="AQ420" i="21"/>
  <c r="AP420" i="21"/>
  <c r="AO420" i="21"/>
  <c r="AN420" i="21"/>
  <c r="AM420" i="21"/>
  <c r="AL420" i="21"/>
  <c r="AK420" i="21"/>
  <c r="AJ420" i="21"/>
  <c r="AI420" i="21"/>
  <c r="AH420" i="21"/>
  <c r="AG420" i="21"/>
  <c r="AF420" i="21"/>
  <c r="AC420" i="21"/>
  <c r="AB420" i="21"/>
  <c r="AA420" i="21"/>
  <c r="Z420" i="21"/>
  <c r="Y420" i="21"/>
  <c r="X420" i="21"/>
  <c r="W420" i="21"/>
  <c r="V420" i="21"/>
  <c r="U420" i="21"/>
  <c r="T420" i="21"/>
  <c r="S420" i="21"/>
  <c r="R420" i="21"/>
  <c r="Q420" i="21"/>
  <c r="O420" i="21"/>
  <c r="N420" i="21"/>
  <c r="M420" i="21"/>
  <c r="L420" i="21"/>
  <c r="K420" i="21"/>
  <c r="J420" i="21"/>
  <c r="I420" i="21"/>
  <c r="H420" i="21"/>
  <c r="AT419" i="21"/>
  <c r="AS419" i="21"/>
  <c r="AR419" i="21"/>
  <c r="AQ419" i="21"/>
  <c r="AP419" i="21"/>
  <c r="AO419" i="21"/>
  <c r="AN419" i="21"/>
  <c r="AM419" i="21"/>
  <c r="AL419" i="21"/>
  <c r="AK419" i="21"/>
  <c r="AJ419" i="21"/>
  <c r="AI419" i="21"/>
  <c r="AH419" i="21"/>
  <c r="AG419" i="21"/>
  <c r="AF419" i="21"/>
  <c r="AC419" i="21"/>
  <c r="AB419" i="21"/>
  <c r="AA419" i="21"/>
  <c r="Z419" i="21"/>
  <c r="Y419" i="21"/>
  <c r="X419" i="21"/>
  <c r="W419" i="21"/>
  <c r="V419" i="21"/>
  <c r="U419" i="21"/>
  <c r="T419" i="21"/>
  <c r="S419" i="21"/>
  <c r="R419" i="21"/>
  <c r="Q419" i="21"/>
  <c r="O419" i="21"/>
  <c r="N419" i="21"/>
  <c r="M419" i="21"/>
  <c r="L419" i="21"/>
  <c r="K419" i="21"/>
  <c r="J419" i="21"/>
  <c r="I419" i="21"/>
  <c r="H419" i="21"/>
  <c r="AT418" i="21"/>
  <c r="AS418" i="21"/>
  <c r="AR418" i="21"/>
  <c r="AQ418" i="21"/>
  <c r="AP418" i="21"/>
  <c r="AO418" i="21"/>
  <c r="AN418" i="21"/>
  <c r="AM418" i="21"/>
  <c r="AL418" i="21"/>
  <c r="AK418" i="21"/>
  <c r="AJ418" i="21"/>
  <c r="AI418" i="21"/>
  <c r="AH418" i="21"/>
  <c r="AG418" i="21"/>
  <c r="AF418" i="21"/>
  <c r="AC418" i="21"/>
  <c r="AB418" i="21"/>
  <c r="AA418" i="21"/>
  <c r="Z418" i="21"/>
  <c r="Y418" i="21"/>
  <c r="X418" i="21"/>
  <c r="W418" i="21"/>
  <c r="V418" i="21"/>
  <c r="U418" i="21"/>
  <c r="T418" i="21"/>
  <c r="S418" i="21"/>
  <c r="R418" i="21"/>
  <c r="Q418" i="21"/>
  <c r="O418" i="21"/>
  <c r="N418" i="21"/>
  <c r="M418" i="21"/>
  <c r="L418" i="21"/>
  <c r="K418" i="21"/>
  <c r="J418" i="21"/>
  <c r="I418" i="21"/>
  <c r="H418" i="21"/>
  <c r="I509" i="19"/>
  <c r="H509" i="19"/>
  <c r="I508" i="19"/>
  <c r="H508" i="19"/>
  <c r="I507" i="19"/>
  <c r="H507" i="19"/>
  <c r="I506" i="19"/>
  <c r="H506" i="19"/>
  <c r="AT461" i="18"/>
  <c r="AS461" i="18"/>
  <c r="AR461" i="18"/>
  <c r="AQ461" i="18"/>
  <c r="AP461" i="18"/>
  <c r="AO461" i="18"/>
  <c r="AN461" i="18"/>
  <c r="AM461" i="18"/>
  <c r="AL461" i="18"/>
  <c r="AK461" i="18"/>
  <c r="AJ461" i="18"/>
  <c r="AI461" i="18"/>
  <c r="AH461" i="18"/>
  <c r="AG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M461" i="18"/>
  <c r="L461" i="18"/>
  <c r="K461" i="18"/>
  <c r="J461" i="18"/>
  <c r="I461" i="18"/>
  <c r="H461" i="18"/>
  <c r="AT460" i="18"/>
  <c r="AS460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AT459" i="18"/>
  <c r="AS459" i="18"/>
  <c r="AR459" i="18"/>
  <c r="AQ459" i="18"/>
  <c r="AP459" i="18"/>
  <c r="AO459" i="18"/>
  <c r="AN459" i="18"/>
  <c r="AM459" i="18"/>
  <c r="AL459" i="18"/>
  <c r="AK459" i="18"/>
  <c r="AJ459" i="18"/>
  <c r="AI459" i="18"/>
  <c r="AH459" i="18"/>
  <c r="AG459" i="18"/>
  <c r="AC459" i="18"/>
  <c r="AB459" i="18"/>
  <c r="AA459" i="18"/>
  <c r="Z459" i="18"/>
  <c r="Y459" i="18"/>
  <c r="X459" i="18"/>
  <c r="W459" i="18"/>
  <c r="V459" i="18"/>
  <c r="U459" i="18"/>
  <c r="T459" i="18"/>
  <c r="S459" i="18"/>
  <c r="R459" i="18"/>
  <c r="Q459" i="18"/>
  <c r="O459" i="18"/>
  <c r="N459" i="18"/>
  <c r="M459" i="18"/>
  <c r="L459" i="18"/>
  <c r="K459" i="18"/>
  <c r="J459" i="18"/>
  <c r="I459" i="18"/>
  <c r="H459" i="18"/>
  <c r="AT458" i="18"/>
  <c r="AS458" i="18"/>
  <c r="AR458" i="18"/>
  <c r="AQ458" i="18"/>
  <c r="AP458" i="18"/>
  <c r="AO458" i="18"/>
  <c r="AN458" i="18"/>
  <c r="AM458" i="18"/>
  <c r="AL458" i="18"/>
  <c r="AK458" i="18"/>
  <c r="AJ458" i="18"/>
  <c r="AI458" i="18"/>
  <c r="AH458" i="18"/>
  <c r="AG458" i="18"/>
  <c r="AC458" i="18"/>
  <c r="AB458" i="18"/>
  <c r="AA458" i="18"/>
  <c r="Z458" i="18"/>
  <c r="Y458" i="18"/>
  <c r="X458" i="18"/>
  <c r="W458" i="18"/>
  <c r="V458" i="18"/>
  <c r="U458" i="18"/>
  <c r="T458" i="18"/>
  <c r="S458" i="18"/>
  <c r="R458" i="18"/>
  <c r="Q458" i="18"/>
  <c r="O458" i="18"/>
  <c r="N458" i="18"/>
  <c r="M458" i="18"/>
  <c r="L458" i="18"/>
  <c r="K458" i="18"/>
  <c r="J458" i="18"/>
  <c r="I458" i="18"/>
  <c r="H458" i="18"/>
  <c r="AV394" i="20"/>
  <c r="AU394" i="20"/>
  <c r="AT394" i="20"/>
  <c r="AS394" i="20"/>
  <c r="AR394" i="20"/>
  <c r="AQ394" i="20"/>
  <c r="AP394" i="20"/>
  <c r="AO394" i="20"/>
  <c r="AN394" i="20"/>
  <c r="AM394" i="20"/>
  <c r="AL394" i="20"/>
  <c r="AK394" i="20"/>
  <c r="AJ394" i="20"/>
  <c r="AI394" i="20"/>
  <c r="AH394" i="20"/>
  <c r="AE394" i="20"/>
  <c r="AC394" i="20"/>
  <c r="AB394" i="20"/>
  <c r="AA394" i="20"/>
  <c r="Z394" i="20"/>
  <c r="Y394" i="20"/>
  <c r="X394" i="20"/>
  <c r="W394" i="20"/>
  <c r="V394" i="20"/>
  <c r="U394" i="20"/>
  <c r="T394" i="20"/>
  <c r="S394" i="20"/>
  <c r="Q394" i="20"/>
  <c r="P394" i="20"/>
  <c r="O394" i="20"/>
  <c r="N394" i="20"/>
  <c r="M394" i="20"/>
  <c r="L394" i="20"/>
  <c r="K394" i="20"/>
  <c r="J394" i="20"/>
  <c r="AV393" i="20"/>
  <c r="AU393" i="20"/>
  <c r="AT393" i="20"/>
  <c r="AS393" i="20"/>
  <c r="AR393" i="20"/>
  <c r="AQ393" i="20"/>
  <c r="AP393" i="20"/>
  <c r="AO393" i="20"/>
  <c r="AN393" i="20"/>
  <c r="AM393" i="20"/>
  <c r="AL393" i="20"/>
  <c r="AK393" i="20"/>
  <c r="AJ393" i="20"/>
  <c r="AI393" i="20"/>
  <c r="AH393" i="20"/>
  <c r="AE393" i="20"/>
  <c r="AC393" i="20"/>
  <c r="AB393" i="20"/>
  <c r="AA393" i="20"/>
  <c r="Z393" i="20"/>
  <c r="Y393" i="20"/>
  <c r="X393" i="20"/>
  <c r="W393" i="20"/>
  <c r="V393" i="20"/>
  <c r="U393" i="20"/>
  <c r="T393" i="20"/>
  <c r="S393" i="20"/>
  <c r="Q393" i="20"/>
  <c r="P393" i="20"/>
  <c r="O393" i="20"/>
  <c r="N393" i="20"/>
  <c r="M393" i="20"/>
  <c r="L393" i="20"/>
  <c r="K393" i="20"/>
  <c r="J393" i="20"/>
  <c r="AV392" i="20"/>
  <c r="AU392" i="20"/>
  <c r="AT392" i="20"/>
  <c r="AS392" i="20"/>
  <c r="AR392" i="20"/>
  <c r="AQ392" i="20"/>
  <c r="AP392" i="20"/>
  <c r="AO392" i="20"/>
  <c r="AN392" i="20"/>
  <c r="AM392" i="20"/>
  <c r="AL392" i="20"/>
  <c r="AK392" i="20"/>
  <c r="AJ392" i="20"/>
  <c r="AI392" i="20"/>
  <c r="AH392" i="20"/>
  <c r="AE392" i="20"/>
  <c r="AC392" i="20"/>
  <c r="AB392" i="20"/>
  <c r="AA392" i="20"/>
  <c r="Z392" i="20"/>
  <c r="Y392" i="20"/>
  <c r="X392" i="20"/>
  <c r="W392" i="20"/>
  <c r="V392" i="20"/>
  <c r="U392" i="20"/>
  <c r="T392" i="20"/>
  <c r="S392" i="20"/>
  <c r="Q392" i="20"/>
  <c r="P392" i="20"/>
  <c r="O392" i="20"/>
  <c r="N392" i="20"/>
  <c r="M392" i="20"/>
  <c r="L392" i="20"/>
  <c r="K392" i="20"/>
  <c r="J392" i="20"/>
  <c r="AV391" i="20"/>
  <c r="AU391" i="20"/>
  <c r="AT391" i="20"/>
  <c r="AS391" i="20"/>
  <c r="AR391" i="20"/>
  <c r="AQ391" i="20"/>
  <c r="AP391" i="20"/>
  <c r="AO391" i="20"/>
  <c r="AN391" i="20"/>
  <c r="AM391" i="20"/>
  <c r="AL391" i="20"/>
  <c r="AK391" i="20"/>
  <c r="AJ391" i="20"/>
  <c r="AI391" i="20"/>
  <c r="AH391" i="20"/>
  <c r="AE391" i="20"/>
  <c r="AC391" i="20"/>
  <c r="AB391" i="20"/>
  <c r="AA391" i="20"/>
  <c r="Z391" i="20"/>
  <c r="Y391" i="20"/>
  <c r="X391" i="20"/>
  <c r="W391" i="20"/>
  <c r="V391" i="20"/>
  <c r="U391" i="20"/>
  <c r="T391" i="20"/>
  <c r="S391" i="20"/>
  <c r="Q391" i="20"/>
  <c r="P391" i="20"/>
  <c r="O391" i="20"/>
  <c r="N391" i="20"/>
  <c r="M391" i="20"/>
  <c r="L391" i="20"/>
  <c r="K391" i="20"/>
  <c r="J391" i="20"/>
  <c r="AT451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C451" i="16"/>
  <c r="AB451" i="16"/>
  <c r="AA451" i="16"/>
  <c r="Z451" i="16"/>
  <c r="Y451" i="16"/>
  <c r="X451" i="16"/>
  <c r="W451" i="16"/>
  <c r="V451" i="16"/>
  <c r="U451" i="16"/>
  <c r="T451" i="16"/>
  <c r="S451" i="16"/>
  <c r="R451" i="16"/>
  <c r="Q451" i="16"/>
  <c r="O451" i="16"/>
  <c r="N451" i="16"/>
  <c r="M451" i="16"/>
  <c r="L451" i="16"/>
  <c r="K451" i="16"/>
  <c r="J451" i="16"/>
  <c r="I451" i="16"/>
  <c r="H451" i="16"/>
  <c r="G451" i="16"/>
  <c r="F451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O450" i="16"/>
  <c r="N450" i="16"/>
  <c r="M450" i="16"/>
  <c r="L450" i="16"/>
  <c r="K450" i="16"/>
  <c r="J450" i="16"/>
  <c r="I450" i="16"/>
  <c r="H450" i="16"/>
  <c r="G450" i="16"/>
  <c r="F450" i="16"/>
  <c r="AT449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C449" i="16"/>
  <c r="AB449" i="16"/>
  <c r="AA449" i="16"/>
  <c r="Z449" i="16"/>
  <c r="Y449" i="16"/>
  <c r="X449" i="16"/>
  <c r="W449" i="16"/>
  <c r="V449" i="16"/>
  <c r="U449" i="16"/>
  <c r="T449" i="16"/>
  <c r="S449" i="16"/>
  <c r="R449" i="16"/>
  <c r="Q449" i="16"/>
  <c r="O449" i="16"/>
  <c r="N449" i="16"/>
  <c r="M449" i="16"/>
  <c r="L449" i="16"/>
  <c r="K449" i="16"/>
  <c r="J449" i="16"/>
  <c r="I449" i="16"/>
  <c r="H449" i="16"/>
  <c r="G449" i="16"/>
  <c r="F449" i="16"/>
  <c r="AT448" i="16"/>
  <c r="AS448" i="16"/>
  <c r="AR448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C448" i="16"/>
  <c r="AB448" i="16"/>
  <c r="AA448" i="16"/>
  <c r="Z448" i="16"/>
  <c r="Y448" i="16"/>
  <c r="X448" i="16"/>
  <c r="W448" i="16"/>
  <c r="V448" i="16"/>
  <c r="U448" i="16"/>
  <c r="T448" i="16"/>
  <c r="S448" i="16"/>
  <c r="R448" i="16"/>
  <c r="Q448" i="16"/>
  <c r="O448" i="16"/>
  <c r="N448" i="16"/>
  <c r="L448" i="16"/>
  <c r="K448" i="16"/>
  <c r="J448" i="16"/>
  <c r="I448" i="16"/>
  <c r="H448" i="16"/>
  <c r="G448" i="16"/>
  <c r="F448" i="16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Q485" i="1"/>
  <c r="P485" i="1"/>
  <c r="O485" i="1"/>
  <c r="N485" i="1"/>
  <c r="M485" i="1"/>
  <c r="L485" i="1"/>
  <c r="K485" i="1"/>
  <c r="J485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Q484" i="1"/>
  <c r="P484" i="1"/>
  <c r="O484" i="1"/>
  <c r="N484" i="1"/>
  <c r="M484" i="1"/>
  <c r="L484" i="1"/>
  <c r="K484" i="1"/>
  <c r="J484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Q483" i="1"/>
  <c r="P483" i="1"/>
  <c r="O483" i="1"/>
  <c r="N483" i="1"/>
  <c r="M483" i="1"/>
  <c r="L483" i="1"/>
  <c r="K483" i="1"/>
  <c r="J483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Q482" i="1"/>
  <c r="P482" i="1"/>
  <c r="O482" i="1"/>
  <c r="N482" i="1"/>
  <c r="M482" i="1"/>
  <c r="L482" i="1"/>
  <c r="K482" i="1"/>
  <c r="J482" i="1"/>
  <c r="B23" i="20" l="1"/>
  <c r="C11" i="20"/>
  <c r="B11" i="1"/>
  <c r="C11" i="1" s="1"/>
  <c r="C17" i="20"/>
  <c r="B243" i="20"/>
  <c r="B17" i="20"/>
  <c r="C243" i="20"/>
  <c r="B7" i="20"/>
  <c r="B91" i="20"/>
  <c r="C7" i="20"/>
  <c r="C91" i="20"/>
  <c r="B123" i="20"/>
  <c r="C23" i="20"/>
  <c r="B11" i="20"/>
  <c r="C127" i="20"/>
  <c r="B7" i="1"/>
  <c r="C7" i="1" s="1"/>
  <c r="C123" i="20"/>
</calcChain>
</file>

<file path=xl/sharedStrings.xml><?xml version="1.0" encoding="utf-8"?>
<sst xmlns="http://schemas.openxmlformats.org/spreadsheetml/2006/main" count="12144" uniqueCount="1052">
  <si>
    <t xml:space="preserve"> </t>
  </si>
  <si>
    <t>Starts</t>
  </si>
  <si>
    <t>Replacement</t>
  </si>
  <si>
    <t>Tries</t>
  </si>
  <si>
    <t>Points</t>
  </si>
  <si>
    <t>Successful Kicks</t>
  </si>
  <si>
    <t>Attempted Kicks</t>
  </si>
  <si>
    <t>© Hillsport Media Ltd</t>
  </si>
  <si>
    <t>Penalty Tries</t>
  </si>
  <si>
    <t>NO MATCH</t>
  </si>
  <si>
    <t>TOTALS</t>
  </si>
  <si>
    <t>Sam UNDERHILL</t>
  </si>
  <si>
    <t>Beno OBANO</t>
  </si>
  <si>
    <t>Olly WOODBURN</t>
  </si>
  <si>
    <t>Harvey SKINNER</t>
  </si>
  <si>
    <t>Stu TOWNSEND</t>
  </si>
  <si>
    <t>Jack YEANDLE</t>
  </si>
  <si>
    <t>Christ TSHIUNZA</t>
  </si>
  <si>
    <t>Richard CAPSTICK</t>
  </si>
  <si>
    <t>Hanro LIEBENBERG</t>
  </si>
  <si>
    <t>Charlie CLARE</t>
  </si>
  <si>
    <t>Harry WELLS</t>
  </si>
  <si>
    <t>George MARTIN</t>
  </si>
  <si>
    <t>Tommy REFFELL</t>
  </si>
  <si>
    <t>Olly CRACKNELL</t>
  </si>
  <si>
    <t>Cameron HENDERSON</t>
  </si>
  <si>
    <t>Will HURD</t>
  </si>
  <si>
    <t>Ollie LAWRENCE</t>
  </si>
  <si>
    <t>Gareth SIMPSON</t>
  </si>
  <si>
    <t>Joe BATLEY</t>
  </si>
  <si>
    <t>Noah HEWARD</t>
  </si>
  <si>
    <t>Adam RADWAN</t>
  </si>
  <si>
    <t>Brett CONNON</t>
  </si>
  <si>
    <t>Trevor DAVISON</t>
  </si>
  <si>
    <t>George McGUIGAN</t>
  </si>
  <si>
    <t>Sebastian de CHAVES</t>
  </si>
  <si>
    <t>Tyrone GREEN</t>
  </si>
  <si>
    <t>Nick DAVID</t>
  </si>
  <si>
    <t>Cadan MURLEY</t>
  </si>
  <si>
    <t>Luke NORTHMORE</t>
  </si>
  <si>
    <t>Marcus SMITH</t>
  </si>
  <si>
    <t>Jack KENNINGHAM</t>
  </si>
  <si>
    <t>Tom LAWDAY</t>
  </si>
  <si>
    <t>Alex DOMBRANDT</t>
  </si>
  <si>
    <t>Will EVANS</t>
  </si>
  <si>
    <t>Jack WALKER</t>
  </si>
  <si>
    <t>Rich LANE</t>
  </si>
  <si>
    <t>Sam BEDLOW</t>
  </si>
  <si>
    <t>Harry RANDALL</t>
  </si>
  <si>
    <t xml:space="preserve">Ellis GENGE </t>
  </si>
  <si>
    <t>Will CAPON</t>
  </si>
  <si>
    <t>Max LAHIFF</t>
  </si>
  <si>
    <t>Jake WOOLMORE</t>
  </si>
  <si>
    <t>AJ MacGINTY</t>
  </si>
  <si>
    <t>Jack BATES</t>
  </si>
  <si>
    <t>Tom de GLANVILLE</t>
  </si>
  <si>
    <t>Will BUTT</t>
  </si>
  <si>
    <t>Cameron REDPATH</t>
  </si>
  <si>
    <t>Ben SPENCER</t>
  </si>
  <si>
    <t>Tom DUNN</t>
  </si>
  <si>
    <t>Josh BAYLISS</t>
  </si>
  <si>
    <t>Jaco COETZEE</t>
  </si>
  <si>
    <t>Ewan RICHARDS</t>
  </si>
  <si>
    <t>Ollie THORLEY</t>
  </si>
  <si>
    <t>Chris HARRIS</t>
  </si>
  <si>
    <t>Charlie CHAPMAN</t>
  </si>
  <si>
    <t>Jack SINGLETON</t>
  </si>
  <si>
    <t>Freddie CLARKE</t>
  </si>
  <si>
    <t>Harry TAYLOR</t>
  </si>
  <si>
    <t>Val RAPAVA RUSKIN</t>
  </si>
  <si>
    <t>Charlie ATKINSON</t>
  </si>
  <si>
    <t>Alfie BARBEARY</t>
  </si>
  <si>
    <t>Dan FROST</t>
  </si>
  <si>
    <t>Will PORTER</t>
  </si>
  <si>
    <t>Luke JAMES</t>
  </si>
  <si>
    <t>Tom ROEBUCK</t>
  </si>
  <si>
    <t>Tom O'FLAHERTY</t>
  </si>
  <si>
    <t>Gus WARR</t>
  </si>
  <si>
    <t>Ben CURRY</t>
  </si>
  <si>
    <t>Tom CURTIS</t>
  </si>
  <si>
    <t>Arron REED</t>
  </si>
  <si>
    <t>Fraser DINGWALL</t>
  </si>
  <si>
    <t>Alex MITCHELL</t>
  </si>
  <si>
    <t>Alex COLES</t>
  </si>
  <si>
    <t>Angus SCOTT-YOUNG</t>
  </si>
  <si>
    <t>Sam GRAHAM</t>
  </si>
  <si>
    <t>Emmanuel IYOGUN</t>
  </si>
  <si>
    <t>Tom JAMES</t>
  </si>
  <si>
    <t>Tom LITCHFIELD</t>
  </si>
  <si>
    <t>George FURBANK</t>
  </si>
  <si>
    <t>Hayden HYDE</t>
  </si>
  <si>
    <t>Elliot DALY</t>
  </si>
  <si>
    <t>Alex LOZOWSKI</t>
  </si>
  <si>
    <t>Nick TOMPKINS</t>
  </si>
  <si>
    <t>Ivan van ZYL</t>
  </si>
  <si>
    <t>Eroni MAWI</t>
  </si>
  <si>
    <t>Maro ITOJE</t>
  </si>
  <si>
    <t>Hugh TIZARD</t>
  </si>
  <si>
    <t>Theo McFARLAND</t>
  </si>
  <si>
    <t>Ben EARL</t>
  </si>
  <si>
    <t>Jamie GEORGE</t>
  </si>
  <si>
    <t>Alec CLAREY</t>
  </si>
  <si>
    <t>Ollie CHESSUM</t>
  </si>
  <si>
    <t>Joe HEYES</t>
  </si>
  <si>
    <t>Jack van POORTVLIET</t>
  </si>
  <si>
    <t>Tom WEST</t>
  </si>
  <si>
    <t>Joe COKANASIGA</t>
  </si>
  <si>
    <t>Will MUIR</t>
  </si>
  <si>
    <t>Will STUART</t>
  </si>
  <si>
    <t>Tom CURRY</t>
  </si>
  <si>
    <t>James HARPER</t>
  </si>
  <si>
    <t>Max OJOMOH</t>
  </si>
  <si>
    <t>Miles REID</t>
  </si>
  <si>
    <t>Quinn ROUX</t>
  </si>
  <si>
    <t>John HAWKINS</t>
  </si>
  <si>
    <t>Harry THACKER</t>
  </si>
  <si>
    <t>Tommy FREEMAN</t>
  </si>
  <si>
    <t>Freddie STEWARD</t>
  </si>
  <si>
    <t>Adam BROCKLEBANK</t>
  </si>
  <si>
    <t>Henry SLADE</t>
  </si>
  <si>
    <t>Dafydd JENKINS</t>
  </si>
  <si>
    <t>Fin BAXTER</t>
  </si>
  <si>
    <t>Cassius CLEAVES</t>
  </si>
  <si>
    <t>Bryn BRADLEY</t>
  </si>
  <si>
    <t>Jonny GREEN</t>
  </si>
  <si>
    <t>Zach CARR</t>
  </si>
  <si>
    <t>Sam RILEY</t>
  </si>
  <si>
    <t>Jake MURRAY</t>
  </si>
  <si>
    <t>Jamie BENSON</t>
  </si>
  <si>
    <t>Joe JENKINS</t>
  </si>
  <si>
    <t>Tom WHITELEY</t>
  </si>
  <si>
    <t>Joe OWEN</t>
  </si>
  <si>
    <t>Jimmy HALLIWELL</t>
  </si>
  <si>
    <t>George KLOSKA</t>
  </si>
  <si>
    <t>Josh HODGE</t>
  </si>
  <si>
    <t>Dan JOHN</t>
  </si>
  <si>
    <t>Will BECCONSALL</t>
  </si>
  <si>
    <t>Tom CAIRNS</t>
  </si>
  <si>
    <t>Josh IOSEFA-SCOTT</t>
  </si>
  <si>
    <t>Lewis PEARSON</t>
  </si>
  <si>
    <t>Ross VINTCENT</t>
  </si>
  <si>
    <t>Max NOREY</t>
  </si>
  <si>
    <t>Matias ALEMANNO</t>
  </si>
  <si>
    <t>Lewis LUDLOW</t>
  </si>
  <si>
    <t>Ciaran KNIGHT</t>
  </si>
  <si>
    <t>Cam JORDAN</t>
  </si>
  <si>
    <t>Joe CARPENTER</t>
  </si>
  <si>
    <t>Stephen VARNEY</t>
  </si>
  <si>
    <t>Bevan RODD</t>
  </si>
  <si>
    <t>Sam DUGDALE</t>
  </si>
  <si>
    <t>Raffi QUIRKE</t>
  </si>
  <si>
    <t>George BARTON</t>
  </si>
  <si>
    <t>Arthur CLARK</t>
  </si>
  <si>
    <t>Freddie THOMAS</t>
  </si>
  <si>
    <t>Jack CLEMENT</t>
  </si>
  <si>
    <t>Seb BLAKE</t>
  </si>
  <si>
    <t>Finn THEOBALD-THOMAS</t>
  </si>
  <si>
    <t>Sam HARRIS</t>
  </si>
  <si>
    <t>Ethan STADDON</t>
  </si>
  <si>
    <t>Tom CARR-SMITH</t>
  </si>
  <si>
    <t>Louie HENNESSEY</t>
  </si>
  <si>
    <t>Theo DAN</t>
  </si>
  <si>
    <t>Marco RICCIONI</t>
  </si>
  <si>
    <t>Kirill GOTOVTSEV</t>
  </si>
  <si>
    <t>Scott SIO</t>
  </si>
  <si>
    <t>Robbie SMITH</t>
  </si>
  <si>
    <t>George HENDY</t>
  </si>
  <si>
    <t>Fin SMITH</t>
  </si>
  <si>
    <t>Ted HILL</t>
  </si>
  <si>
    <t>Toby KNIGHT</t>
  </si>
  <si>
    <t>Elliott OBATOYINBO</t>
  </si>
  <si>
    <t>Richard PALFRAMAN</t>
  </si>
  <si>
    <t>Freddie LOCKWOOD</t>
  </si>
  <si>
    <t>Guy PEPPER</t>
  </si>
  <si>
    <t>Sam STUART</t>
  </si>
  <si>
    <t>Immanuel FEYI-WABOSO</t>
  </si>
  <si>
    <t>Rory HUTCHINSON</t>
  </si>
  <si>
    <t>Ehren PAINTER</t>
  </si>
  <si>
    <t>James RAMM</t>
  </si>
  <si>
    <t>Fitz HARDING</t>
  </si>
  <si>
    <t>James WILLIAMS</t>
  </si>
  <si>
    <t>Gabriel IBITOYE</t>
  </si>
  <si>
    <t>Nye THOMAS</t>
  </si>
  <si>
    <t>Ben BAMBER</t>
  </si>
  <si>
    <t>Ethan CAINE</t>
  </si>
  <si>
    <t>Tumy ONASANYA</t>
  </si>
  <si>
    <t>Rouban BIRCH</t>
  </si>
  <si>
    <t>Steven LUATUA</t>
  </si>
  <si>
    <t>Marcus TIFFEN</t>
  </si>
  <si>
    <t>Ollie FLETCHER</t>
  </si>
  <si>
    <t>Ben DOUGLAS</t>
  </si>
  <si>
    <t>Olly HARTLEY</t>
  </si>
  <si>
    <t>Greg FISILAU</t>
  </si>
  <si>
    <t>Joseph WOODWARD</t>
  </si>
  <si>
    <t>Tom MANZ</t>
  </si>
  <si>
    <t>Emeka ILIONE</t>
  </si>
  <si>
    <t>Zack WIMBUSH</t>
  </si>
  <si>
    <t>Ollie LEATHERBARROW</t>
  </si>
  <si>
    <t>Archie GRIFFIN</t>
  </si>
  <si>
    <t>Scott KIRK</t>
  </si>
  <si>
    <t>Ciaran DONOGHUE</t>
  </si>
  <si>
    <t>Oscar BEARD</t>
  </si>
  <si>
    <t>Jordan ELS</t>
  </si>
  <si>
    <t>Ben WAGHORN</t>
  </si>
  <si>
    <t>Tobias ELLIOTT</t>
  </si>
  <si>
    <t>Brandon JACKSON</t>
  </si>
  <si>
    <t>Nathan MICHELOW</t>
  </si>
  <si>
    <t>Charlie BRACKEN</t>
  </si>
  <si>
    <t>Cameron ANDERSON</t>
  </si>
  <si>
    <t>Josh HATHAWAY</t>
  </si>
  <si>
    <t>Seb ATKINSON</t>
  </si>
  <si>
    <t>Lewis CHESSUM</t>
  </si>
  <si>
    <t>Tom LOCKETT</t>
  </si>
  <si>
    <t>Henry POLLOCK</t>
  </si>
  <si>
    <t>Archie McPARLAND</t>
  </si>
  <si>
    <t>Toby THAME</t>
  </si>
  <si>
    <t>Max EKE</t>
  </si>
  <si>
    <t>Ed PROWSE</t>
  </si>
  <si>
    <t>George FORD</t>
  </si>
  <si>
    <t>Nick ISIEKWE</t>
  </si>
  <si>
    <t>Jasper SPANDLER</t>
  </si>
  <si>
    <t>Rotimi SEGUN</t>
  </si>
  <si>
    <t>Rob du PREEZ</t>
  </si>
  <si>
    <t>Stephan LEWIES</t>
  </si>
  <si>
    <t>Pedro RUBIOLO</t>
  </si>
  <si>
    <t>James CHISHOLM</t>
  </si>
  <si>
    <t>Paddy PEARCE</t>
  </si>
  <si>
    <t>Tristan WOODMAN</t>
  </si>
  <si>
    <t>Will WOOTTON</t>
  </si>
  <si>
    <t>Sam WOLSTENHOLME</t>
  </si>
  <si>
    <t>Si McINTYRE</t>
  </si>
  <si>
    <t>Ollie HASSELL-COLLINS</t>
  </si>
  <si>
    <t>Ben HAMMERSLEY</t>
  </si>
  <si>
    <t>Will HAYDON-WOOD</t>
  </si>
  <si>
    <t>Aidan BOSHOFF</t>
  </si>
  <si>
    <t>George TAYLOR</t>
  </si>
  <si>
    <t>Tomas GWILLIAM</t>
  </si>
  <si>
    <t>Kofi CRIPPS</t>
  </si>
  <si>
    <t>Toby BAKER</t>
  </si>
  <si>
    <t>Tom WILLIS</t>
  </si>
  <si>
    <t>Obi ENE</t>
  </si>
  <si>
    <t>Alex WILLS</t>
  </si>
  <si>
    <t>Craig WRIGHT</t>
  </si>
  <si>
    <t>Lovejoy CHAWATAMA</t>
  </si>
  <si>
    <t>Harry BROWNE</t>
  </si>
  <si>
    <t>Murray McCALLUM</t>
  </si>
  <si>
    <t>Tim CARDALL</t>
  </si>
  <si>
    <t>Ernst van RHYN</t>
  </si>
  <si>
    <t>Max LLEWELLYN</t>
  </si>
  <si>
    <t>Caolan ENGLEFIELD</t>
  </si>
  <si>
    <t>Curtis LANGDON</t>
  </si>
  <si>
    <t>Kieran MARMION</t>
  </si>
  <si>
    <t>James DUN</t>
  </si>
  <si>
    <t>Joe LAUNCHBURY</t>
  </si>
  <si>
    <t>Arthur GREEN</t>
  </si>
  <si>
    <t>Benhard JANSE VAN RENSBURG</t>
  </si>
  <si>
    <t>Ethan ROOTS</t>
  </si>
  <si>
    <t>James HADFIELD</t>
  </si>
  <si>
    <t>Thomas DU TOIT</t>
  </si>
  <si>
    <t>Charlie EWELS</t>
  </si>
  <si>
    <t>Finn RUSSELL</t>
  </si>
  <si>
    <t>Jarrod EVANS</t>
  </si>
  <si>
    <t>Connor DOHERTY</t>
  </si>
  <si>
    <t>Tom PEARSON</t>
  </si>
  <si>
    <t>Chunya MUNGA</t>
  </si>
  <si>
    <t>Archie VAN DER FLIER</t>
  </si>
  <si>
    <t>Simon KERROD</t>
  </si>
  <si>
    <t>Sam GRAHAMSLAW</t>
  </si>
  <si>
    <t>Finn BAKER</t>
  </si>
  <si>
    <t>Tommy WYATT</t>
  </si>
  <si>
    <t>Rusi TUIMA</t>
  </si>
  <si>
    <t>Eduardo BELLO</t>
  </si>
  <si>
    <t>Ollie SLEIGHTHOLME</t>
  </si>
  <si>
    <t>Solomone KATA</t>
  </si>
  <si>
    <t>Max MALINS</t>
  </si>
  <si>
    <t>Gabriel OGHRE</t>
  </si>
  <si>
    <t>Santiago GRONDONA</t>
  </si>
  <si>
    <t>Dan du PREEZ</t>
  </si>
  <si>
    <t>Luke COWAN-DICKIE</t>
  </si>
  <si>
    <t>Juan Martin GONZALEZ</t>
  </si>
  <si>
    <t>Lucio CINTI</t>
  </si>
  <si>
    <t>Chandler CUNNINGHAM-SOUTH</t>
  </si>
  <si>
    <t>Santi CARRERAS</t>
  </si>
  <si>
    <t>James ELLIOTT</t>
  </si>
  <si>
    <t>Kalaveti RAVOUVOU</t>
  </si>
  <si>
    <t>Asher OPOKU-FORDJOUR</t>
  </si>
  <si>
    <t>Tarek HAFFAR</t>
  </si>
  <si>
    <t>Hame FAIVA</t>
  </si>
  <si>
    <t>Nathan GREENWOOD</t>
  </si>
  <si>
    <t>Adam SCOTT</t>
  </si>
  <si>
    <t>Reketi MA'ASI-WHITE</t>
  </si>
  <si>
    <t>Finn CARNDUFF</t>
  </si>
  <si>
    <t>Will RIGG</t>
  </si>
  <si>
    <t>Hyron ANDREWS</t>
  </si>
  <si>
    <t>Cameron NEILD</t>
  </si>
  <si>
    <t>Francois VAN WYK</t>
  </si>
  <si>
    <t>Ross MOLONY</t>
  </si>
  <si>
    <t>Steele BARKER</t>
  </si>
  <si>
    <t>Viliame MATA</t>
  </si>
  <si>
    <t>Benjamin ELIZALDE</t>
  </si>
  <si>
    <t>Will GOODRICK-CLARKE</t>
  </si>
  <si>
    <t>Finn WORLEY-BRADY</t>
  </si>
  <si>
    <t>Christian WADE</t>
  </si>
  <si>
    <t>Tomos WILLIAMS</t>
  </si>
  <si>
    <r>
      <t xml:space="preserve">23 </t>
    </r>
    <r>
      <rPr>
        <sz val="11"/>
        <color theme="9" tint="-0.249977111117893"/>
        <rFont val="Calibri (Body)"/>
      </rPr>
      <t>SF</t>
    </r>
  </si>
  <si>
    <t>Conor BYRNE</t>
  </si>
  <si>
    <t>Tom HUMPHREYS</t>
  </si>
  <si>
    <t>Josh BELLAMY</t>
  </si>
  <si>
    <t>Tit LAMOSITELE</t>
  </si>
  <si>
    <t>Seb DRISCOLL</t>
  </si>
  <si>
    <t>Lucas SCHMID</t>
  </si>
  <si>
    <t>Izaia PERESE</t>
  </si>
  <si>
    <t>Will WAND</t>
  </si>
  <si>
    <t>Nicky SMITH</t>
  </si>
  <si>
    <t>George PEARSON</t>
  </si>
  <si>
    <t>Tom THRELFALL</t>
  </si>
  <si>
    <t>Alex HEARLE</t>
  </si>
  <si>
    <t>Sammy ARNOLD</t>
  </si>
  <si>
    <t>Luan DE BRUIN</t>
  </si>
  <si>
    <t>Tom GORDON</t>
  </si>
  <si>
    <t>Joe DAVIS</t>
  </si>
  <si>
    <t>Rhys BEECKMANS</t>
  </si>
  <si>
    <t>Callum HANCOCK</t>
  </si>
  <si>
    <t>Connor HANCOCK</t>
  </si>
  <si>
    <t>Luke GREEN</t>
  </si>
  <si>
    <t>Josh KEMENY</t>
  </si>
  <si>
    <t>Archie BENSON</t>
  </si>
  <si>
    <t>Fyn BROWN</t>
  </si>
  <si>
    <t>Billy PASCO</t>
  </si>
  <si>
    <t>Jonny WEIMANN</t>
  </si>
  <si>
    <t>Tom DYE</t>
  </si>
  <si>
    <t>Sonny TONGA'UIHA</t>
  </si>
  <si>
    <t>Aiden AINSWORTH-CAVE</t>
  </si>
  <si>
    <t>Toby WILSON</t>
  </si>
  <si>
    <t>Huw DAVIES</t>
  </si>
  <si>
    <t>Jos GILMORE</t>
  </si>
  <si>
    <t>Seb KELLY</t>
  </si>
  <si>
    <t>Sam SPINK</t>
  </si>
  <si>
    <t>Fergus BURKE</t>
  </si>
  <si>
    <t>inj</t>
  </si>
  <si>
    <t>Rhys CARRE</t>
  </si>
  <si>
    <t>Phil BRANTINGHAM</t>
  </si>
  <si>
    <t>Harry WILSON</t>
  </si>
  <si>
    <t>Ethan GRAYSON</t>
  </si>
  <si>
    <t>_</t>
  </si>
  <si>
    <t>Andy ONYEAMA-CHRISTIE</t>
  </si>
  <si>
    <t>FIJ</t>
  </si>
  <si>
    <t>CAREER STATISTICS</t>
  </si>
  <si>
    <t>BTH</t>
  </si>
  <si>
    <t>OVR</t>
  </si>
  <si>
    <t>CMPS CUP</t>
  </si>
  <si>
    <t>CHALL CUP</t>
  </si>
  <si>
    <t>PREM</t>
  </si>
  <si>
    <t>BRI</t>
  </si>
  <si>
    <t>EXE</t>
  </si>
  <si>
    <t>GLO</t>
  </si>
  <si>
    <t>HAR</t>
  </si>
  <si>
    <t>LEI</t>
  </si>
  <si>
    <t>NEW</t>
  </si>
  <si>
    <t>NOR</t>
  </si>
  <si>
    <t>SAL</t>
  </si>
  <si>
    <t>SAR</t>
  </si>
  <si>
    <t>Yellow Cards</t>
  </si>
  <si>
    <t>Total Appearances</t>
  </si>
  <si>
    <t>Red Cards</t>
  </si>
  <si>
    <t>Kick Success Rate (%)</t>
  </si>
  <si>
    <t>As Captain</t>
  </si>
  <si>
    <t>11R</t>
  </si>
  <si>
    <t>Kick Success (%)</t>
  </si>
  <si>
    <t>1R</t>
  </si>
  <si>
    <t>3R</t>
  </si>
  <si>
    <t>2R</t>
  </si>
  <si>
    <t>4R</t>
  </si>
  <si>
    <t>7R</t>
  </si>
  <si>
    <t>8R</t>
  </si>
  <si>
    <t>R</t>
  </si>
  <si>
    <t>BTH (A)</t>
  </si>
  <si>
    <t>13R</t>
  </si>
  <si>
    <t>9R</t>
  </si>
  <si>
    <t>15R</t>
  </si>
  <si>
    <t>BRI (H)</t>
  </si>
  <si>
    <t>12R</t>
  </si>
  <si>
    <t>6R</t>
  </si>
  <si>
    <t>14R</t>
  </si>
  <si>
    <t>10R</t>
  </si>
  <si>
    <t>Paul BROWN-BAMPOE</t>
  </si>
  <si>
    <t>Drop Goals</t>
  </si>
  <si>
    <t>5R</t>
  </si>
  <si>
    <t>SAR (H)</t>
  </si>
  <si>
    <t>Jamal FORD-ROBINSON</t>
  </si>
  <si>
    <t>GLO (A)</t>
  </si>
  <si>
    <t>HAR (H)</t>
  </si>
  <si>
    <t>SAL (A)</t>
  </si>
  <si>
    <t>ur</t>
  </si>
  <si>
    <t>ARG</t>
  </si>
  <si>
    <t>HAR (A)</t>
  </si>
  <si>
    <t>SAR (A)</t>
  </si>
  <si>
    <t>EXE (H)</t>
  </si>
  <si>
    <t>Martin MOLONEY</t>
  </si>
  <si>
    <t>Vilikesa SELA</t>
  </si>
  <si>
    <t>Tom BURROW</t>
  </si>
  <si>
    <t>Kwenzo BLOSE</t>
  </si>
  <si>
    <t>Austin EMENS</t>
  </si>
  <si>
    <t>LEI (A)</t>
  </si>
  <si>
    <t>Rodrigo ISGRO</t>
  </si>
  <si>
    <t>Tadgh McELROY</t>
  </si>
  <si>
    <t>Joe BAILEY</t>
  </si>
  <si>
    <t>Jimmy ROOTS</t>
  </si>
  <si>
    <t>Tye RAYMONT</t>
  </si>
  <si>
    <t>Sam WILLIAMS</t>
  </si>
  <si>
    <t>Charlie BEMAND</t>
  </si>
  <si>
    <t>Will JEANES</t>
  </si>
  <si>
    <t>Harvey CUCKSON</t>
  </si>
  <si>
    <t>Neil LE ROUX</t>
  </si>
  <si>
    <t>Jack WOODS</t>
  </si>
  <si>
    <t>Charlie GRIFFIN</t>
  </si>
  <si>
    <t>Oli SPENCER</t>
  </si>
  <si>
    <t>Lucas FRIDAY</t>
  </si>
  <si>
    <t>Jimmy STAPLES</t>
  </si>
  <si>
    <t>Sean KERR</t>
  </si>
  <si>
    <t>Jono BENZ-SALOMON</t>
  </si>
  <si>
    <t>Deian GWYNNE</t>
  </si>
  <si>
    <t>Caio JAMES</t>
  </si>
  <si>
    <t>George KNOWLES</t>
  </si>
  <si>
    <t>Max KNIGHT</t>
  </si>
  <si>
    <t>Kenzie JENKINS</t>
  </si>
  <si>
    <t>Louie TREVETT</t>
  </si>
  <si>
    <t>Angus HALL</t>
  </si>
  <si>
    <t>0lamide SODEKE</t>
  </si>
  <si>
    <t>Harvey BEATON</t>
  </si>
  <si>
    <t>Max CLARK</t>
  </si>
  <si>
    <t>Jack BRACKEN</t>
  </si>
  <si>
    <r>
      <t>R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</si>
  <si>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rgb="FFFFFF00"/>
        <rFont val="Calibri"/>
        <family val="2"/>
        <scheme val="minor"/>
      </rPr>
      <t>YC</t>
    </r>
  </si>
  <si>
    <t>RR</t>
  </si>
  <si>
    <r>
      <t xml:space="preserve">7 </t>
    </r>
    <r>
      <rPr>
        <sz val="11"/>
        <color theme="9" tint="-0.249977111117893"/>
        <rFont val="Calibri (Body)"/>
      </rPr>
      <t>2</t>
    </r>
  </si>
  <si>
    <r>
      <t xml:space="preserve">8 </t>
    </r>
    <r>
      <rPr>
        <sz val="11"/>
        <color theme="9" tint="-0.249977111117893"/>
        <rFont val="Calibri (Body)"/>
      </rPr>
      <t>3</t>
    </r>
  </si>
  <si>
    <r>
      <t>5</t>
    </r>
    <r>
      <rPr>
        <b/>
        <sz val="12"/>
        <color rgb="FFFFFF00"/>
        <rFont val="Calibri"/>
        <family val="2"/>
        <scheme val="minor"/>
      </rPr>
      <t>YC</t>
    </r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</si>
  <si>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</si>
  <si>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2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</si>
  <si>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rgb="FFFFC000"/>
        <rFont val="Calibri"/>
        <family val="2"/>
        <scheme val="minor"/>
      </rPr>
      <t>c</t>
    </r>
  </si>
  <si>
    <r>
      <t>R</t>
    </r>
    <r>
      <rPr>
        <b/>
        <sz val="12"/>
        <color rgb="FFFFFF00"/>
        <rFont val="Calibri"/>
        <family val="2"/>
        <scheme val="minor"/>
      </rPr>
      <t>YC</t>
    </r>
  </si>
  <si>
    <t>Kieran VERDEN</t>
  </si>
  <si>
    <r>
      <t>5</t>
    </r>
    <r>
      <rPr>
        <b/>
        <sz val="12"/>
        <color rgb="FFFFC000"/>
        <rFont val="Calibri"/>
        <family val="2"/>
        <scheme val="minor"/>
      </rPr>
      <t>c</t>
    </r>
  </si>
  <si>
    <t>Tyler OFFIAH</t>
  </si>
  <si>
    <t>Peter PARAMORE</t>
  </si>
  <si>
    <t>Ethan SURREY</t>
  </si>
  <si>
    <t>Tamati TUA</t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</si>
  <si>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</si>
  <si>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</si>
  <si>
    <t>Archie McARTHUR</t>
  </si>
  <si>
    <r>
      <t>13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</si>
  <si>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7" tint="0.39997558519241921"/>
        <rFont val="Calibri"/>
        <family val="2"/>
        <scheme val="minor"/>
      </rPr>
      <t>deb</t>
    </r>
  </si>
  <si>
    <t>Louie JOHNSON</t>
  </si>
  <si>
    <t>Ollie ALLAN</t>
  </si>
  <si>
    <t>Bronson MELLOWES</t>
  </si>
  <si>
    <t>Will GLISTER</t>
  </si>
  <si>
    <t>Henry WALKER</t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</si>
  <si>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</si>
  <si>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Kennedy SYLVESTER</t>
  </si>
  <si>
    <t>Reggie HAMMICK</t>
  </si>
  <si>
    <t>Charlie WEST</t>
  </si>
  <si>
    <t>Will BUTLER</t>
  </si>
  <si>
    <t>Jack MUSK</t>
  </si>
  <si>
    <t>Jake MORRIS</t>
  </si>
  <si>
    <t>Mikey SUMMERFIELD</t>
  </si>
  <si>
    <t>Willgriff JOHN</t>
  </si>
  <si>
    <t>Jamie HODGSON</t>
  </si>
  <si>
    <t>Jack COTGREAVE</t>
  </si>
  <si>
    <t>Elliot MILLAR MILLS</t>
  </si>
  <si>
    <t>0 PTS SCO</t>
  </si>
  <si>
    <t>Micky REWCASTLE</t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</si>
  <si>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</si>
  <si>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4</t>
    </r>
  </si>
  <si>
    <r>
      <t xml:space="preserve">11 </t>
    </r>
    <r>
      <rPr>
        <sz val="11"/>
        <color rgb="FF00B0F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</si>
  <si>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2</t>
    </r>
  </si>
  <si>
    <t>Played</t>
  </si>
  <si>
    <t>Won</t>
  </si>
  <si>
    <t>Drawn</t>
  </si>
  <si>
    <t>Lost</t>
  </si>
  <si>
    <t>Success Rate %</t>
  </si>
  <si>
    <t>Danny WILSON</t>
  </si>
  <si>
    <t>LEIC</t>
  </si>
  <si>
    <t>Ollie DAVIES</t>
  </si>
  <si>
    <t>Albert BRADSHAW</t>
  </si>
  <si>
    <t>Eoghan CLARKE</t>
  </si>
  <si>
    <t>Luke DAVIDSON</t>
  </si>
  <si>
    <t>Oscar WILSON</t>
  </si>
  <si>
    <t>Barnaby MERRETT</t>
  </si>
  <si>
    <t>Jack GILBERT</t>
  </si>
  <si>
    <t>Rio EBANKS</t>
  </si>
  <si>
    <t>Ieuan DAVIES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</si>
  <si>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</si>
  <si>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Tubuna MAKA</t>
  </si>
  <si>
    <t>Ale LOMAN</t>
  </si>
  <si>
    <t>Freddie STEVENS</t>
  </si>
  <si>
    <t>Patreece BELL</t>
  </si>
  <si>
    <t>Alfie LONGSTAFF</t>
  </si>
  <si>
    <t>Dom HANSON</t>
  </si>
  <si>
    <t>Ben COEN</t>
  </si>
  <si>
    <t>Kane JAMES</t>
  </si>
  <si>
    <t>u/a</t>
  </si>
  <si>
    <t>Oscar USHER</t>
  </si>
  <si>
    <t>Ollie STREETER</t>
  </si>
  <si>
    <t>Nick LILLEY</t>
  </si>
  <si>
    <t>Henry LUMLEY</t>
  </si>
  <si>
    <t>James PATER</t>
  </si>
  <si>
    <t>George TIMMINS</t>
  </si>
  <si>
    <t>Alex SANDERSON</t>
  </si>
  <si>
    <t>BATH 2025/26</t>
  </si>
  <si>
    <t>BRISTOL 2025/26</t>
  </si>
  <si>
    <t>EXETER 2025/26</t>
  </si>
  <si>
    <t>GLOUCESTER 2025/26</t>
  </si>
  <si>
    <t>HARLEQUINS 2025/26</t>
  </si>
  <si>
    <t>LEICESTER 2025/26</t>
  </si>
  <si>
    <t>NORTHAMPTON 2025/26</t>
  </si>
  <si>
    <t>SALE 2025/26</t>
  </si>
  <si>
    <t>SARACENS 2025/26</t>
  </si>
  <si>
    <t>Amanaki MAFI</t>
  </si>
  <si>
    <t>Fergus LEE-WARNER</t>
  </si>
  <si>
    <t>Simon BENITEZ CRUZ</t>
  </si>
  <si>
    <t>Boeta CHAMBERLAIN</t>
  </si>
  <si>
    <t>Kieran TREADWELL</t>
  </si>
  <si>
    <t>Guido PETTI</t>
  </si>
  <si>
    <t>Harry WILLIAMS</t>
  </si>
  <si>
    <t>George TURNER</t>
  </si>
  <si>
    <t>Max GREEN</t>
  </si>
  <si>
    <t>Boris WENGER</t>
  </si>
  <si>
    <t>Pedro DELGADO</t>
  </si>
  <si>
    <r>
      <t xml:space="preserve">1 </t>
    </r>
    <r>
      <rPr>
        <sz val="11"/>
        <color theme="9" tint="-0.249977111117893"/>
        <rFont val="Calibri (Body)"/>
      </rPr>
      <t>1</t>
    </r>
  </si>
  <si>
    <r>
      <t xml:space="preserve">2 </t>
    </r>
    <r>
      <rPr>
        <sz val="11"/>
        <color theme="9" tint="-0.249977111117893"/>
        <rFont val="Calibri (Body)"/>
      </rPr>
      <t>2</t>
    </r>
  </si>
  <si>
    <r>
      <t>3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</si>
  <si>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4 </t>
    </r>
    <r>
      <rPr>
        <sz val="11"/>
        <color theme="0"/>
        <rFont val="Calibri (Body)"/>
      </rPr>
      <t>2</t>
    </r>
  </si>
  <si>
    <r>
      <t xml:space="preserve">5 </t>
    </r>
    <r>
      <rPr>
        <sz val="11"/>
        <color theme="0"/>
        <rFont val="Calibri (Body)"/>
      </rPr>
      <t>3</t>
    </r>
  </si>
  <si>
    <r>
      <t xml:space="preserve">6 </t>
    </r>
    <r>
      <rPr>
        <sz val="11"/>
        <color theme="0"/>
        <rFont val="Calibri (Body)"/>
      </rPr>
      <t>4</t>
    </r>
  </si>
  <si>
    <r>
      <t xml:space="preserve">7 </t>
    </r>
    <r>
      <rPr>
        <sz val="11"/>
        <color theme="0"/>
        <rFont val="Calibri (Body)"/>
      </rPr>
      <t>5</t>
    </r>
  </si>
  <si>
    <r>
      <t xml:space="preserve">9 </t>
    </r>
    <r>
      <rPr>
        <sz val="11"/>
        <color theme="9" tint="-0.249977111117893"/>
        <rFont val="Calibri (Body)"/>
      </rPr>
      <t>4</t>
    </r>
  </si>
  <si>
    <r>
      <t xml:space="preserve">10 </t>
    </r>
    <r>
      <rPr>
        <sz val="11"/>
        <color theme="0"/>
        <rFont val="Calibri (Body)"/>
      </rPr>
      <t>6</t>
    </r>
  </si>
  <si>
    <r>
      <t xml:space="preserve">13 </t>
    </r>
    <r>
      <rPr>
        <sz val="11"/>
        <color theme="0"/>
        <rFont val="Calibri (Body)"/>
      </rPr>
      <t>7</t>
    </r>
  </si>
  <si>
    <r>
      <t xml:space="preserve">14 </t>
    </r>
    <r>
      <rPr>
        <sz val="11"/>
        <color theme="0"/>
        <rFont val="Calibri (Body)"/>
      </rPr>
      <t>8</t>
    </r>
  </si>
  <si>
    <r>
      <t xml:space="preserve">15 </t>
    </r>
    <r>
      <rPr>
        <sz val="11"/>
        <color theme="0"/>
        <rFont val="Calibri (Body)"/>
      </rPr>
      <t>9</t>
    </r>
  </si>
  <si>
    <r>
      <t xml:space="preserve">18 </t>
    </r>
    <r>
      <rPr>
        <sz val="11"/>
        <color theme="0"/>
        <rFont val="Calibri (Body)"/>
      </rPr>
      <t>10</t>
    </r>
  </si>
  <si>
    <r>
      <t xml:space="preserve">19 </t>
    </r>
    <r>
      <rPr>
        <sz val="11"/>
        <color theme="9" tint="-0.249977111117893"/>
        <rFont val="Calibri (Body)"/>
      </rPr>
      <t>5</t>
    </r>
  </si>
  <si>
    <r>
      <t xml:space="preserve">20 </t>
    </r>
    <r>
      <rPr>
        <sz val="11"/>
        <color theme="9" tint="-0.249977111117893"/>
        <rFont val="Calibri (Body)"/>
      </rPr>
      <t>6</t>
    </r>
  </si>
  <si>
    <r>
      <t xml:space="preserve">21 </t>
    </r>
    <r>
      <rPr>
        <sz val="11"/>
        <color theme="9" tint="-0.249977111117893"/>
        <rFont val="Calibri (Body)"/>
      </rPr>
      <t>7</t>
    </r>
  </si>
  <si>
    <r>
      <t xml:space="preserve">22 </t>
    </r>
    <r>
      <rPr>
        <sz val="11"/>
        <color theme="9" tint="-0.249977111117893"/>
        <rFont val="Calibri (Body)"/>
      </rPr>
      <t>8</t>
    </r>
  </si>
  <si>
    <r>
      <t xml:space="preserve">24 </t>
    </r>
    <r>
      <rPr>
        <sz val="11"/>
        <color theme="9" tint="-0.249977111117893"/>
        <rFont val="Calibri (Body)"/>
      </rPr>
      <t>FINAL</t>
    </r>
  </si>
  <si>
    <r>
      <t xml:space="preserve">25 </t>
    </r>
    <r>
      <rPr>
        <sz val="11"/>
        <color theme="0"/>
        <rFont val="Calibri (Body)"/>
      </rPr>
      <t>11</t>
    </r>
  </si>
  <si>
    <r>
      <t xml:space="preserve">26 </t>
    </r>
    <r>
      <rPr>
        <sz val="11"/>
        <color theme="0"/>
        <rFont val="Calibri (Body)"/>
      </rPr>
      <t>12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</si>
  <si>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</si>
  <si>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</si>
  <si>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29 </t>
    </r>
    <r>
      <rPr>
        <sz val="11"/>
        <color theme="0"/>
        <rFont val="Calibri (Body)"/>
      </rPr>
      <t>13</t>
    </r>
  </si>
  <si>
    <r>
      <t xml:space="preserve">30 </t>
    </r>
    <r>
      <rPr>
        <sz val="11"/>
        <color theme="0"/>
        <rFont val="Calibri (Body)"/>
      </rPr>
      <t>14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</si>
  <si>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SF</t>
    </r>
  </si>
  <si>
    <r>
      <t xml:space="preserve">32 </t>
    </r>
    <r>
      <rPr>
        <sz val="11"/>
        <color theme="0"/>
        <rFont val="Calibri (Body)"/>
      </rPr>
      <t>15</t>
    </r>
  </si>
  <si>
    <r>
      <t xml:space="preserve">33 </t>
    </r>
    <r>
      <rPr>
        <sz val="11"/>
        <color theme="0"/>
        <rFont val="Calibri (Body)"/>
      </rPr>
      <t>16</t>
    </r>
  </si>
  <si>
    <r>
      <rPr>
        <sz val="11"/>
        <color theme="0" tint="-0.249977111117893"/>
        <rFont val="Calibri"/>
        <family val="2"/>
        <scheme val="minor"/>
      </rPr>
      <t>34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FINAL</t>
    </r>
  </si>
  <si>
    <r>
      <t xml:space="preserve">35 </t>
    </r>
    <r>
      <rPr>
        <sz val="11"/>
        <color theme="0"/>
        <rFont val="Calibri (Body)"/>
      </rPr>
      <t>17</t>
    </r>
  </si>
  <si>
    <r>
      <t xml:space="preserve">36 </t>
    </r>
    <r>
      <rPr>
        <sz val="11"/>
        <color theme="0"/>
        <rFont val="Calibri (Body)"/>
      </rPr>
      <t>18</t>
    </r>
  </si>
  <si>
    <r>
      <t xml:space="preserve">37 </t>
    </r>
    <r>
      <rPr>
        <sz val="11"/>
        <color theme="0"/>
        <rFont val="Calibri (Body)"/>
      </rPr>
      <t>PO</t>
    </r>
  </si>
  <si>
    <r>
      <t xml:space="preserve">38 </t>
    </r>
    <r>
      <rPr>
        <sz val="11"/>
        <color theme="0"/>
        <rFont val="Calibri (Body)"/>
      </rPr>
      <t>FINAL</t>
    </r>
  </si>
  <si>
    <t>Steve DIAMOND</t>
  </si>
  <si>
    <r>
      <t>2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</si>
  <si>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3 </t>
    </r>
    <r>
      <rPr>
        <sz val="11"/>
        <color theme="0"/>
        <rFont val="Calibri (Body)"/>
      </rPr>
      <t>2</t>
    </r>
  </si>
  <si>
    <r>
      <t xml:space="preserve">4 </t>
    </r>
    <r>
      <rPr>
        <sz val="11"/>
        <color theme="0"/>
        <rFont val="Calibri (Body)"/>
      </rPr>
      <t>3</t>
    </r>
  </si>
  <si>
    <r>
      <t xml:space="preserve">5 </t>
    </r>
    <r>
      <rPr>
        <sz val="11"/>
        <color theme="0"/>
        <rFont val="Calibri (Body)"/>
      </rPr>
      <t>4</t>
    </r>
  </si>
  <si>
    <r>
      <t xml:space="preserve">6 </t>
    </r>
    <r>
      <rPr>
        <sz val="11"/>
        <color theme="0"/>
        <rFont val="Calibri (Body)"/>
      </rPr>
      <t>5</t>
    </r>
  </si>
  <si>
    <t>SHA</t>
  </si>
  <si>
    <t>Tom CHRISTIE</t>
  </si>
  <si>
    <t>CBY</t>
  </si>
  <si>
    <t>NSW</t>
  </si>
  <si>
    <t>WGN</t>
  </si>
  <si>
    <t>NEWCASTLE RED BULLS  2025/26</t>
  </si>
  <si>
    <t>Henry ARUNDELL</t>
  </si>
  <si>
    <t>Bernard VAN DER LINDE</t>
  </si>
  <si>
    <t>Len IKITAU</t>
  </si>
  <si>
    <t>Khwezi MONA</t>
  </si>
  <si>
    <t>Bachuki TCHUMBADZE</t>
  </si>
  <si>
    <t>Joseph DWEBA</t>
  </si>
  <si>
    <t>Julian HEAVEN</t>
  </si>
  <si>
    <t>Andrea ZAMBONIN</t>
  </si>
  <si>
    <t>Tom HOOPER</t>
  </si>
  <si>
    <t>Will JOSEPH</t>
  </si>
  <si>
    <t>Ross BYRNE</t>
  </si>
  <si>
    <t>7cR</t>
  </si>
  <si>
    <t>James VENTER</t>
  </si>
  <si>
    <t>Josh BASHAM</t>
  </si>
  <si>
    <t>Jack INNARD</t>
  </si>
  <si>
    <t>Josiah EDWARDS-GIRAUD</t>
  </si>
  <si>
    <t>Harry ASCHERL</t>
  </si>
  <si>
    <r>
      <t>9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</si>
  <si>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Joel GRAYSON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</si>
  <si>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/>
        <rFont val="Calibri"/>
        <family val="2"/>
        <scheme val="minor"/>
      </rPr>
      <t>R</t>
    </r>
  </si>
  <si>
    <t>NRB (A)</t>
  </si>
  <si>
    <t>Cameron DOAK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</si>
  <si>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</si>
  <si>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Jamie MILLER</t>
  </si>
  <si>
    <t>Elliot WILLIAMS</t>
  </si>
  <si>
    <t>Geoff PARLING</t>
  </si>
  <si>
    <t>Orlando BAILEY</t>
  </si>
  <si>
    <t>James O'CONNOR</t>
  </si>
  <si>
    <t>Jamie BLAMIRE</t>
  </si>
  <si>
    <t>James THOMPSON</t>
  </si>
  <si>
    <t>Joaquin MORO</t>
  </si>
  <si>
    <t>Harry PALMER</t>
  </si>
  <si>
    <t>Charlie TITCOMBE</t>
  </si>
  <si>
    <t>Noah CALUORI</t>
  </si>
  <si>
    <t>Cammy HUTCHISON</t>
  </si>
  <si>
    <r>
      <t>12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</si>
  <si>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13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</si>
  <si>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Marcus STREET</t>
  </si>
  <si>
    <t>Tietie TUIMAUGA</t>
  </si>
  <si>
    <t>Nathan JIBULU</t>
  </si>
  <si>
    <t>Jacques VERMEULEN</t>
  </si>
  <si>
    <t>Josh CARRINGTON</t>
  </si>
  <si>
    <t>Luka IVANISHVILI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</si>
  <si>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</si>
  <si>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Max PEPPER</t>
  </si>
  <si>
    <t>Louis REES-ZAMMIT</t>
  </si>
  <si>
    <t>Ewan CAVEN</t>
  </si>
  <si>
    <t>Will KNIGHT</t>
  </si>
  <si>
    <t>Harry WRIGHT</t>
  </si>
  <si>
    <t>Hugh BOKENHAM</t>
  </si>
  <si>
    <r>
      <t>7</t>
    </r>
    <r>
      <rPr>
        <b/>
        <sz val="12"/>
        <color rgb="FFFFFF00"/>
        <rFont val="Calibri"/>
        <family val="2"/>
        <scheme val="minor"/>
      </rPr>
      <t>YC</t>
    </r>
  </si>
  <si>
    <t>Will TRENHOLM</t>
  </si>
  <si>
    <t>Keelan FREEMAN PRICE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</si>
  <si>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</si>
  <si>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</si>
  <si>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</si>
  <si>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</si>
  <si>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Rhys DAVIES</t>
  </si>
  <si>
    <t>George ALEXANDER</t>
  </si>
  <si>
    <t>Rhys PRICE</t>
  </si>
  <si>
    <t>George DUFFY</t>
  </si>
  <si>
    <t>Tom JORDAN</t>
  </si>
  <si>
    <r>
      <t>15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</si>
  <si>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</si>
  <si>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Sam WORSLEY</t>
  </si>
  <si>
    <t>Evan MORRIS</t>
  </si>
  <si>
    <t>NOR (H)</t>
  </si>
  <si>
    <r>
      <t>15</t>
    </r>
    <r>
      <rPr>
        <b/>
        <sz val="12"/>
        <color rgb="FFFFC000"/>
        <rFont val="Calibri"/>
        <family val="2"/>
        <scheme val="minor"/>
      </rPr>
      <t>cc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</si>
  <si>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7</t>
    </r>
    <r>
      <rPr>
        <b/>
        <sz val="12"/>
        <color rgb="FFFFC000"/>
        <rFont val="Calibri"/>
        <family val="2"/>
        <scheme val="minor"/>
      </rPr>
      <t>cc</t>
    </r>
  </si>
  <si>
    <t>Alex O'DRISCOLL</t>
  </si>
  <si>
    <t>Edoardo TODARO</t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</si>
  <si>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</si>
  <si>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Anthony BELLEAU</t>
  </si>
  <si>
    <t>JJ VAN DER MESCHT</t>
  </si>
  <si>
    <t>Callum CHICK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</si>
  <si>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</si>
  <si>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Danilo FISCHETTI</t>
  </si>
  <si>
    <t>James MARTIN</t>
  </si>
  <si>
    <t>Amena CAQUSAU</t>
  </si>
  <si>
    <t>LEI (H)</t>
  </si>
  <si>
    <t>Ludo KOLADE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</si>
  <si>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</si>
  <si>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Jason GILMORE</t>
  </si>
  <si>
    <t>Ryan CROWLEY</t>
  </si>
  <si>
    <t>Osian THOMAS</t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</si>
  <si>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</si>
  <si>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George MARSH</t>
  </si>
  <si>
    <t>Monty LOGGENBERG</t>
  </si>
  <si>
    <t>Cameron MIELL</t>
  </si>
  <si>
    <t>AUS</t>
  </si>
  <si>
    <t>Billy SEARLE</t>
  </si>
  <si>
    <t>James LINEGAR</t>
  </si>
  <si>
    <t>Thompson COWAN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</si>
  <si>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</si>
  <si>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Alex RIDGWAY</t>
  </si>
  <si>
    <t>Max PEARCE</t>
  </si>
  <si>
    <t>Alfie GRIFFIN</t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</si>
  <si>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</si>
  <si>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</si>
  <si>
    <t>Cleopas KUNDIONA</t>
  </si>
  <si>
    <t>Owen FARRELL</t>
  </si>
  <si>
    <t>Samson ADEJIMI</t>
  </si>
  <si>
    <t>Benjamin GRONDONA</t>
  </si>
  <si>
    <t>Kieran HILL</t>
  </si>
  <si>
    <t>Sam SCOTT</t>
  </si>
  <si>
    <t>Victor WORSNIP</t>
  </si>
  <si>
    <t>Will RAMPLY</t>
  </si>
  <si>
    <t>GLO (H)</t>
  </si>
  <si>
    <r>
      <t>4</t>
    </r>
    <r>
      <rPr>
        <b/>
        <sz val="12"/>
        <color rgb="FFFFC000"/>
        <rFont val="Calibri"/>
        <family val="2"/>
        <scheme val="minor"/>
      </rPr>
      <t>c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</si>
  <si>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</si>
  <si>
    <t>Ben LOADER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</si>
  <si>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</si>
  <si>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Harrison BELLAMY</t>
  </si>
  <si>
    <r>
      <t>8</t>
    </r>
    <r>
      <rPr>
        <b/>
        <sz val="12"/>
        <color rgb="FFFFFF00"/>
        <rFont val="Calibri"/>
        <family val="2"/>
        <scheme val="minor"/>
      </rPr>
      <t>YC</t>
    </r>
  </si>
  <si>
    <t>BTH (H)</t>
  </si>
  <si>
    <r>
      <t>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</si>
  <si>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RSA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</si>
  <si>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</si>
  <si>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Jack DICKENS</t>
  </si>
  <si>
    <r>
      <t>6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</si>
  <si>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</si>
  <si>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NOR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</si>
  <si>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</si>
  <si>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13</t>
    </r>
    <r>
      <rPr>
        <b/>
        <sz val="12"/>
        <color rgb="FFFFC000"/>
        <rFont val="Calibri"/>
        <family val="2"/>
        <scheme val="minor"/>
      </rPr>
      <t>c</t>
    </r>
  </si>
  <si>
    <t>WAR</t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</si>
  <si>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</si>
  <si>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</si>
  <si>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BRI (A)</t>
  </si>
  <si>
    <t>TGA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</si>
  <si>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</si>
  <si>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BANNED</t>
  </si>
  <si>
    <r>
      <t>15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</si>
  <si>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9</t>
    </r>
    <r>
      <rPr>
        <b/>
        <sz val="12"/>
        <color theme="5" tint="0.39997558519241921"/>
        <rFont val="Calibri"/>
        <family val="2"/>
        <scheme val="minor"/>
      </rPr>
      <t>cPM</t>
    </r>
    <r>
      <rPr>
        <b/>
        <sz val="12"/>
        <color theme="0"/>
        <rFont val="Calibri"/>
        <family val="2"/>
        <scheme val="minor"/>
      </rPr>
      <t>R</t>
    </r>
  </si>
  <si>
    <t>SAL (H)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</si>
  <si>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</si>
  <si>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t>inj &amp; u/a</t>
  </si>
  <si>
    <t>Marius LOUW</t>
  </si>
  <si>
    <r>
      <t>9</t>
    </r>
    <r>
      <rPr>
        <b/>
        <sz val="12"/>
        <color rgb="FFFFC000"/>
        <rFont val="Calibri"/>
        <family val="2"/>
        <scheme val="minor"/>
      </rPr>
      <t>c</t>
    </r>
  </si>
  <si>
    <t>Jack MANN</t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</si>
  <si>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 xml:space="preserve"> R</t>
    </r>
  </si>
  <si>
    <t>Nepo LAULALA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</si>
  <si>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</si>
  <si>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</si>
  <si>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</si>
  <si>
    <t>Conc</t>
  </si>
  <si>
    <t>Marco MANFREDI</t>
  </si>
  <si>
    <t>JOINED</t>
  </si>
  <si>
    <t>BEN</t>
  </si>
  <si>
    <r>
      <t>8</t>
    </r>
    <r>
      <rPr>
        <b/>
        <sz val="12"/>
        <color rgb="FFFFC000"/>
        <rFont val="Calibri"/>
        <family val="2"/>
        <scheme val="minor"/>
      </rPr>
      <t>c</t>
    </r>
  </si>
  <si>
    <t>EXE (A)</t>
  </si>
  <si>
    <t>Liam WILLIAMS</t>
  </si>
  <si>
    <r>
      <t>15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</si>
  <si>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Alan DICKENS</t>
  </si>
  <si>
    <t>LEFT</t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</si>
  <si>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</si>
  <si>
    <t>NRB (H)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</si>
  <si>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</si>
  <si>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Rfl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</si>
  <si>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</si>
  <si>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</si>
  <si>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</si>
  <si>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7</t>
    </r>
    <r>
      <rPr>
        <b/>
        <sz val="12"/>
        <color rgb="FFFFC000"/>
        <rFont val="Calibri"/>
        <family val="2"/>
        <scheme val="minor"/>
      </rPr>
      <t>c</t>
    </r>
  </si>
  <si>
    <t>Oscar LENNON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</si>
  <si>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</si>
  <si>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Ethan BURGER</t>
  </si>
  <si>
    <r>
      <t>11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</si>
  <si>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</si>
  <si>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</si>
  <si>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</si>
  <si>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Reuben LOGAN</t>
  </si>
  <si>
    <t>Danny EITE</t>
  </si>
  <si>
    <t>Afo FASOGBON</t>
  </si>
  <si>
    <t>Ben REDSHAW</t>
  </si>
  <si>
    <t>Hat-tricks</t>
  </si>
  <si>
    <t>Mikey AUSTIN</t>
  </si>
  <si>
    <t>Rob RUSSELL</t>
  </si>
  <si>
    <r>
      <t>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</si>
  <si>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</si>
  <si>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Ethan CLARKE</t>
  </si>
  <si>
    <t>Matias MORONI</t>
  </si>
  <si>
    <t>Toby FRICKER</t>
  </si>
  <si>
    <t>Rwg</t>
  </si>
  <si>
    <t>Stefan COETZEE</t>
  </si>
  <si>
    <r>
      <t>5YC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</si>
  <si>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RC*</t>
    </r>
  </si>
  <si>
    <t>*Cowan-Dickie's 20-min RC was subsequently rescinded</t>
  </si>
  <si>
    <r>
      <t>7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</si>
  <si>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</si>
  <si>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</t>
  </si>
  <si>
    <t>John STEWART</t>
  </si>
  <si>
    <r>
      <t>12</t>
    </r>
    <r>
      <rPr>
        <b/>
        <sz val="12"/>
        <color rgb="FFFFC000"/>
        <rFont val="Calibri"/>
        <family val="2"/>
        <scheme val="minor"/>
      </rPr>
      <t>c</t>
    </r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</si>
  <si>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</si>
  <si>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</si>
  <si>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</si>
  <si>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illness</t>
  </si>
  <si>
    <t>Dian BLEULER</t>
  </si>
  <si>
    <r>
      <t>11</t>
    </r>
    <r>
      <rPr>
        <b/>
        <sz val="12"/>
        <color rgb="FFFFC000"/>
        <rFont val="Calibri"/>
        <family val="2"/>
        <scheme val="minor"/>
      </rPr>
      <t>c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</si>
  <si>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</si>
  <si>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</si>
  <si>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</si>
  <si>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</si>
  <si>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Mat PROTHEROE</t>
  </si>
  <si>
    <t>ENG</t>
  </si>
  <si>
    <t>Ellis BEVAN</t>
  </si>
  <si>
    <t>Sam WINTERS</t>
  </si>
  <si>
    <t>Harrison OBATOYINBO</t>
  </si>
  <si>
    <t>Reuben PARSONS</t>
  </si>
  <si>
    <t>Sam WAUGH</t>
  </si>
  <si>
    <t>Tonga KOFE</t>
  </si>
  <si>
    <t>ITA</t>
  </si>
  <si>
    <t>SCO</t>
  </si>
  <si>
    <t>Tom ROWE</t>
  </si>
  <si>
    <t>5YC</t>
  </si>
  <si>
    <r>
      <t>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</si>
  <si>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</si>
  <si>
    <t>James BENNETT</t>
  </si>
  <si>
    <t>Frank McMILLAN</t>
  </si>
  <si>
    <t>SAM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</si>
  <si>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</si>
  <si>
    <t>Tate WILLIAMS</t>
  </si>
  <si>
    <t>Will HOBSON</t>
  </si>
  <si>
    <t>Connor SLEVIN</t>
  </si>
  <si>
    <t>Osian ROBERTS</t>
  </si>
  <si>
    <t>Patrick HOGG</t>
  </si>
  <si>
    <t>Dylan HODKINSON</t>
  </si>
  <si>
    <t>Ralph McEACHRAN</t>
  </si>
  <si>
    <t>Olly ALLPORT</t>
  </si>
  <si>
    <t>Oliver MINNIS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</si>
  <si>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</si>
  <si>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Harrison JAMES</t>
  </si>
  <si>
    <t>WAL</t>
  </si>
  <si>
    <t>Connor TREACY</t>
  </si>
  <si>
    <t>Ioan EMANUEL</t>
  </si>
  <si>
    <t>Will ROUE</t>
  </si>
  <si>
    <t>Joe BEDLOW</t>
  </si>
  <si>
    <r>
      <t>10</t>
    </r>
    <r>
      <rPr>
        <b/>
        <sz val="12"/>
        <color rgb="FFFFC000"/>
        <rFont val="Calibri"/>
        <family val="2"/>
        <scheme val="minor"/>
      </rPr>
      <t>c</t>
    </r>
  </si>
  <si>
    <t>0 TR SCO</t>
  </si>
  <si>
    <t>Louie GULLEY</t>
  </si>
  <si>
    <t>Ollie BATSON</t>
  </si>
  <si>
    <t>Stewart MOORE</t>
  </si>
  <si>
    <t>ULS</t>
  </si>
  <si>
    <t>Cameron HUTCHISON</t>
  </si>
  <si>
    <t>Theo POVEY</t>
  </si>
  <si>
    <t>ENG A</t>
  </si>
  <si>
    <t>Tayo ADEGBEMILE</t>
  </si>
  <si>
    <t>Lewis YOUNG</t>
  </si>
  <si>
    <t>Finn KEYLOCK</t>
  </si>
  <si>
    <t xml:space="preserve">ENG </t>
  </si>
  <si>
    <t>Sam MERCER</t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</si>
  <si>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</si>
  <si>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Aidan PUGH</t>
  </si>
  <si>
    <t>NRB</t>
  </si>
  <si>
    <t>NRB LN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</si>
  <si>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</si>
  <si>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John EDWARDS</t>
  </si>
  <si>
    <t>RE-JOINED</t>
  </si>
  <si>
    <t>Junior NEWTON</t>
  </si>
  <si>
    <t>LN WOR</t>
  </si>
  <si>
    <t>Regan GRACE</t>
  </si>
  <si>
    <t>Campbell RIDL</t>
  </si>
  <si>
    <t>Finn BECKERLEG</t>
  </si>
  <si>
    <r>
      <t xml:space="preserve">9 </t>
    </r>
    <r>
      <rPr>
        <sz val="11"/>
        <color theme="9" tint="-0.249977111117893"/>
        <rFont val="Calibri"/>
        <family val="2"/>
        <scheme val="minor"/>
      </rPr>
      <t>4</t>
    </r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</si>
  <si>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</si>
  <si>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</si>
  <si>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</si>
  <si>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6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</si>
  <si>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E6AF00"/>
        <rFont val="Calibri"/>
        <family val="2"/>
        <scheme val="minor"/>
      </rPr>
      <t>c</t>
    </r>
  </si>
  <si>
    <t>USA</t>
  </si>
  <si>
    <t>GEO</t>
  </si>
  <si>
    <r>
      <t>15</t>
    </r>
    <r>
      <rPr>
        <b/>
        <sz val="12"/>
        <color rgb="FFFFC000"/>
        <rFont val="Calibri"/>
        <family val="2"/>
        <scheme val="minor"/>
      </rPr>
      <t>c</t>
    </r>
  </si>
  <si>
    <r>
      <t>14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</si>
  <si>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6</t>
    </r>
    <r>
      <rPr>
        <b/>
        <sz val="12"/>
        <color theme="5" tint="0.39997558519241921"/>
        <rFont val="Calibri"/>
        <family val="2"/>
        <scheme val="minor"/>
      </rPr>
      <t>PM</t>
    </r>
  </si>
  <si>
    <t>GLA (H)</t>
  </si>
  <si>
    <t>Gurshwin WEHR</t>
  </si>
  <si>
    <t>CLE (H)</t>
  </si>
  <si>
    <t>Rested</t>
  </si>
  <si>
    <t>LAR (A)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</si>
  <si>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</si>
  <si>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</si>
  <si>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LEIN (A&gt;)</t>
  </si>
  <si>
    <t>*Allianz Stadium; &gt;Aviva Stadium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</si>
  <si>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</si>
  <si>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SCA (A)</t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</si>
  <si>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</si>
  <si>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MUN (H)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</si>
  <si>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</si>
  <si>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PAU (A)</t>
  </si>
  <si>
    <r>
      <t>14</t>
    </r>
    <r>
      <rPr>
        <b/>
        <sz val="12"/>
        <color theme="9" tint="0.79998168889431442"/>
        <rFont val="Calibri"/>
        <family val="2"/>
        <scheme val="minor"/>
      </rPr>
      <t>RC</t>
    </r>
  </si>
  <si>
    <t>CAS (H)</t>
  </si>
  <si>
    <t>LYO (A)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</si>
  <si>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</si>
  <si>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</si>
  <si>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CHE (H)</t>
  </si>
  <si>
    <r>
      <t xml:space="preserve">11 </t>
    </r>
    <r>
      <rPr>
        <sz val="11"/>
        <color rgb="FF92D05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</si>
  <si>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2</t>
    </r>
  </si>
  <si>
    <t>LN CAR</t>
  </si>
  <si>
    <t>LN CPS</t>
  </si>
  <si>
    <t>LEIN (H)</t>
  </si>
  <si>
    <t>SHA (A)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</si>
  <si>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</si>
  <si>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DOM CUP</t>
  </si>
  <si>
    <t>Mark McCALL***</t>
  </si>
  <si>
    <t>*** McCall in CHAMP: P11 W10 L1; *Tottenham</t>
  </si>
  <si>
    <t>CLE (A)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</si>
  <si>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</si>
  <si>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</si>
  <si>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*Villa Park, Birmingham: ^SuperValu Pairc Uí Chaoimh, Cork</t>
  </si>
  <si>
    <t>MUN (A^)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</si>
  <si>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</si>
  <si>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BAY (H)</t>
  </si>
  <si>
    <t>TLN (A)</t>
  </si>
  <si>
    <t>BUL (H)</t>
  </si>
  <si>
    <t>PAU (H)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</si>
  <si>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</si>
  <si>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LIO (H)</t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</si>
  <si>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rgb="FF92D050"/>
        <rFont val="Calibri"/>
        <family val="2"/>
        <scheme val="minor"/>
      </rPr>
      <t>R</t>
    </r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</si>
  <si>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</si>
  <si>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Does not include cancelled matches</t>
  </si>
  <si>
    <t>R92 (A)</t>
  </si>
  <si>
    <t>LN DBS</t>
  </si>
  <si>
    <t>BRI (H*)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</si>
  <si>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</si>
  <si>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</si>
  <si>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</si>
  <si>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HAR (A*)</t>
  </si>
  <si>
    <t>* Allianz Stadium; ^Principality Stadium, Cardiff</t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</si>
  <si>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</si>
  <si>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</si>
  <si>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</si>
  <si>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</si>
  <si>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</si>
  <si>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</si>
  <si>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</si>
  <si>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Gabriel HAMER-WEBB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</si>
  <si>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</si>
  <si>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</si>
  <si>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</si>
  <si>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5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</si>
  <si>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</si>
  <si>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</si>
  <si>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</si>
  <si>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</si>
  <si>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4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</si>
  <si>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</si>
  <si>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</si>
  <si>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11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</si>
  <si>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954mWR</t>
  </si>
  <si>
    <t>Will CRANE</t>
  </si>
  <si>
    <t>HPY</t>
  </si>
  <si>
    <t>EXE )H)</t>
  </si>
  <si>
    <t>Enoch OPOKU GYAMFI</t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</si>
  <si>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</si>
  <si>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</si>
  <si>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</si>
  <si>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</si>
  <si>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</si>
  <si>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CAS (A)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</si>
  <si>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</si>
  <si>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</si>
  <si>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</si>
  <si>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EDI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</si>
  <si>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</si>
  <si>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BUL (A)</t>
  </si>
  <si>
    <t>SHA (H)</t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</si>
  <si>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</si>
  <si>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</si>
  <si>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STO (H)</t>
  </si>
  <si>
    <t>UBB (A)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</si>
  <si>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</si>
  <si>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TLS (H)</t>
  </si>
  <si>
    <r>
      <t>12</t>
    </r>
    <r>
      <rPr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</si>
  <si>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</si>
  <si>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SFP (A)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</si>
  <si>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</si>
  <si>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t>PPN (H)</t>
  </si>
  <si>
    <t>DRA (A)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</si>
  <si>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</si>
  <si>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CAR (H)</t>
  </si>
  <si>
    <t>EDI (H)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</si>
  <si>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</si>
  <si>
    <t>STO (A)</t>
  </si>
  <si>
    <t>TLS (A)</t>
  </si>
  <si>
    <t>TLN (H)</t>
  </si>
  <si>
    <t>UBB (H)</t>
  </si>
  <si>
    <t>SCA (H)</t>
  </si>
  <si>
    <t>GLA (A)</t>
  </si>
  <si>
    <r>
      <t>7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</si>
  <si>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0 TRIES SCO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</si>
  <si>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rgb="FF00B0F0"/>
        <rFont val="Calibri"/>
        <family val="2"/>
        <scheme val="minor"/>
      </rPr>
      <t>R</t>
    </r>
  </si>
  <si>
    <t>*Johann VAN GRAAN</t>
  </si>
  <si>
    <t>*van Graan PREM record includes match v Wasps in Sep 2022 expunged from league table</t>
  </si>
  <si>
    <t>Kepu TUIPULOTU</t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</si>
  <si>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</si>
  <si>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</si>
  <si>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rgb="FFE6AF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</si>
  <si>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</si>
  <si>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</si>
  <si>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*Pat LAM</t>
  </si>
  <si>
    <t>*Lam PREM record includes match v Wasps in Sep 2022 expunged from league table &amp; excludes cancelled matches</t>
  </si>
  <si>
    <t>*Skivington PREM record includes match v Wasps in Sep 2022 expunged from league table &amp; excludes cancelled matches</t>
  </si>
  <si>
    <t>*George SKIVINGTON</t>
  </si>
  <si>
    <t>*Dowson PREM record includes match v Wasps in Oct 2022 expunged from league table</t>
  </si>
  <si>
    <t>*Rob BAXTER</t>
  </si>
  <si>
    <t>*Phil DOWSON</t>
  </si>
  <si>
    <t>Oliver SCOLA</t>
  </si>
  <si>
    <t>Josh MANZ</t>
  </si>
  <si>
    <t>Bryn GORDON</t>
  </si>
  <si>
    <t>George BOLAM</t>
  </si>
  <si>
    <t>Fraser RENWICK</t>
  </si>
  <si>
    <t>HAWICK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</si>
  <si>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</si>
  <si>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ENG U20</t>
  </si>
  <si>
    <t>Ben MORROW</t>
  </si>
  <si>
    <r>
      <t>14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</si>
  <si>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</si>
  <si>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Charlie ULCOQ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</si>
  <si>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</si>
  <si>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KELLEHER</t>
  </si>
  <si>
    <t>CRK CON</t>
  </si>
  <si>
    <t>Freddie ST JOHN</t>
  </si>
  <si>
    <t>SCO A</t>
  </si>
  <si>
    <r>
      <t>9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</si>
  <si>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Wilf McCARTHY</t>
  </si>
  <si>
    <t>Kesena IZU</t>
  </si>
  <si>
    <t>*Baxter PREM record includes match v Worcester in Sep 2022 expunged from league table &amp; excludes cancelled matches. He also coached Exeter in the second tier</t>
  </si>
  <si>
    <t>Alfie BELL</t>
  </si>
  <si>
    <t>George NEWMAN</t>
  </si>
  <si>
    <t>Ollie HARRIS</t>
  </si>
  <si>
    <r>
      <t>2</t>
    </r>
    <r>
      <rPr>
        <b/>
        <sz val="12"/>
        <color rgb="FFFFC000"/>
        <rFont val="Calibri"/>
        <family val="2"/>
        <scheme val="minor"/>
      </rPr>
      <t>c</t>
    </r>
  </si>
  <si>
    <t>Charlie POWELL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</si>
  <si>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</si>
  <si>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Manaaki BOYLE-TIATIA</t>
  </si>
  <si>
    <t>WAIKATO</t>
  </si>
  <si>
    <t>James CHERRY</t>
  </si>
  <si>
    <t>NHB</t>
  </si>
  <si>
    <t>JN LOAN</t>
  </si>
  <si>
    <t>Vilikesa NAIRAU</t>
  </si>
  <si>
    <t>Mathis DEHAUTEUR</t>
  </si>
  <si>
    <t>Seva KAVA</t>
  </si>
  <si>
    <t>Oisin McCORMACK</t>
  </si>
  <si>
    <t>CON</t>
  </si>
  <si>
    <t>Barry LANGTON-CRYER</t>
  </si>
  <si>
    <t>DRA</t>
  </si>
  <si>
    <t>Jack DOOREY-PALMER</t>
  </si>
  <si>
    <t>Luke YENDLE</t>
  </si>
  <si>
    <t>Sebi KRIPPNER</t>
  </si>
  <si>
    <t>Jack HARRISON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</si>
  <si>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</si>
  <si>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BENNETT</t>
  </si>
  <si>
    <t>Tyler MASON</t>
  </si>
  <si>
    <t>Jerold GORLEKU</t>
  </si>
  <si>
    <t>Jack LEWIS</t>
  </si>
  <si>
    <t>Ben ALEXANDER</t>
  </si>
  <si>
    <t>OAS</t>
  </si>
  <si>
    <t>GUEST</t>
  </si>
  <si>
    <t>Joe COWELL</t>
  </si>
  <si>
    <t>CAR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</si>
  <si>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</si>
  <si>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Raff WESTON</t>
  </si>
  <si>
    <r>
      <t>4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</si>
  <si>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</si>
  <si>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Charlie MYALL</t>
  </si>
  <si>
    <t>WAL U20</t>
  </si>
  <si>
    <r>
      <t>R</t>
    </r>
    <r>
      <rPr>
        <sz val="12"/>
        <color theme="7" tint="0.39997558519241921"/>
        <rFont val="Calibri"/>
        <family val="2"/>
        <scheme val="minor"/>
      </rPr>
      <t>deb</t>
    </r>
  </si>
  <si>
    <t>ITA U20</t>
  </si>
  <si>
    <t>Callum BRALEY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</si>
  <si>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</si>
  <si>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</si>
  <si>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</si>
  <si>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Joe JONES</t>
  </si>
  <si>
    <t>3debR</t>
  </si>
  <si>
    <t>Sam BLAND</t>
  </si>
  <si>
    <t>Ben MURPHY</t>
  </si>
  <si>
    <t>Alessandro HEANEY</t>
  </si>
  <si>
    <t>James MALONEY</t>
  </si>
  <si>
    <t>Jack GRANT</t>
  </si>
  <si>
    <t>Rfh</t>
  </si>
  <si>
    <t>Will DAVIES-KING</t>
  </si>
  <si>
    <t>Inj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</si>
</sst>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6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 (Body)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9" tint="-0.249977111117893"/>
      <name val="Calibri (Body)"/>
    </font>
    <font>
      <b/>
      <sz val="2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2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theme="7" tint="0.3999755851924192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theme="5" tint="0.39997558519241921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92D05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rgb="FFFF212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F0"/>
      <name val="Calibri (Body)"/>
    </font>
    <font>
      <sz val="11"/>
      <color rgb="FF00B0F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rgb="FFBFBFBF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2"/>
      <color theme="5" tint="0.3999755851924192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2"/>
      <color theme="9" tint="0.39997558519241921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rgb="FFE6AF00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11"/>
      <color rgb="FF92D050"/>
      <name val="Calibri (Body)"/>
    </font>
    <font>
      <b/>
      <sz val="16"/>
      <color theme="5" tint="0.39997558519241921"/>
      <name val="Calibri"/>
      <family val="2"/>
      <scheme val="minor"/>
    </font>
    <font>
      <sz val="16"/>
      <color theme="0" tint="-0.249977111117893"/>
      <name val="Calibri"/>
      <family val="2"/>
      <scheme val="minor"/>
    </font>
    <font>
      <sz val="11"/>
      <color rgb="FFBFBFBF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sz val="12"/>
      <color theme="7" tint="0.3999755851924192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7E39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936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1" fillId="2" borderId="0" xfId="0" applyFont="1" applyFill="1"/>
    <xf numFmtId="0" fontId="12" fillId="2" borderId="0" xfId="0" applyFont="1" applyFill="1"/>
    <xf numFmtId="17" fontId="13" fillId="3" borderId="1" xfId="0" applyNumberFormat="1" applyFont="1" applyFill="1" applyBorder="1" applyAlignment="1">
      <alignment horizontal="center"/>
    </xf>
    <xf numFmtId="17" fontId="13" fillId="3" borderId="2" xfId="0" applyNumberFormat="1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7" fontId="14" fillId="7" borderId="7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5" fillId="0" borderId="0" xfId="0" applyFont="1"/>
    <xf numFmtId="0" fontId="13" fillId="3" borderId="11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6" fillId="0" borderId="0" xfId="0" applyFont="1"/>
    <xf numFmtId="0" fontId="13" fillId="3" borderId="13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/>
    <xf numFmtId="0" fontId="7" fillId="0" borderId="0" xfId="0" applyFont="1"/>
    <xf numFmtId="0" fontId="8" fillId="0" borderId="0" xfId="0" applyFont="1"/>
    <xf numFmtId="0" fontId="2" fillId="3" borderId="8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17" fontId="14" fillId="3" borderId="7" xfId="0" applyNumberFormat="1" applyFont="1" applyFill="1" applyBorder="1" applyAlignment="1">
      <alignment horizontal="center"/>
    </xf>
    <xf numFmtId="0" fontId="19" fillId="8" borderId="0" xfId="0" applyFont="1" applyFill="1" applyAlignment="1">
      <alignment horizontal="right"/>
    </xf>
    <xf numFmtId="0" fontId="2" fillId="8" borderId="0" xfId="0" applyFont="1" applyFill="1" applyAlignment="1">
      <alignment horizontal="right"/>
    </xf>
    <xf numFmtId="0" fontId="2" fillId="8" borderId="6" xfId="0" applyFont="1" applyFill="1" applyBorder="1" applyAlignment="1">
      <alignment horizontal="right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8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7" fontId="13" fillId="6" borderId="1" xfId="0" applyNumberFormat="1" applyFont="1" applyFill="1" applyBorder="1" applyAlignment="1">
      <alignment horizontal="center"/>
    </xf>
    <xf numFmtId="0" fontId="0" fillId="2" borderId="0" xfId="0" applyFill="1"/>
    <xf numFmtId="0" fontId="13" fillId="8" borderId="11" xfId="0" applyFont="1" applyFill="1" applyBorder="1" applyAlignment="1">
      <alignment horizontal="center"/>
    </xf>
    <xf numFmtId="17" fontId="13" fillId="9" borderId="1" xfId="0" applyNumberFormat="1" applyFont="1" applyFill="1" applyBorder="1" applyAlignment="1">
      <alignment horizontal="center"/>
    </xf>
    <xf numFmtId="17" fontId="13" fillId="9" borderId="2" xfId="0" applyNumberFormat="1" applyFont="1" applyFill="1" applyBorder="1" applyAlignment="1">
      <alignment horizontal="center"/>
    </xf>
    <xf numFmtId="0" fontId="1" fillId="0" borderId="0" xfId="0" applyFont="1"/>
    <xf numFmtId="0" fontId="12" fillId="0" borderId="0" xfId="0" applyFont="1"/>
    <xf numFmtId="0" fontId="6" fillId="8" borderId="9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19" fillId="8" borderId="3" xfId="0" applyFont="1" applyFill="1" applyBorder="1" applyAlignment="1">
      <alignment horizontal="right"/>
    </xf>
    <xf numFmtId="0" fontId="2" fillId="8" borderId="15" xfId="0" applyFont="1" applyFill="1" applyBorder="1" applyAlignment="1">
      <alignment horizontal="right"/>
    </xf>
    <xf numFmtId="0" fontId="2" fillId="8" borderId="5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14" fillId="11" borderId="8" xfId="0" applyFont="1" applyFill="1" applyBorder="1" applyAlignment="1">
      <alignment horizontal="center"/>
    </xf>
    <xf numFmtId="0" fontId="14" fillId="11" borderId="7" xfId="0" applyFont="1" applyFill="1" applyBorder="1" applyAlignment="1">
      <alignment horizontal="center"/>
    </xf>
    <xf numFmtId="17" fontId="1" fillId="11" borderId="1" xfId="0" applyNumberFormat="1" applyFont="1" applyFill="1" applyBorder="1" applyAlignment="1">
      <alignment horizontal="center"/>
    </xf>
    <xf numFmtId="0" fontId="20" fillId="8" borderId="0" xfId="0" applyFont="1" applyFill="1"/>
    <xf numFmtId="0" fontId="6" fillId="8" borderId="11" xfId="0" applyFont="1" applyFill="1" applyBorder="1" applyAlignment="1">
      <alignment horizontal="center"/>
    </xf>
    <xf numFmtId="0" fontId="13" fillId="13" borderId="18" xfId="0" applyFont="1" applyFill="1" applyBorder="1" applyAlignment="1">
      <alignment horizontal="center"/>
    </xf>
    <xf numFmtId="0" fontId="13" fillId="13" borderId="24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12" borderId="18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13" fillId="3" borderId="23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0" fontId="10" fillId="10" borderId="18" xfId="0" applyFont="1" applyFill="1" applyBorder="1" applyAlignment="1">
      <alignment horizontal="center"/>
    </xf>
    <xf numFmtId="0" fontId="28" fillId="3" borderId="18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2" fillId="3" borderId="6" xfId="0" applyFont="1" applyFill="1" applyBorder="1" applyAlignment="1">
      <alignment horizontal="right"/>
    </xf>
    <xf numFmtId="0" fontId="15" fillId="7" borderId="17" xfId="0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0" fontId="5" fillId="5" borderId="28" xfId="0" applyFont="1" applyFill="1" applyBorder="1" applyAlignment="1">
      <alignment horizontal="right"/>
    </xf>
    <xf numFmtId="0" fontId="9" fillId="5" borderId="28" xfId="0" applyFont="1" applyFill="1" applyBorder="1" applyAlignment="1">
      <alignment horizontal="right"/>
    </xf>
    <xf numFmtId="0" fontId="9" fillId="5" borderId="0" xfId="0" applyFont="1" applyFill="1" applyAlignment="1">
      <alignment horizontal="right"/>
    </xf>
    <xf numFmtId="0" fontId="9" fillId="5" borderId="29" xfId="0" applyFont="1" applyFill="1" applyBorder="1" applyAlignment="1">
      <alignment horizontal="right"/>
    </xf>
    <xf numFmtId="0" fontId="5" fillId="5" borderId="27" xfId="0" applyFont="1" applyFill="1" applyBorder="1" applyAlignment="1">
      <alignment horizontal="right"/>
    </xf>
    <xf numFmtId="0" fontId="10" fillId="5" borderId="28" xfId="0" applyFont="1" applyFill="1" applyBorder="1" applyAlignment="1">
      <alignment horizontal="right"/>
    </xf>
    <xf numFmtId="0" fontId="10" fillId="5" borderId="29" xfId="0" applyFont="1" applyFill="1" applyBorder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4" xfId="0" applyFont="1" applyFill="1" applyBorder="1" applyAlignment="1">
      <alignment horizontal="right"/>
    </xf>
    <xf numFmtId="0" fontId="10" fillId="5" borderId="0" xfId="0" applyFont="1" applyFill="1" applyAlignment="1">
      <alignment horizontal="right"/>
    </xf>
    <xf numFmtId="0" fontId="10" fillId="5" borderId="6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right"/>
    </xf>
    <xf numFmtId="0" fontId="9" fillId="5" borderId="15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center"/>
    </xf>
    <xf numFmtId="0" fontId="30" fillId="5" borderId="0" xfId="0" applyFont="1" applyFill="1" applyAlignment="1">
      <alignment horizontal="center"/>
    </xf>
    <xf numFmtId="0" fontId="30" fillId="3" borderId="11" xfId="0" applyFont="1" applyFill="1" applyBorder="1" applyAlignment="1">
      <alignment horizontal="center"/>
    </xf>
    <xf numFmtId="0" fontId="30" fillId="5" borderId="11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31" fillId="5" borderId="11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5" borderId="0" xfId="0" applyFont="1" applyFill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/>
    </xf>
    <xf numFmtId="0" fontId="30" fillId="5" borderId="13" xfId="0" applyFont="1" applyFill="1" applyBorder="1" applyAlignment="1">
      <alignment horizontal="center"/>
    </xf>
    <xf numFmtId="0" fontId="30" fillId="5" borderId="6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30" fillId="3" borderId="14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31" fillId="5" borderId="13" xfId="0" applyFont="1" applyFill="1" applyBorder="1" applyAlignment="1">
      <alignment horizontal="center"/>
    </xf>
    <xf numFmtId="0" fontId="31" fillId="5" borderId="14" xfId="0" applyFont="1" applyFill="1" applyBorder="1" applyAlignment="1">
      <alignment horizontal="center"/>
    </xf>
    <xf numFmtId="0" fontId="27" fillId="3" borderId="14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0" fontId="30" fillId="5" borderId="12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/>
    </xf>
    <xf numFmtId="0" fontId="32" fillId="5" borderId="10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18" xfId="0" applyFont="1" applyFill="1" applyBorder="1" applyAlignment="1">
      <alignment horizontal="center"/>
    </xf>
    <xf numFmtId="0" fontId="27" fillId="3" borderId="13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5" borderId="22" xfId="0" applyFont="1" applyFill="1" applyBorder="1"/>
    <xf numFmtId="0" fontId="31" fillId="5" borderId="25" xfId="0" applyFont="1" applyFill="1" applyBorder="1"/>
    <xf numFmtId="0" fontId="31" fillId="5" borderId="22" xfId="0" applyFont="1" applyFill="1" applyBorder="1"/>
    <xf numFmtId="0" fontId="35" fillId="5" borderId="25" xfId="0" applyFont="1" applyFill="1" applyBorder="1"/>
    <xf numFmtId="0" fontId="35" fillId="5" borderId="22" xfId="0" applyFont="1" applyFill="1" applyBorder="1"/>
    <xf numFmtId="0" fontId="31" fillId="5" borderId="0" xfId="0" applyFont="1" applyFill="1" applyAlignment="1">
      <alignment horizontal="center"/>
    </xf>
    <xf numFmtId="0" fontId="35" fillId="5" borderId="11" xfId="0" applyFont="1" applyFill="1" applyBorder="1" applyAlignment="1">
      <alignment horizontal="center"/>
    </xf>
    <xf numFmtId="0" fontId="37" fillId="5" borderId="25" xfId="0" applyFont="1" applyFill="1" applyBorder="1"/>
    <xf numFmtId="0" fontId="37" fillId="5" borderId="22" xfId="0" applyFont="1" applyFill="1" applyBorder="1"/>
    <xf numFmtId="0" fontId="35" fillId="5" borderId="9" xfId="0" applyFont="1" applyFill="1" applyBorder="1" applyAlignment="1">
      <alignment horizontal="center"/>
    </xf>
    <xf numFmtId="0" fontId="35" fillId="5" borderId="10" xfId="0" applyFont="1" applyFill="1" applyBorder="1" applyAlignment="1">
      <alignment horizontal="center"/>
    </xf>
    <xf numFmtId="0" fontId="27" fillId="5" borderId="23" xfId="0" applyFont="1" applyFill="1" applyBorder="1"/>
    <xf numFmtId="0" fontId="31" fillId="5" borderId="24" xfId="0" applyFont="1" applyFill="1" applyBorder="1"/>
    <xf numFmtId="0" fontId="31" fillId="5" borderId="23" xfId="0" applyFont="1" applyFill="1" applyBorder="1"/>
    <xf numFmtId="0" fontId="35" fillId="5" borderId="24" xfId="0" applyFont="1" applyFill="1" applyBorder="1"/>
    <xf numFmtId="0" fontId="35" fillId="5" borderId="23" xfId="0" applyFont="1" applyFill="1" applyBorder="1"/>
    <xf numFmtId="0" fontId="31" fillId="5" borderId="6" xfId="0" applyFont="1" applyFill="1" applyBorder="1" applyAlignment="1">
      <alignment horizontal="center"/>
    </xf>
    <xf numFmtId="0" fontId="35" fillId="5" borderId="14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0" fontId="27" fillId="5" borderId="21" xfId="0" applyFont="1" applyFill="1" applyBorder="1"/>
    <xf numFmtId="0" fontId="31" fillId="5" borderId="26" xfId="0" applyFont="1" applyFill="1" applyBorder="1"/>
    <xf numFmtId="0" fontId="31" fillId="5" borderId="21" xfId="0" applyFont="1" applyFill="1" applyBorder="1"/>
    <xf numFmtId="0" fontId="35" fillId="5" borderId="26" xfId="0" applyFont="1" applyFill="1" applyBorder="1"/>
    <xf numFmtId="0" fontId="35" fillId="5" borderId="21" xfId="0" applyFont="1" applyFill="1" applyBorder="1"/>
    <xf numFmtId="0" fontId="31" fillId="5" borderId="4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right"/>
    </xf>
    <xf numFmtId="0" fontId="31" fillId="5" borderId="0" xfId="0" applyFont="1" applyFill="1" applyAlignment="1">
      <alignment horizontal="right"/>
    </xf>
    <xf numFmtId="0" fontId="31" fillId="5" borderId="6" xfId="0" applyFont="1" applyFill="1" applyBorder="1" applyAlignment="1">
      <alignment horizontal="right"/>
    </xf>
    <xf numFmtId="0" fontId="31" fillId="5" borderId="13" xfId="0" applyFont="1" applyFill="1" applyBorder="1" applyAlignment="1">
      <alignment horizontal="right"/>
    </xf>
    <xf numFmtId="0" fontId="39" fillId="5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27" fillId="5" borderId="20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5" borderId="19" xfId="0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41" fillId="5" borderId="25" xfId="0" applyFont="1" applyFill="1" applyBorder="1"/>
    <xf numFmtId="0" fontId="41" fillId="5" borderId="22" xfId="0" applyFont="1" applyFill="1" applyBorder="1"/>
    <xf numFmtId="0" fontId="27" fillId="3" borderId="4" xfId="0" applyFont="1" applyFill="1" applyBorder="1"/>
    <xf numFmtId="0" fontId="31" fillId="3" borderId="4" xfId="0" applyFont="1" applyFill="1" applyBorder="1"/>
    <xf numFmtId="0" fontId="42" fillId="3" borderId="0" xfId="0" applyFont="1" applyFill="1"/>
    <xf numFmtId="0" fontId="31" fillId="3" borderId="0" xfId="0" applyFont="1" applyFill="1"/>
    <xf numFmtId="0" fontId="27" fillId="5" borderId="16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0" fontId="35" fillId="5" borderId="12" xfId="0" applyFont="1" applyFill="1" applyBorder="1" applyAlignment="1">
      <alignment horizontal="center"/>
    </xf>
    <xf numFmtId="0" fontId="35" fillId="5" borderId="13" xfId="0" applyFont="1" applyFill="1" applyBorder="1" applyAlignment="1">
      <alignment horizontal="center"/>
    </xf>
    <xf numFmtId="0" fontId="35" fillId="5" borderId="30" xfId="0" applyFont="1" applyFill="1" applyBorder="1"/>
    <xf numFmtId="0" fontId="30" fillId="3" borderId="12" xfId="0" applyFont="1" applyFill="1" applyBorder="1" applyAlignment="1">
      <alignment horizontal="center"/>
    </xf>
    <xf numFmtId="0" fontId="31" fillId="5" borderId="12" xfId="0" applyFont="1" applyFill="1" applyBorder="1" applyAlignment="1">
      <alignment horizontal="center"/>
    </xf>
    <xf numFmtId="0" fontId="31" fillId="5" borderId="19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0" fillId="5" borderId="20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right"/>
    </xf>
    <xf numFmtId="0" fontId="31" fillId="5" borderId="12" xfId="0" applyFont="1" applyFill="1" applyBorder="1" applyAlignment="1">
      <alignment horizontal="right"/>
    </xf>
    <xf numFmtId="0" fontId="36" fillId="5" borderId="9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44" fillId="5" borderId="9" xfId="0" applyFont="1" applyFill="1" applyBorder="1" applyAlignment="1">
      <alignment horizontal="center"/>
    </xf>
    <xf numFmtId="0" fontId="44" fillId="3" borderId="9" xfId="0" applyFont="1" applyFill="1" applyBorder="1" applyAlignment="1">
      <alignment horizontal="center"/>
    </xf>
    <xf numFmtId="0" fontId="36" fillId="5" borderId="10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/>
    </xf>
    <xf numFmtId="0" fontId="44" fillId="3" borderId="10" xfId="0" applyFont="1" applyFill="1" applyBorder="1" applyAlignment="1">
      <alignment horizontal="center"/>
    </xf>
    <xf numFmtId="0" fontId="44" fillId="5" borderId="10" xfId="0" applyFont="1" applyFill="1" applyBorder="1" applyAlignment="1">
      <alignment horizontal="center"/>
    </xf>
    <xf numFmtId="0" fontId="37" fillId="5" borderId="24" xfId="0" applyFont="1" applyFill="1" applyBorder="1"/>
    <xf numFmtId="0" fontId="37" fillId="5" borderId="23" xfId="0" applyFont="1" applyFill="1" applyBorder="1"/>
    <xf numFmtId="0" fontId="41" fillId="5" borderId="24" xfId="0" applyFont="1" applyFill="1" applyBorder="1"/>
    <xf numFmtId="0" fontId="41" fillId="5" borderId="23" xfId="0" applyFont="1" applyFill="1" applyBorder="1"/>
    <xf numFmtId="0" fontId="36" fillId="5" borderId="6" xfId="0" applyFont="1" applyFill="1" applyBorder="1" applyAlignment="1">
      <alignment horizontal="center"/>
    </xf>
    <xf numFmtId="0" fontId="44" fillId="5" borderId="13" xfId="0" applyFont="1" applyFill="1" applyBorder="1" applyAlignment="1">
      <alignment horizontal="center"/>
    </xf>
    <xf numFmtId="0" fontId="44" fillId="5" borderId="14" xfId="0" applyFont="1" applyFill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37" fillId="5" borderId="14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19" fillId="8" borderId="19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right"/>
    </xf>
    <xf numFmtId="0" fontId="2" fillId="8" borderId="18" xfId="0" applyFont="1" applyFill="1" applyBorder="1" applyAlignment="1">
      <alignment horizontal="right"/>
    </xf>
    <xf numFmtId="0" fontId="27" fillId="4" borderId="19" xfId="0" applyFont="1" applyFill="1" applyBorder="1"/>
    <xf numFmtId="0" fontId="36" fillId="4" borderId="19" xfId="0" applyFont="1" applyFill="1" applyBorder="1"/>
    <xf numFmtId="1" fontId="36" fillId="4" borderId="19" xfId="0" applyNumberFormat="1" applyFont="1" applyFill="1" applyBorder="1"/>
    <xf numFmtId="0" fontId="27" fillId="4" borderId="18" xfId="0" applyFont="1" applyFill="1" applyBorder="1"/>
    <xf numFmtId="0" fontId="27" fillId="4" borderId="20" xfId="0" applyFont="1" applyFill="1" applyBorder="1"/>
    <xf numFmtId="0" fontId="27" fillId="3" borderId="22" xfId="0" applyFont="1" applyFill="1" applyBorder="1"/>
    <xf numFmtId="0" fontId="36" fillId="3" borderId="22" xfId="0" applyFont="1" applyFill="1" applyBorder="1"/>
    <xf numFmtId="1" fontId="36" fillId="3" borderId="22" xfId="0" applyNumberFormat="1" applyFont="1" applyFill="1" applyBorder="1"/>
    <xf numFmtId="0" fontId="27" fillId="3" borderId="23" xfId="0" applyFont="1" applyFill="1" applyBorder="1"/>
    <xf numFmtId="0" fontId="27" fillId="3" borderId="21" xfId="0" applyFont="1" applyFill="1" applyBorder="1"/>
    <xf numFmtId="0" fontId="46" fillId="10" borderId="19" xfId="0" applyFont="1" applyFill="1" applyBorder="1"/>
    <xf numFmtId="0" fontId="46" fillId="10" borderId="18" xfId="0" applyFont="1" applyFill="1" applyBorder="1"/>
    <xf numFmtId="0" fontId="47" fillId="10" borderId="19" xfId="0" applyFont="1" applyFill="1" applyBorder="1"/>
    <xf numFmtId="1" fontId="47" fillId="10" borderId="19" xfId="0" applyNumberFormat="1" applyFont="1" applyFill="1" applyBorder="1"/>
    <xf numFmtId="0" fontId="46" fillId="10" borderId="20" xfId="0" applyFont="1" applyFill="1" applyBorder="1"/>
    <xf numFmtId="0" fontId="46" fillId="10" borderId="9" xfId="0" applyFont="1" applyFill="1" applyBorder="1" applyAlignment="1">
      <alignment horizontal="right"/>
    </xf>
    <xf numFmtId="0" fontId="46" fillId="10" borderId="13" xfId="0" applyFont="1" applyFill="1" applyBorder="1" applyAlignment="1">
      <alignment horizontal="right"/>
    </xf>
    <xf numFmtId="0" fontId="46" fillId="10" borderId="12" xfId="0" applyFont="1" applyFill="1" applyBorder="1" applyAlignment="1">
      <alignment horizontal="right"/>
    </xf>
    <xf numFmtId="0" fontId="27" fillId="3" borderId="9" xfId="0" applyFont="1" applyFill="1" applyBorder="1" applyAlignment="1">
      <alignment horizontal="right"/>
    </xf>
    <xf numFmtId="0" fontId="27" fillId="3" borderId="13" xfId="0" applyFont="1" applyFill="1" applyBorder="1" applyAlignment="1">
      <alignment horizontal="right"/>
    </xf>
    <xf numFmtId="0" fontId="27" fillId="3" borderId="12" xfId="0" applyFont="1" applyFill="1" applyBorder="1" applyAlignment="1">
      <alignment horizontal="right"/>
    </xf>
    <xf numFmtId="0" fontId="47" fillId="10" borderId="9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right"/>
    </xf>
    <xf numFmtId="0" fontId="27" fillId="3" borderId="30" xfId="0" applyFont="1" applyFill="1" applyBorder="1"/>
    <xf numFmtId="0" fontId="30" fillId="3" borderId="16" xfId="0" applyFont="1" applyFill="1" applyBorder="1" applyAlignment="1">
      <alignment horizontal="center"/>
    </xf>
    <xf numFmtId="0" fontId="17" fillId="5" borderId="28" xfId="0" applyFont="1" applyFill="1" applyBorder="1" applyAlignment="1">
      <alignment horizontal="right"/>
    </xf>
    <xf numFmtId="1" fontId="37" fillId="5" borderId="25" xfId="0" applyNumberFormat="1" applyFont="1" applyFill="1" applyBorder="1"/>
    <xf numFmtId="1" fontId="37" fillId="5" borderId="22" xfId="0" applyNumberFormat="1" applyFont="1" applyFill="1" applyBorder="1"/>
    <xf numFmtId="0" fontId="30" fillId="3" borderId="20" xfId="0" applyFont="1" applyFill="1" applyBorder="1" applyAlignment="1">
      <alignment horizontal="center"/>
    </xf>
    <xf numFmtId="0" fontId="30" fillId="3" borderId="19" xfId="0" applyFont="1" applyFill="1" applyBorder="1" applyAlignment="1">
      <alignment horizontal="center"/>
    </xf>
    <xf numFmtId="0" fontId="27" fillId="12" borderId="19" xfId="0" applyFont="1" applyFill="1" applyBorder="1"/>
    <xf numFmtId="0" fontId="36" fillId="12" borderId="19" xfId="0" applyFont="1" applyFill="1" applyBorder="1"/>
    <xf numFmtId="0" fontId="27" fillId="12" borderId="18" xfId="0" applyFont="1" applyFill="1" applyBorder="1"/>
    <xf numFmtId="1" fontId="36" fillId="12" borderId="19" xfId="0" applyNumberFormat="1" applyFont="1" applyFill="1" applyBorder="1"/>
    <xf numFmtId="0" fontId="27" fillId="12" borderId="20" xfId="0" applyFont="1" applyFill="1" applyBorder="1"/>
    <xf numFmtId="0" fontId="48" fillId="3" borderId="19" xfId="0" applyFont="1" applyFill="1" applyBorder="1"/>
    <xf numFmtId="0" fontId="27" fillId="3" borderId="16" xfId="0" applyFont="1" applyFill="1" applyBorder="1" applyAlignment="1">
      <alignment horizontal="center"/>
    </xf>
    <xf numFmtId="0" fontId="29" fillId="5" borderId="28" xfId="0" applyFont="1" applyFill="1" applyBorder="1" applyAlignment="1">
      <alignment horizontal="right"/>
    </xf>
    <xf numFmtId="0" fontId="49" fillId="3" borderId="19" xfId="0" applyFont="1" applyFill="1" applyBorder="1"/>
    <xf numFmtId="0" fontId="50" fillId="3" borderId="19" xfId="0" applyFont="1" applyFill="1" applyBorder="1"/>
    <xf numFmtId="1" fontId="50" fillId="3" borderId="19" xfId="0" applyNumberFormat="1" applyFont="1" applyFill="1" applyBorder="1"/>
    <xf numFmtId="0" fontId="49" fillId="3" borderId="18" xfId="0" applyFont="1" applyFill="1" applyBorder="1"/>
    <xf numFmtId="0" fontId="49" fillId="3" borderId="20" xfId="0" applyFont="1" applyFill="1" applyBorder="1"/>
    <xf numFmtId="0" fontId="49" fillId="3" borderId="19" xfId="0" applyFont="1" applyFill="1" applyBorder="1" applyAlignment="1">
      <alignment horizontal="right"/>
    </xf>
    <xf numFmtId="0" fontId="49" fillId="3" borderId="18" xfId="0" applyFont="1" applyFill="1" applyBorder="1" applyAlignment="1">
      <alignment horizontal="right"/>
    </xf>
    <xf numFmtId="0" fontId="50" fillId="3" borderId="19" xfId="0" applyFont="1" applyFill="1" applyBorder="1" applyAlignment="1">
      <alignment horizontal="right"/>
    </xf>
    <xf numFmtId="0" fontId="49" fillId="3" borderId="20" xfId="0" applyFont="1" applyFill="1" applyBorder="1" applyAlignment="1">
      <alignment horizontal="center"/>
    </xf>
    <xf numFmtId="0" fontId="49" fillId="3" borderId="19" xfId="0" applyFont="1" applyFill="1" applyBorder="1" applyAlignment="1">
      <alignment horizontal="center"/>
    </xf>
    <xf numFmtId="0" fontId="49" fillId="3" borderId="31" xfId="0" applyFont="1" applyFill="1" applyBorder="1" applyAlignment="1">
      <alignment horizontal="center"/>
    </xf>
    <xf numFmtId="0" fontId="29" fillId="5" borderId="29" xfId="0" applyFont="1" applyFill="1" applyBorder="1" applyAlignment="1">
      <alignment horizontal="right"/>
    </xf>
    <xf numFmtId="0" fontId="44" fillId="3" borderId="13" xfId="0" applyFont="1" applyFill="1" applyBorder="1" applyAlignment="1">
      <alignment horizontal="center"/>
    </xf>
    <xf numFmtId="0" fontId="27" fillId="13" borderId="19" xfId="0" applyFont="1" applyFill="1" applyBorder="1"/>
    <xf numFmtId="0" fontId="36" fillId="13" borderId="19" xfId="0" applyFont="1" applyFill="1" applyBorder="1"/>
    <xf numFmtId="0" fontId="27" fillId="13" borderId="18" xfId="0" applyFont="1" applyFill="1" applyBorder="1"/>
    <xf numFmtId="1" fontId="36" fillId="13" borderId="19" xfId="0" applyNumberFormat="1" applyFont="1" applyFill="1" applyBorder="1"/>
    <xf numFmtId="0" fontId="27" fillId="13" borderId="20" xfId="0" applyFont="1" applyFill="1" applyBorder="1"/>
    <xf numFmtId="0" fontId="39" fillId="3" borderId="19" xfId="0" applyFont="1" applyFill="1" applyBorder="1"/>
    <xf numFmtId="0" fontId="45" fillId="3" borderId="19" xfId="0" applyFont="1" applyFill="1" applyBorder="1"/>
    <xf numFmtId="1" fontId="45" fillId="3" borderId="19" xfId="0" applyNumberFormat="1" applyFont="1" applyFill="1" applyBorder="1"/>
    <xf numFmtId="0" fontId="39" fillId="3" borderId="18" xfId="0" applyFont="1" applyFill="1" applyBorder="1"/>
    <xf numFmtId="0" fontId="45" fillId="3" borderId="19" xfId="0" applyFont="1" applyFill="1" applyBorder="1" applyAlignment="1">
      <alignment horizontal="right"/>
    </xf>
    <xf numFmtId="0" fontId="39" fillId="3" borderId="20" xfId="0" applyFont="1" applyFill="1" applyBorder="1"/>
    <xf numFmtId="0" fontId="39" fillId="3" borderId="20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27" fillId="6" borderId="19" xfId="0" applyFont="1" applyFill="1" applyBorder="1"/>
    <xf numFmtId="0" fontId="36" fillId="6" borderId="19" xfId="0" applyFont="1" applyFill="1" applyBorder="1"/>
    <xf numFmtId="0" fontId="27" fillId="6" borderId="18" xfId="0" applyFont="1" applyFill="1" applyBorder="1"/>
    <xf numFmtId="1" fontId="36" fillId="6" borderId="19" xfId="0" applyNumberFormat="1" applyFont="1" applyFill="1" applyBorder="1"/>
    <xf numFmtId="1" fontId="36" fillId="6" borderId="19" xfId="0" applyNumberFormat="1" applyFont="1" applyFill="1" applyBorder="1" applyAlignment="1">
      <alignment horizontal="right"/>
    </xf>
    <xf numFmtId="0" fontId="27" fillId="6" borderId="20" xfId="0" applyFont="1" applyFill="1" applyBorder="1"/>
    <xf numFmtId="0" fontId="27" fillId="6" borderId="19" xfId="0" applyFont="1" applyFill="1" applyBorder="1" applyAlignment="1">
      <alignment horizontal="right"/>
    </xf>
    <xf numFmtId="0" fontId="27" fillId="6" borderId="18" xfId="0" applyFont="1" applyFill="1" applyBorder="1" applyAlignment="1">
      <alignment horizontal="right"/>
    </xf>
    <xf numFmtId="0" fontId="13" fillId="6" borderId="18" xfId="0" applyFont="1" applyFill="1" applyBorder="1" applyAlignment="1">
      <alignment horizontal="center"/>
    </xf>
    <xf numFmtId="0" fontId="27" fillId="6" borderId="20" xfId="0" applyFont="1" applyFill="1" applyBorder="1" applyAlignment="1">
      <alignment horizontal="center"/>
    </xf>
    <xf numFmtId="0" fontId="27" fillId="6" borderId="19" xfId="0" applyFont="1" applyFill="1" applyBorder="1" applyAlignment="1">
      <alignment horizontal="center"/>
    </xf>
    <xf numFmtId="0" fontId="27" fillId="6" borderId="31" xfId="0" applyFont="1" applyFill="1" applyBorder="1" applyAlignment="1">
      <alignment horizontal="center"/>
    </xf>
    <xf numFmtId="0" fontId="36" fillId="6" borderId="19" xfId="0" applyFont="1" applyFill="1" applyBorder="1" applyAlignment="1">
      <alignment horizontal="right"/>
    </xf>
    <xf numFmtId="17" fontId="14" fillId="3" borderId="8" xfId="0" applyNumberFormat="1" applyFont="1" applyFill="1" applyBorder="1" applyAlignment="1">
      <alignment horizontal="center"/>
    </xf>
    <xf numFmtId="0" fontId="27" fillId="6" borderId="24" xfId="0" applyFont="1" applyFill="1" applyBorder="1"/>
    <xf numFmtId="0" fontId="36" fillId="5" borderId="22" xfId="0" applyFont="1" applyFill="1" applyBorder="1"/>
    <xf numFmtId="0" fontId="27" fillId="3" borderId="19" xfId="0" applyFont="1" applyFill="1" applyBorder="1"/>
    <xf numFmtId="0" fontId="27" fillId="3" borderId="18" xfId="0" applyFont="1" applyFill="1" applyBorder="1"/>
    <xf numFmtId="0" fontId="27" fillId="3" borderId="20" xfId="0" applyFont="1" applyFill="1" applyBorder="1"/>
    <xf numFmtId="0" fontId="36" fillId="3" borderId="19" xfId="0" applyFont="1" applyFill="1" applyBorder="1"/>
    <xf numFmtId="1" fontId="36" fillId="3" borderId="19" xfId="0" applyNumberFormat="1" applyFont="1" applyFill="1" applyBorder="1"/>
    <xf numFmtId="1" fontId="36" fillId="5" borderId="22" xfId="0" applyNumberFormat="1" applyFont="1" applyFill="1" applyBorder="1"/>
    <xf numFmtId="0" fontId="36" fillId="3" borderId="18" xfId="0" applyFont="1" applyFill="1" applyBorder="1"/>
    <xf numFmtId="0" fontId="6" fillId="0" borderId="0" xfId="0" applyFont="1"/>
    <xf numFmtId="0" fontId="0" fillId="3" borderId="12" xfId="0" applyFill="1" applyBorder="1" applyAlignment="1">
      <alignment horizontal="center"/>
    </xf>
    <xf numFmtId="0" fontId="39" fillId="3" borderId="14" xfId="0" applyFon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9" fillId="5" borderId="3" xfId="0" applyFont="1" applyFill="1" applyBorder="1"/>
    <xf numFmtId="0" fontId="13" fillId="5" borderId="11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/>
    </xf>
    <xf numFmtId="0" fontId="9" fillId="5" borderId="15" xfId="0" applyFont="1" applyFill="1" applyBorder="1"/>
    <xf numFmtId="0" fontId="13" fillId="5" borderId="10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9" fillId="5" borderId="5" xfId="0" applyFont="1" applyFill="1" applyBorder="1"/>
    <xf numFmtId="0" fontId="54" fillId="5" borderId="14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54" fillId="5" borderId="13" xfId="0" applyFont="1" applyFill="1" applyBorder="1" applyAlignment="1">
      <alignment horizontal="center"/>
    </xf>
    <xf numFmtId="0" fontId="11" fillId="5" borderId="13" xfId="0" applyFont="1" applyFill="1" applyBorder="1" applyAlignment="1">
      <alignment horizontal="center"/>
    </xf>
    <xf numFmtId="0" fontId="17" fillId="10" borderId="0" xfId="0" applyFont="1" applyFill="1"/>
    <xf numFmtId="0" fontId="10" fillId="10" borderId="20" xfId="0" applyFont="1" applyFill="1" applyBorder="1"/>
    <xf numFmtId="0" fontId="10" fillId="10" borderId="19" xfId="0" applyFont="1" applyFill="1" applyBorder="1"/>
    <xf numFmtId="0" fontId="10" fillId="10" borderId="18" xfId="0" applyFont="1" applyFill="1" applyBorder="1"/>
    <xf numFmtId="0" fontId="2" fillId="10" borderId="0" xfId="0" applyFont="1" applyFill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7" fillId="10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14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54" fillId="3" borderId="12" xfId="0" applyFont="1" applyFill="1" applyBorder="1" applyAlignment="1">
      <alignment horizontal="center"/>
    </xf>
    <xf numFmtId="0" fontId="54" fillId="3" borderId="9" xfId="0" applyFont="1" applyFill="1" applyBorder="1" applyAlignment="1">
      <alignment horizontal="center"/>
    </xf>
    <xf numFmtId="0" fontId="54" fillId="3" borderId="19" xfId="0" applyFont="1" applyFill="1" applyBorder="1" applyAlignment="1">
      <alignment horizontal="center"/>
    </xf>
    <xf numFmtId="0" fontId="54" fillId="3" borderId="13" xfId="0" applyFont="1" applyFill="1" applyBorder="1" applyAlignment="1">
      <alignment horizontal="center"/>
    </xf>
    <xf numFmtId="0" fontId="54" fillId="3" borderId="18" xfId="0" applyFont="1" applyFill="1" applyBorder="1" applyAlignment="1">
      <alignment horizontal="center"/>
    </xf>
    <xf numFmtId="0" fontId="55" fillId="3" borderId="11" xfId="0" applyFont="1" applyFill="1" applyBorder="1" applyAlignment="1">
      <alignment horizontal="center"/>
    </xf>
    <xf numFmtId="0" fontId="55" fillId="3" borderId="10" xfId="0" applyFont="1" applyFill="1" applyBorder="1" applyAlignment="1">
      <alignment horizontal="center"/>
    </xf>
    <xf numFmtId="0" fontId="55" fillId="3" borderId="14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56" fillId="5" borderId="11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/>
    </xf>
    <xf numFmtId="0" fontId="56" fillId="5" borderId="10" xfId="0" applyFont="1" applyFill="1" applyBorder="1" applyAlignment="1">
      <alignment horizontal="center"/>
    </xf>
    <xf numFmtId="0" fontId="56" fillId="5" borderId="9" xfId="0" applyFont="1" applyFill="1" applyBorder="1" applyAlignment="1">
      <alignment horizontal="center"/>
    </xf>
    <xf numFmtId="0" fontId="13" fillId="14" borderId="20" xfId="0" applyFont="1" applyFill="1" applyBorder="1"/>
    <xf numFmtId="0" fontId="13" fillId="14" borderId="19" xfId="0" applyFont="1" applyFill="1" applyBorder="1"/>
    <xf numFmtId="0" fontId="13" fillId="14" borderId="18" xfId="0" applyFont="1" applyFill="1" applyBorder="1"/>
    <xf numFmtId="0" fontId="13" fillId="14" borderId="11" xfId="0" applyFont="1" applyFill="1" applyBorder="1" applyAlignment="1">
      <alignment horizontal="center"/>
    </xf>
    <xf numFmtId="0" fontId="13" fillId="14" borderId="10" xfId="0" applyFont="1" applyFill="1" applyBorder="1" applyAlignment="1">
      <alignment horizontal="center"/>
    </xf>
    <xf numFmtId="1" fontId="13" fillId="3" borderId="5" xfId="0" applyNumberFormat="1" applyFont="1" applyFill="1" applyBorder="1" applyAlignment="1">
      <alignment horizontal="center"/>
    </xf>
    <xf numFmtId="1" fontId="13" fillId="14" borderId="14" xfId="0" applyNumberFormat="1" applyFont="1" applyFill="1" applyBorder="1" applyAlignment="1">
      <alignment horizontal="center"/>
    </xf>
    <xf numFmtId="0" fontId="13" fillId="14" borderId="14" xfId="0" applyFont="1" applyFill="1" applyBorder="1" applyAlignment="1">
      <alignment horizontal="center"/>
    </xf>
    <xf numFmtId="1" fontId="13" fillId="14" borderId="18" xfId="0" applyNumberFormat="1" applyFont="1" applyFill="1" applyBorder="1"/>
    <xf numFmtId="0" fontId="13" fillId="3" borderId="5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53" fillId="3" borderId="14" xfId="0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27" xfId="0" applyFont="1" applyFill="1" applyBorder="1" applyAlignment="1">
      <alignment horizontal="right"/>
    </xf>
    <xf numFmtId="0" fontId="5" fillId="4" borderId="29" xfId="0" applyFont="1" applyFill="1" applyBorder="1"/>
    <xf numFmtId="0" fontId="13" fillId="4" borderId="20" xfId="0" applyFont="1" applyFill="1" applyBorder="1"/>
    <xf numFmtId="0" fontId="13" fillId="4" borderId="19" xfId="0" applyFont="1" applyFill="1" applyBorder="1"/>
    <xf numFmtId="0" fontId="13" fillId="4" borderId="18" xfId="0" applyFont="1" applyFill="1" applyBorder="1"/>
    <xf numFmtId="1" fontId="13" fillId="4" borderId="18" xfId="0" applyNumberFormat="1" applyFont="1" applyFill="1" applyBorder="1"/>
    <xf numFmtId="0" fontId="13" fillId="4" borderId="11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1" fontId="13" fillId="4" borderId="14" xfId="0" applyNumberFormat="1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14" fillId="5" borderId="13" xfId="0" applyFont="1" applyFill="1" applyBorder="1" applyAlignment="1">
      <alignment horizontal="center"/>
    </xf>
    <xf numFmtId="1" fontId="13" fillId="6" borderId="14" xfId="0" applyNumberFormat="1" applyFont="1" applyFill="1" applyBorder="1" applyAlignment="1">
      <alignment horizontal="center"/>
    </xf>
    <xf numFmtId="1" fontId="14" fillId="3" borderId="14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7" fillId="4" borderId="6" xfId="0" applyFont="1" applyFill="1" applyBorder="1"/>
    <xf numFmtId="0" fontId="17" fillId="4" borderId="23" xfId="0" applyFont="1" applyFill="1" applyBorder="1"/>
    <xf numFmtId="0" fontId="2" fillId="4" borderId="3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right"/>
    </xf>
    <xf numFmtId="0" fontId="58" fillId="3" borderId="29" xfId="0" applyFont="1" applyFill="1" applyBorder="1"/>
    <xf numFmtId="0" fontId="2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7" fillId="3" borderId="23" xfId="0" applyFont="1" applyFill="1" applyBorder="1"/>
    <xf numFmtId="0" fontId="28" fillId="3" borderId="20" xfId="0" applyFont="1" applyFill="1" applyBorder="1"/>
    <xf numFmtId="0" fontId="28" fillId="3" borderId="19" xfId="0" applyFont="1" applyFill="1" applyBorder="1"/>
    <xf numFmtId="0" fontId="28" fillId="3" borderId="18" xfId="0" applyFont="1" applyFill="1" applyBorder="1"/>
    <xf numFmtId="1" fontId="28" fillId="3" borderId="18" xfId="0" applyNumberFormat="1" applyFont="1" applyFill="1" applyBorder="1"/>
    <xf numFmtId="0" fontId="28" fillId="3" borderId="11" xfId="0" applyFont="1" applyFill="1" applyBorder="1" applyAlignment="1">
      <alignment horizontal="center"/>
    </xf>
    <xf numFmtId="0" fontId="28" fillId="3" borderId="10" xfId="0" applyFont="1" applyFill="1" applyBorder="1" applyAlignment="1">
      <alignment horizontal="center"/>
    </xf>
    <xf numFmtId="0" fontId="28" fillId="3" borderId="14" xfId="0" applyFont="1" applyFill="1" applyBorder="1" applyAlignment="1">
      <alignment horizontal="center"/>
    </xf>
    <xf numFmtId="1" fontId="28" fillId="3" borderId="14" xfId="0" applyNumberFormat="1" applyFont="1" applyFill="1" applyBorder="1" applyAlignment="1">
      <alignment horizontal="center"/>
    </xf>
    <xf numFmtId="0" fontId="56" fillId="5" borderId="13" xfId="0" applyFont="1" applyFill="1" applyBorder="1" applyAlignment="1">
      <alignment horizontal="center"/>
    </xf>
    <xf numFmtId="0" fontId="59" fillId="16" borderId="18" xfId="0" applyFont="1" applyFill="1" applyBorder="1" applyAlignment="1">
      <alignment horizontal="center"/>
    </xf>
    <xf numFmtId="0" fontId="59" fillId="16" borderId="11" xfId="0" applyFont="1" applyFill="1" applyBorder="1" applyAlignment="1">
      <alignment horizontal="center"/>
    </xf>
    <xf numFmtId="0" fontId="59" fillId="16" borderId="10" xfId="0" applyFont="1" applyFill="1" applyBorder="1" applyAlignment="1">
      <alignment horizontal="center"/>
    </xf>
    <xf numFmtId="1" fontId="10" fillId="10" borderId="18" xfId="0" applyNumberFormat="1" applyFont="1" applyFill="1" applyBorder="1"/>
    <xf numFmtId="0" fontId="59" fillId="16" borderId="14" xfId="0" applyFont="1" applyFill="1" applyBorder="1" applyAlignment="1">
      <alignment horizontal="center"/>
    </xf>
    <xf numFmtId="1" fontId="59" fillId="16" borderId="14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57" fillId="10" borderId="5" xfId="0" applyFont="1" applyFill="1" applyBorder="1"/>
    <xf numFmtId="0" fontId="2" fillId="10" borderId="4" xfId="0" applyFont="1" applyFill="1" applyBorder="1" applyAlignment="1">
      <alignment horizontal="right"/>
    </xf>
    <xf numFmtId="0" fontId="15" fillId="3" borderId="8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60" fillId="3" borderId="4" xfId="0" applyFont="1" applyFill="1" applyBorder="1" applyAlignment="1">
      <alignment horizontal="center"/>
    </xf>
    <xf numFmtId="0" fontId="56" fillId="5" borderId="19" xfId="0" applyFont="1" applyFill="1" applyBorder="1" applyAlignment="1">
      <alignment horizontal="center"/>
    </xf>
    <xf numFmtId="1" fontId="56" fillId="5" borderId="6" xfId="0" applyNumberFormat="1" applyFont="1" applyFill="1" applyBorder="1" applyAlignment="1">
      <alignment horizontal="center"/>
    </xf>
    <xf numFmtId="0" fontId="52" fillId="5" borderId="0" xfId="0" applyFont="1" applyFill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/>
    </xf>
    <xf numFmtId="0" fontId="56" fillId="5" borderId="20" xfId="0" applyFont="1" applyFill="1" applyBorder="1" applyAlignment="1">
      <alignment horizontal="center"/>
    </xf>
    <xf numFmtId="0" fontId="52" fillId="3" borderId="0" xfId="0" applyFont="1" applyFill="1"/>
    <xf numFmtId="0" fontId="60" fillId="10" borderId="4" xfId="0" applyFont="1" applyFill="1" applyBorder="1" applyAlignment="1">
      <alignment horizontal="center"/>
    </xf>
    <xf numFmtId="0" fontId="32" fillId="3" borderId="10" xfId="0" applyFont="1" applyFill="1" applyBorder="1" applyAlignment="1">
      <alignment horizontal="center"/>
    </xf>
    <xf numFmtId="0" fontId="14" fillId="5" borderId="19" xfId="0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3" fillId="3" borderId="9" xfId="0" applyFont="1" applyFill="1" applyBorder="1" applyAlignment="1">
      <alignment horizontal="center"/>
    </xf>
    <xf numFmtId="0" fontId="33" fillId="3" borderId="13" xfId="0" applyFont="1" applyFill="1" applyBorder="1" applyAlignment="1">
      <alignment horizontal="center"/>
    </xf>
    <xf numFmtId="0" fontId="40" fillId="3" borderId="9" xfId="0" applyFont="1" applyFill="1" applyBorder="1" applyAlignment="1">
      <alignment horizontal="center"/>
    </xf>
    <xf numFmtId="0" fontId="40" fillId="3" borderId="13" xfId="0" applyFon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56" fillId="5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0" fillId="0" borderId="4" xfId="0" applyBorder="1"/>
    <xf numFmtId="0" fontId="13" fillId="3" borderId="0" xfId="0" applyFont="1" applyFill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17" fillId="3" borderId="0" xfId="0" applyFont="1" applyFill="1"/>
    <xf numFmtId="0" fontId="35" fillId="3" borderId="11" xfId="0" applyFont="1" applyFill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35" fillId="3" borderId="14" xfId="0" applyFont="1" applyFill="1" applyBorder="1" applyAlignment="1">
      <alignment horizontal="center"/>
    </xf>
    <xf numFmtId="0" fontId="13" fillId="6" borderId="27" xfId="0" applyFont="1" applyFill="1" applyBorder="1" applyAlignment="1">
      <alignment horizontal="right"/>
    </xf>
    <xf numFmtId="0" fontId="5" fillId="6" borderId="29" xfId="0" applyFont="1" applyFill="1" applyBorder="1"/>
    <xf numFmtId="0" fontId="13" fillId="6" borderId="20" xfId="0" applyFont="1" applyFill="1" applyBorder="1" applyAlignment="1">
      <alignment horizontal="center"/>
    </xf>
    <xf numFmtId="0" fontId="13" fillId="6" borderId="19" xfId="0" applyFont="1" applyFill="1" applyBorder="1" applyAlignment="1">
      <alignment horizontal="center"/>
    </xf>
    <xf numFmtId="1" fontId="13" fillId="6" borderId="18" xfId="0" applyNumberFormat="1" applyFont="1" applyFill="1" applyBorder="1" applyAlignment="1">
      <alignment horizontal="center"/>
    </xf>
    <xf numFmtId="0" fontId="13" fillId="17" borderId="23" xfId="0" applyFont="1" applyFill="1" applyBorder="1" applyAlignment="1">
      <alignment horizontal="center"/>
    </xf>
    <xf numFmtId="0" fontId="13" fillId="17" borderId="11" xfId="0" applyFont="1" applyFill="1" applyBorder="1" applyAlignment="1">
      <alignment horizontal="center"/>
    </xf>
    <xf numFmtId="0" fontId="13" fillId="17" borderId="10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1" fontId="13" fillId="17" borderId="14" xfId="0" applyNumberFormat="1" applyFont="1" applyFill="1" applyBorder="1" applyAlignment="1">
      <alignment horizontal="center"/>
    </xf>
    <xf numFmtId="0" fontId="27" fillId="3" borderId="24" xfId="0" applyFont="1" applyFill="1" applyBorder="1"/>
    <xf numFmtId="0" fontId="30" fillId="3" borderId="18" xfId="0" applyFont="1" applyFill="1" applyBorder="1" applyAlignment="1">
      <alignment horizontal="center"/>
    </xf>
    <xf numFmtId="0" fontId="55" fillId="5" borderId="14" xfId="0" applyFont="1" applyFill="1" applyBorder="1" applyAlignment="1">
      <alignment horizontal="center"/>
    </xf>
    <xf numFmtId="0" fontId="52" fillId="5" borderId="0" xfId="0" applyFont="1" applyFill="1"/>
    <xf numFmtId="0" fontId="16" fillId="5" borderId="0" xfId="0" applyFont="1" applyFill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14" fillId="5" borderId="32" xfId="0" applyFont="1" applyFill="1" applyBorder="1" applyAlignment="1">
      <alignment horizontal="center"/>
    </xf>
    <xf numFmtId="0" fontId="61" fillId="0" borderId="0" xfId="0" applyFont="1"/>
    <xf numFmtId="0" fontId="13" fillId="3" borderId="4" xfId="0" applyFont="1" applyFill="1" applyBorder="1" applyAlignment="1">
      <alignment horizontal="right"/>
    </xf>
    <xf numFmtId="0" fontId="5" fillId="3" borderId="5" xfId="0" applyFont="1" applyFill="1" applyBorder="1"/>
    <xf numFmtId="0" fontId="13" fillId="3" borderId="20" xfId="0" applyFont="1" applyFill="1" applyBorder="1"/>
    <xf numFmtId="0" fontId="13" fillId="3" borderId="19" xfId="0" applyFont="1" applyFill="1" applyBorder="1"/>
    <xf numFmtId="0" fontId="13" fillId="3" borderId="18" xfId="0" applyFont="1" applyFill="1" applyBorder="1"/>
    <xf numFmtId="1" fontId="13" fillId="3" borderId="18" xfId="0" applyNumberFormat="1" applyFont="1" applyFill="1" applyBorder="1"/>
    <xf numFmtId="0" fontId="13" fillId="3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" fontId="13" fillId="3" borderId="14" xfId="0" applyNumberFormat="1" applyFont="1" applyFill="1" applyBorder="1" applyAlignment="1">
      <alignment horizontal="center"/>
    </xf>
    <xf numFmtId="0" fontId="0" fillId="5" borderId="0" xfId="0" applyFill="1"/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0" fillId="8" borderId="0" xfId="0" applyFill="1"/>
    <xf numFmtId="0" fontId="62" fillId="5" borderId="9" xfId="0" applyFont="1" applyFill="1" applyBorder="1" applyAlignment="1">
      <alignment horizontal="center"/>
    </xf>
    <xf numFmtId="0" fontId="62" fillId="5" borderId="13" xfId="0" applyFont="1" applyFill="1" applyBorder="1" applyAlignment="1">
      <alignment horizontal="center"/>
    </xf>
    <xf numFmtId="0" fontId="62" fillId="5" borderId="12" xfId="0" applyFont="1" applyFill="1" applyBorder="1" applyAlignment="1">
      <alignment horizontal="center"/>
    </xf>
    <xf numFmtId="0" fontId="62" fillId="5" borderId="4" xfId="0" applyFont="1" applyFill="1" applyBorder="1" applyAlignment="1">
      <alignment horizontal="center"/>
    </xf>
    <xf numFmtId="0" fontId="62" fillId="5" borderId="0" xfId="0" applyFont="1" applyFill="1" applyAlignment="1">
      <alignment horizontal="center"/>
    </xf>
    <xf numFmtId="0" fontId="62" fillId="5" borderId="6" xfId="0" applyFont="1" applyFill="1" applyBorder="1" applyAlignment="1">
      <alignment horizontal="center"/>
    </xf>
    <xf numFmtId="0" fontId="63" fillId="5" borderId="11" xfId="0" applyFont="1" applyFill="1" applyBorder="1" applyAlignment="1">
      <alignment horizontal="center"/>
    </xf>
    <xf numFmtId="0" fontId="63" fillId="5" borderId="10" xfId="0" applyFont="1" applyFill="1" applyBorder="1" applyAlignment="1">
      <alignment horizontal="center"/>
    </xf>
    <xf numFmtId="0" fontId="64" fillId="5" borderId="14" xfId="0" applyFont="1" applyFill="1" applyBorder="1" applyAlignment="1">
      <alignment horizontal="center"/>
    </xf>
    <xf numFmtId="0" fontId="6" fillId="2" borderId="0" xfId="0" applyFont="1" applyFill="1"/>
    <xf numFmtId="0" fontId="65" fillId="5" borderId="10" xfId="0" applyFont="1" applyFill="1" applyBorder="1" applyAlignment="1">
      <alignment horizontal="center"/>
    </xf>
    <xf numFmtId="0" fontId="66" fillId="5" borderId="14" xfId="0" applyFont="1" applyFill="1" applyBorder="1" applyAlignment="1">
      <alignment horizontal="center"/>
    </xf>
    <xf numFmtId="0" fontId="0" fillId="0" borderId="6" xfId="0" applyBorder="1"/>
    <xf numFmtId="0" fontId="65" fillId="5" borderId="11" xfId="0" applyFont="1" applyFill="1" applyBorder="1" applyAlignment="1">
      <alignment horizontal="center"/>
    </xf>
    <xf numFmtId="0" fontId="56" fillId="3" borderId="11" xfId="0" applyFont="1" applyFill="1" applyBorder="1" applyAlignment="1">
      <alignment horizontal="center"/>
    </xf>
    <xf numFmtId="0" fontId="56" fillId="3" borderId="12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54" fillId="3" borderId="20" xfId="0" applyFont="1" applyFill="1" applyBorder="1" applyAlignment="1">
      <alignment horizontal="center"/>
    </xf>
    <xf numFmtId="0" fontId="56" fillId="3" borderId="20" xfId="0" applyFont="1" applyFill="1" applyBorder="1" applyAlignment="1">
      <alignment horizontal="center"/>
    </xf>
    <xf numFmtId="0" fontId="56" fillId="3" borderId="10" xfId="0" applyFont="1" applyFill="1" applyBorder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56" fillId="3" borderId="19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1" fontId="56" fillId="3" borderId="6" xfId="0" applyNumberFormat="1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13" fillId="18" borderId="18" xfId="0" applyFont="1" applyFill="1" applyBorder="1" applyAlignment="1">
      <alignment horizontal="center"/>
    </xf>
    <xf numFmtId="0" fontId="27" fillId="18" borderId="19" xfId="0" applyFont="1" applyFill="1" applyBorder="1"/>
    <xf numFmtId="0" fontId="36" fillId="18" borderId="19" xfId="0" applyFont="1" applyFill="1" applyBorder="1"/>
    <xf numFmtId="0" fontId="27" fillId="18" borderId="18" xfId="0" applyFont="1" applyFill="1" applyBorder="1"/>
    <xf numFmtId="1" fontId="36" fillId="18" borderId="19" xfId="0" applyNumberFormat="1" applyFont="1" applyFill="1" applyBorder="1"/>
    <xf numFmtId="0" fontId="27" fillId="18" borderId="20" xfId="0" applyFont="1" applyFill="1" applyBorder="1"/>
    <xf numFmtId="0" fontId="27" fillId="18" borderId="19" xfId="0" applyFont="1" applyFill="1" applyBorder="1" applyAlignment="1">
      <alignment horizontal="right"/>
    </xf>
    <xf numFmtId="0" fontId="36" fillId="18" borderId="19" xfId="0" applyFont="1" applyFill="1" applyBorder="1" applyAlignment="1">
      <alignment horizontal="right"/>
    </xf>
    <xf numFmtId="0" fontId="27" fillId="18" borderId="18" xfId="0" applyFont="1" applyFill="1" applyBorder="1" applyAlignment="1">
      <alignment horizontal="right"/>
    </xf>
    <xf numFmtId="0" fontId="13" fillId="18" borderId="27" xfId="0" applyFont="1" applyFill="1" applyBorder="1" applyAlignment="1">
      <alignment horizontal="right"/>
    </xf>
    <xf numFmtId="0" fontId="5" fillId="18" borderId="29" xfId="0" applyFont="1" applyFill="1" applyBorder="1"/>
    <xf numFmtId="0" fontId="2" fillId="18" borderId="4" xfId="0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/>
    </xf>
    <xf numFmtId="0" fontId="2" fillId="18" borderId="21" xfId="0" applyFont="1" applyFill="1" applyBorder="1" applyAlignment="1">
      <alignment horizontal="center"/>
    </xf>
    <xf numFmtId="0" fontId="10" fillId="18" borderId="6" xfId="0" applyFont="1" applyFill="1" applyBorder="1" applyAlignment="1">
      <alignment horizontal="center"/>
    </xf>
    <xf numFmtId="0" fontId="17" fillId="18" borderId="6" xfId="0" applyFont="1" applyFill="1" applyBorder="1"/>
    <xf numFmtId="0" fontId="17" fillId="18" borderId="23" xfId="0" applyFont="1" applyFill="1" applyBorder="1"/>
    <xf numFmtId="0" fontId="2" fillId="18" borderId="3" xfId="0" applyFont="1" applyFill="1" applyBorder="1" applyAlignment="1">
      <alignment horizontal="center"/>
    </xf>
    <xf numFmtId="0" fontId="13" fillId="18" borderId="4" xfId="0" applyFont="1" applyFill="1" applyBorder="1" applyAlignment="1">
      <alignment horizontal="center"/>
    </xf>
    <xf numFmtId="0" fontId="17" fillId="18" borderId="5" xfId="0" applyFont="1" applyFill="1" applyBorder="1" applyAlignment="1">
      <alignment horizontal="center"/>
    </xf>
    <xf numFmtId="0" fontId="17" fillId="18" borderId="6" xfId="0" applyFont="1" applyFill="1" applyBorder="1" applyAlignment="1">
      <alignment horizontal="center"/>
    </xf>
    <xf numFmtId="0" fontId="67" fillId="2" borderId="0" xfId="0" applyFont="1" applyFill="1"/>
    <xf numFmtId="1" fontId="30" fillId="5" borderId="9" xfId="0" applyNumberFormat="1" applyFont="1" applyFill="1" applyBorder="1" applyAlignment="1">
      <alignment horizontal="center"/>
    </xf>
    <xf numFmtId="0" fontId="65" fillId="3" borderId="10" xfId="0" applyFont="1" applyFill="1" applyBorder="1" applyAlignment="1">
      <alignment horizontal="center"/>
    </xf>
    <xf numFmtId="0" fontId="66" fillId="3" borderId="14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65" fillId="3" borderId="11" xfId="0" applyFont="1" applyFill="1" applyBorder="1" applyAlignment="1">
      <alignment horizontal="center"/>
    </xf>
    <xf numFmtId="0" fontId="27" fillId="3" borderId="19" xfId="0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27" fillId="3" borderId="20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70" fillId="3" borderId="19" xfId="0" applyFont="1" applyFill="1" applyBorder="1"/>
    <xf numFmtId="0" fontId="38" fillId="3" borderId="19" xfId="0" applyFont="1" applyFill="1" applyBorder="1"/>
    <xf numFmtId="1" fontId="70" fillId="3" borderId="19" xfId="0" applyNumberFormat="1" applyFont="1" applyFill="1" applyBorder="1"/>
    <xf numFmtId="0" fontId="38" fillId="3" borderId="18" xfId="0" applyFont="1" applyFill="1" applyBorder="1"/>
    <xf numFmtId="0" fontId="38" fillId="3" borderId="20" xfId="0" applyFont="1" applyFill="1" applyBorder="1"/>
    <xf numFmtId="0" fontId="38" fillId="3" borderId="19" xfId="0" applyFont="1" applyFill="1" applyBorder="1" applyAlignment="1">
      <alignment horizontal="center"/>
    </xf>
    <xf numFmtId="0" fontId="71" fillId="3" borderId="18" xfId="0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0" fontId="17" fillId="10" borderId="18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3" fillId="7" borderId="17" xfId="0" applyFont="1" applyFill="1" applyBorder="1" applyAlignment="1">
      <alignment horizontal="center"/>
    </xf>
    <xf numFmtId="0" fontId="13" fillId="13" borderId="27" xfId="0" applyFont="1" applyFill="1" applyBorder="1" applyAlignment="1">
      <alignment horizontal="right"/>
    </xf>
    <xf numFmtId="0" fontId="5" fillId="13" borderId="29" xfId="0" applyFont="1" applyFill="1" applyBorder="1"/>
    <xf numFmtId="0" fontId="2" fillId="13" borderId="4" xfId="0" applyFont="1" applyFill="1" applyBorder="1" applyAlignment="1">
      <alignment horizontal="center"/>
    </xf>
    <xf numFmtId="0" fontId="13" fillId="13" borderId="4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2" fillId="13" borderId="21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0" fontId="17" fillId="13" borderId="6" xfId="0" applyFont="1" applyFill="1" applyBorder="1"/>
    <xf numFmtId="0" fontId="17" fillId="13" borderId="23" xfId="0" applyFont="1" applyFill="1" applyBorder="1"/>
    <xf numFmtId="0" fontId="13" fillId="13" borderId="20" xfId="0" applyFont="1" applyFill="1" applyBorder="1"/>
    <xf numFmtId="0" fontId="13" fillId="13" borderId="19" xfId="0" applyFont="1" applyFill="1" applyBorder="1"/>
    <xf numFmtId="0" fontId="13" fillId="13" borderId="18" xfId="0" applyFont="1" applyFill="1" applyBorder="1"/>
    <xf numFmtId="1" fontId="13" fillId="13" borderId="18" xfId="0" applyNumberFormat="1" applyFont="1" applyFill="1" applyBorder="1"/>
    <xf numFmtId="0" fontId="13" fillId="13" borderId="11" xfId="0" applyFont="1" applyFill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1" fontId="13" fillId="13" borderId="14" xfId="0" applyNumberFormat="1" applyFont="1" applyFill="1" applyBorder="1" applyAlignment="1">
      <alignment horizontal="center"/>
    </xf>
    <xf numFmtId="0" fontId="63" fillId="3" borderId="11" xfId="0" applyFont="1" applyFill="1" applyBorder="1" applyAlignment="1">
      <alignment horizontal="center"/>
    </xf>
    <xf numFmtId="0" fontId="63" fillId="3" borderId="10" xfId="0" applyFont="1" applyFill="1" applyBorder="1" applyAlignment="1">
      <alignment horizontal="center"/>
    </xf>
    <xf numFmtId="0" fontId="64" fillId="3" borderId="14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30" fillId="12" borderId="19" xfId="0" applyFont="1" applyFill="1" applyBorder="1" applyAlignment="1">
      <alignment horizontal="center"/>
    </xf>
    <xf numFmtId="0" fontId="30" fillId="12" borderId="31" xfId="0" applyFont="1" applyFill="1" applyBorder="1" applyAlignment="1">
      <alignment horizontal="center"/>
    </xf>
    <xf numFmtId="17" fontId="15" fillId="7" borderId="7" xfId="0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0" fillId="5" borderId="6" xfId="0" applyFill="1" applyBorder="1"/>
    <xf numFmtId="0" fontId="49" fillId="3" borderId="22" xfId="0" applyFont="1" applyFill="1" applyBorder="1"/>
    <xf numFmtId="0" fontId="39" fillId="5" borderId="6" xfId="0" applyFont="1" applyFill="1" applyBorder="1" applyAlignment="1">
      <alignment horizontal="center"/>
    </xf>
    <xf numFmtId="0" fontId="65" fillId="5" borderId="14" xfId="0" applyFont="1" applyFill="1" applyBorder="1" applyAlignment="1">
      <alignment horizontal="center"/>
    </xf>
    <xf numFmtId="0" fontId="65" fillId="3" borderId="14" xfId="0" applyFont="1" applyFill="1" applyBorder="1" applyAlignment="1">
      <alignment horizontal="center"/>
    </xf>
    <xf numFmtId="0" fontId="17" fillId="5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0" fontId="74" fillId="5" borderId="28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center"/>
    </xf>
    <xf numFmtId="0" fontId="50" fillId="3" borderId="18" xfId="0" applyFont="1" applyFill="1" applyBorder="1"/>
    <xf numFmtId="0" fontId="36" fillId="3" borderId="23" xfId="0" applyFont="1" applyFill="1" applyBorder="1"/>
    <xf numFmtId="0" fontId="36" fillId="3" borderId="13" xfId="0" applyFont="1" applyFill="1" applyBorder="1" applyAlignment="1">
      <alignment horizontal="center"/>
    </xf>
    <xf numFmtId="0" fontId="36" fillId="5" borderId="13" xfId="0" applyFont="1" applyFill="1" applyBorder="1" applyAlignment="1">
      <alignment horizontal="center"/>
    </xf>
    <xf numFmtId="0" fontId="31" fillId="18" borderId="25" xfId="0" applyFont="1" applyFill="1" applyBorder="1"/>
    <xf numFmtId="0" fontId="37" fillId="18" borderId="25" xfId="0" applyFont="1" applyFill="1" applyBorder="1"/>
    <xf numFmtId="0" fontId="31" fillId="18" borderId="24" xfId="0" applyFont="1" applyFill="1" applyBorder="1"/>
    <xf numFmtId="0" fontId="31" fillId="18" borderId="26" xfId="0" applyFont="1" applyFill="1" applyBorder="1"/>
    <xf numFmtId="0" fontId="31" fillId="18" borderId="9" xfId="0" applyFont="1" applyFill="1" applyBorder="1" applyAlignment="1">
      <alignment horizontal="right"/>
    </xf>
    <xf numFmtId="0" fontId="31" fillId="18" borderId="0" xfId="0" applyFont="1" applyFill="1" applyAlignment="1">
      <alignment horizontal="right"/>
    </xf>
    <xf numFmtId="0" fontId="31" fillId="18" borderId="6" xfId="0" applyFont="1" applyFill="1" applyBorder="1" applyAlignment="1">
      <alignment horizontal="right"/>
    </xf>
    <xf numFmtId="0" fontId="31" fillId="6" borderId="22" xfId="0" applyFont="1" applyFill="1" applyBorder="1"/>
    <xf numFmtId="0" fontId="31" fillId="6" borderId="23" xfId="0" applyFont="1" applyFill="1" applyBorder="1"/>
    <xf numFmtId="0" fontId="37" fillId="6" borderId="22" xfId="0" applyFont="1" applyFill="1" applyBorder="1"/>
    <xf numFmtId="0" fontId="31" fillId="6" borderId="21" xfId="0" applyFont="1" applyFill="1" applyBorder="1"/>
    <xf numFmtId="0" fontId="31" fillId="6" borderId="9" xfId="0" applyFont="1" applyFill="1" applyBorder="1" applyAlignment="1">
      <alignment horizontal="right"/>
    </xf>
    <xf numFmtId="0" fontId="31" fillId="6" borderId="13" xfId="0" applyFont="1" applyFill="1" applyBorder="1" applyAlignment="1">
      <alignment horizontal="right"/>
    </xf>
    <xf numFmtId="0" fontId="37" fillId="18" borderId="0" xfId="0" applyFont="1" applyFill="1" applyAlignment="1">
      <alignment horizontal="right"/>
    </xf>
    <xf numFmtId="0" fontId="37" fillId="6" borderId="9" xfId="0" applyFont="1" applyFill="1" applyBorder="1" applyAlignment="1">
      <alignment horizontal="right"/>
    </xf>
    <xf numFmtId="0" fontId="13" fillId="3" borderId="6" xfId="0" applyFont="1" applyFill="1" applyBorder="1" applyAlignment="1">
      <alignment horizontal="center"/>
    </xf>
    <xf numFmtId="0" fontId="29" fillId="5" borderId="0" xfId="0" applyFont="1" applyFill="1" applyAlignment="1">
      <alignment horizontal="right"/>
    </xf>
    <xf numFmtId="0" fontId="14" fillId="5" borderId="11" xfId="0" applyFont="1" applyFill="1" applyBorder="1" applyAlignment="1">
      <alignment horizontal="center"/>
    </xf>
    <xf numFmtId="0" fontId="14" fillId="5" borderId="12" xfId="0" applyFont="1" applyFill="1" applyBorder="1" applyAlignment="1">
      <alignment horizontal="center"/>
    </xf>
    <xf numFmtId="0" fontId="14" fillId="5" borderId="10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center"/>
    </xf>
    <xf numFmtId="0" fontId="35" fillId="18" borderId="25" xfId="0" applyFont="1" applyFill="1" applyBorder="1"/>
    <xf numFmtId="0" fontId="35" fillId="18" borderId="24" xfId="0" applyFont="1" applyFill="1" applyBorder="1"/>
    <xf numFmtId="0" fontId="35" fillId="18" borderId="26" xfId="0" applyFont="1" applyFill="1" applyBorder="1"/>
    <xf numFmtId="0" fontId="30" fillId="18" borderId="9" xfId="0" applyFont="1" applyFill="1" applyBorder="1" applyAlignment="1">
      <alignment horizontal="center"/>
    </xf>
    <xf numFmtId="0" fontId="35" fillId="3" borderId="22" xfId="0" applyFont="1" applyFill="1" applyBorder="1"/>
    <xf numFmtId="0" fontId="35" fillId="3" borderId="23" xfId="0" applyFont="1" applyFill="1" applyBorder="1"/>
    <xf numFmtId="0" fontId="35" fillId="3" borderId="21" xfId="0" applyFont="1" applyFill="1" applyBorder="1"/>
    <xf numFmtId="0" fontId="27" fillId="5" borderId="31" xfId="0" applyFont="1" applyFill="1" applyBorder="1" applyAlignment="1">
      <alignment horizontal="center"/>
    </xf>
    <xf numFmtId="1" fontId="37" fillId="6" borderId="22" xfId="0" applyNumberFormat="1" applyFont="1" applyFill="1" applyBorder="1"/>
    <xf numFmtId="0" fontId="41" fillId="18" borderId="25" xfId="0" applyFont="1" applyFill="1" applyBorder="1"/>
    <xf numFmtId="0" fontId="41" fillId="3" borderId="22" xfId="0" applyFont="1" applyFill="1" applyBorder="1"/>
    <xf numFmtId="1" fontId="41" fillId="3" borderId="22" xfId="0" applyNumberFormat="1" applyFont="1" applyFill="1" applyBorder="1"/>
    <xf numFmtId="0" fontId="10" fillId="5" borderId="15" xfId="0" applyFont="1" applyFill="1" applyBorder="1" applyAlignment="1">
      <alignment horizontal="right"/>
    </xf>
    <xf numFmtId="0" fontId="10" fillId="12" borderId="18" xfId="0" applyFont="1" applyFill="1" applyBorder="1" applyAlignment="1">
      <alignment horizontal="center"/>
    </xf>
    <xf numFmtId="0" fontId="59" fillId="12" borderId="11" xfId="0" applyFont="1" applyFill="1" applyBorder="1" applyAlignment="1">
      <alignment horizontal="center"/>
    </xf>
    <xf numFmtId="0" fontId="59" fillId="12" borderId="10" xfId="0" applyFont="1" applyFill="1" applyBorder="1" applyAlignment="1">
      <alignment horizontal="center"/>
    </xf>
    <xf numFmtId="0" fontId="59" fillId="12" borderId="14" xfId="0" applyFont="1" applyFill="1" applyBorder="1" applyAlignment="1">
      <alignment horizontal="center"/>
    </xf>
    <xf numFmtId="1" fontId="59" fillId="12" borderId="14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right"/>
    </xf>
    <xf numFmtId="0" fontId="2" fillId="12" borderId="3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60" fillId="12" borderId="4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17" fillId="12" borderId="18" xfId="0" applyFont="1" applyFill="1" applyBorder="1" applyAlignment="1">
      <alignment horizontal="center"/>
    </xf>
    <xf numFmtId="0" fontId="10" fillId="12" borderId="6" xfId="0" applyFont="1" applyFill="1" applyBorder="1" applyAlignment="1">
      <alignment horizontal="center"/>
    </xf>
    <xf numFmtId="0" fontId="17" fillId="12" borderId="0" xfId="0" applyFont="1" applyFill="1"/>
    <xf numFmtId="0" fontId="59" fillId="12" borderId="4" xfId="0" applyFont="1" applyFill="1" applyBorder="1" applyAlignment="1">
      <alignment horizontal="center"/>
    </xf>
    <xf numFmtId="0" fontId="59" fillId="12" borderId="0" xfId="0" applyFont="1" applyFill="1" applyAlignment="1">
      <alignment horizontal="center"/>
    </xf>
    <xf numFmtId="0" fontId="59" fillId="12" borderId="6" xfId="0" applyFont="1" applyFill="1" applyBorder="1" applyAlignment="1">
      <alignment horizontal="center"/>
    </xf>
    <xf numFmtId="1" fontId="59" fillId="12" borderId="6" xfId="0" applyNumberFormat="1" applyFont="1" applyFill="1" applyBorder="1" applyAlignment="1">
      <alignment horizontal="center"/>
    </xf>
    <xf numFmtId="0" fontId="10" fillId="12" borderId="24" xfId="0" applyFont="1" applyFill="1" applyBorder="1" applyAlignment="1">
      <alignment horizontal="center"/>
    </xf>
    <xf numFmtId="0" fontId="10" fillId="12" borderId="26" xfId="0" applyFont="1" applyFill="1" applyBorder="1"/>
    <xf numFmtId="0" fontId="13" fillId="3" borderId="27" xfId="0" applyFont="1" applyFill="1" applyBorder="1" applyAlignment="1">
      <alignment horizontal="center"/>
    </xf>
    <xf numFmtId="0" fontId="10" fillId="12" borderId="25" xfId="0" applyFont="1" applyFill="1" applyBorder="1"/>
    <xf numFmtId="0" fontId="13" fillId="3" borderId="28" xfId="0" applyFont="1" applyFill="1" applyBorder="1" applyAlignment="1">
      <alignment horizontal="center"/>
    </xf>
    <xf numFmtId="0" fontId="10" fillId="12" borderId="24" xfId="0" applyFont="1" applyFill="1" applyBorder="1"/>
    <xf numFmtId="0" fontId="13" fillId="3" borderId="29" xfId="0" applyFont="1" applyFill="1" applyBorder="1" applyAlignment="1">
      <alignment horizontal="center"/>
    </xf>
    <xf numFmtId="1" fontId="10" fillId="12" borderId="24" xfId="0" applyNumberFormat="1" applyFont="1" applyFill="1" applyBorder="1"/>
    <xf numFmtId="1" fontId="13" fillId="3" borderId="29" xfId="0" applyNumberFormat="1" applyFont="1" applyFill="1" applyBorder="1" applyAlignment="1">
      <alignment horizontal="center"/>
    </xf>
    <xf numFmtId="0" fontId="36" fillId="5" borderId="33" xfId="0" applyFont="1" applyFill="1" applyBorder="1"/>
    <xf numFmtId="0" fontId="0" fillId="3" borderId="0" xfId="0" applyFill="1" applyAlignment="1">
      <alignment horizontal="center"/>
    </xf>
    <xf numFmtId="17" fontId="2" fillId="3" borderId="8" xfId="0" applyNumberFormat="1" applyFont="1" applyFill="1" applyBorder="1" applyAlignment="1">
      <alignment horizontal="center"/>
    </xf>
    <xf numFmtId="0" fontId="56" fillId="18" borderId="4" xfId="0" applyFont="1" applyFill="1" applyBorder="1" applyAlignment="1">
      <alignment horizontal="center"/>
    </xf>
    <xf numFmtId="0" fontId="56" fillId="18" borderId="6" xfId="0" applyFont="1" applyFill="1" applyBorder="1" applyAlignment="1">
      <alignment horizontal="center"/>
    </xf>
    <xf numFmtId="17" fontId="14" fillId="7" borderId="8" xfId="0" applyNumberFormat="1" applyFont="1" applyFill="1" applyBorder="1" applyAlignment="1">
      <alignment horizontal="center"/>
    </xf>
    <xf numFmtId="17" fontId="15" fillId="7" borderId="8" xfId="0" applyNumberFormat="1" applyFont="1" applyFill="1" applyBorder="1" applyAlignment="1">
      <alignment horizontal="center"/>
    </xf>
    <xf numFmtId="0" fontId="71" fillId="3" borderId="27" xfId="0" applyFont="1" applyFill="1" applyBorder="1" applyAlignment="1">
      <alignment horizontal="right"/>
    </xf>
    <xf numFmtId="0" fontId="78" fillId="3" borderId="29" xfId="0" applyFont="1" applyFill="1" applyBorder="1"/>
    <xf numFmtId="0" fontId="71" fillId="3" borderId="20" xfId="0" applyFont="1" applyFill="1" applyBorder="1"/>
    <xf numFmtId="0" fontId="71" fillId="3" borderId="19" xfId="0" applyFont="1" applyFill="1" applyBorder="1"/>
    <xf numFmtId="0" fontId="71" fillId="3" borderId="18" xfId="0" applyFont="1" applyFill="1" applyBorder="1"/>
    <xf numFmtId="1" fontId="71" fillId="3" borderId="18" xfId="0" applyNumberFormat="1" applyFont="1" applyFill="1" applyBorder="1"/>
    <xf numFmtId="0" fontId="71" fillId="3" borderId="11" xfId="0" applyFont="1" applyFill="1" applyBorder="1" applyAlignment="1">
      <alignment horizontal="center"/>
    </xf>
    <xf numFmtId="0" fontId="71" fillId="3" borderId="10" xfId="0" applyFont="1" applyFill="1" applyBorder="1" applyAlignment="1">
      <alignment horizontal="center"/>
    </xf>
    <xf numFmtId="0" fontId="71" fillId="3" borderId="14" xfId="0" applyFont="1" applyFill="1" applyBorder="1" applyAlignment="1">
      <alignment horizontal="center"/>
    </xf>
    <xf numFmtId="1" fontId="71" fillId="3" borderId="14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35" fillId="5" borderId="0" xfId="0" applyFont="1" applyFill="1"/>
    <xf numFmtId="0" fontId="35" fillId="5" borderId="6" xfId="0" applyFont="1" applyFill="1" applyBorder="1"/>
    <xf numFmtId="0" fontId="41" fillId="5" borderId="0" xfId="0" applyFont="1" applyFill="1"/>
    <xf numFmtId="0" fontId="41" fillId="5" borderId="6" xfId="0" applyFont="1" applyFill="1" applyBorder="1"/>
    <xf numFmtId="0" fontId="14" fillId="3" borderId="4" xfId="0" applyFont="1" applyFill="1" applyBorder="1" applyAlignment="1">
      <alignment horizontal="center"/>
    </xf>
    <xf numFmtId="0" fontId="65" fillId="3" borderId="23" xfId="0" applyFont="1" applyFill="1" applyBorder="1" applyAlignment="1">
      <alignment horizontal="center"/>
    </xf>
    <xf numFmtId="0" fontId="35" fillId="5" borderId="20" xfId="0" applyFont="1" applyFill="1" applyBorder="1"/>
    <xf numFmtId="0" fontId="35" fillId="5" borderId="19" xfId="0" applyFont="1" applyFill="1" applyBorder="1"/>
    <xf numFmtId="0" fontId="35" fillId="5" borderId="18" xfId="0" applyFont="1" applyFill="1" applyBorder="1"/>
    <xf numFmtId="0" fontId="41" fillId="5" borderId="19" xfId="0" applyFont="1" applyFill="1" applyBorder="1"/>
    <xf numFmtId="0" fontId="41" fillId="5" borderId="18" xfId="0" applyFont="1" applyFill="1" applyBorder="1"/>
    <xf numFmtId="0" fontId="53" fillId="3" borderId="13" xfId="0" applyFont="1" applyFill="1" applyBorder="1" applyAlignment="1">
      <alignment horizontal="center"/>
    </xf>
    <xf numFmtId="0" fontId="65" fillId="3" borderId="0" xfId="0" applyFont="1" applyFill="1" applyAlignment="1">
      <alignment horizontal="center"/>
    </xf>
    <xf numFmtId="1" fontId="65" fillId="3" borderId="6" xfId="0" applyNumberFormat="1" applyFont="1" applyFill="1" applyBorder="1" applyAlignment="1">
      <alignment horizontal="center"/>
    </xf>
    <xf numFmtId="0" fontId="71" fillId="3" borderId="9" xfId="0" applyFont="1" applyFill="1" applyBorder="1" applyAlignment="1">
      <alignment horizontal="center"/>
    </xf>
    <xf numFmtId="1" fontId="71" fillId="3" borderId="13" xfId="0" applyNumberFormat="1" applyFont="1" applyFill="1" applyBorder="1" applyAlignment="1">
      <alignment horizontal="center"/>
    </xf>
    <xf numFmtId="0" fontId="31" fillId="5" borderId="18" xfId="0" applyFont="1" applyFill="1" applyBorder="1" applyAlignment="1">
      <alignment horizontal="center"/>
    </xf>
    <xf numFmtId="0" fontId="56" fillId="3" borderId="4" xfId="0" applyFont="1" applyFill="1" applyBorder="1" applyAlignment="1">
      <alignment horizontal="center"/>
    </xf>
    <xf numFmtId="0" fontId="56" fillId="3" borderId="6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79" fillId="10" borderId="5" xfId="0" applyFont="1" applyFill="1" applyBorder="1"/>
    <xf numFmtId="0" fontId="3" fillId="3" borderId="23" xfId="0" applyFont="1" applyFill="1" applyBorder="1" applyAlignment="1">
      <alignment horizontal="center"/>
    </xf>
    <xf numFmtId="0" fontId="80" fillId="16" borderId="18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53" fillId="3" borderId="23" xfId="0" applyFont="1" applyFill="1" applyBorder="1" applyAlignment="1">
      <alignment horizontal="center"/>
    </xf>
    <xf numFmtId="0" fontId="29" fillId="5" borderId="3" xfId="0" applyFont="1" applyFill="1" applyBorder="1"/>
    <xf numFmtId="0" fontId="17" fillId="10" borderId="20" xfId="0" applyFont="1" applyFill="1" applyBorder="1"/>
    <xf numFmtId="0" fontId="3" fillId="3" borderId="3" xfId="0" applyFont="1" applyFill="1" applyBorder="1" applyAlignment="1">
      <alignment horizontal="center"/>
    </xf>
    <xf numFmtId="0" fontId="80" fillId="16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53" fillId="3" borderId="11" xfId="0" applyFont="1" applyFill="1" applyBorder="1" applyAlignment="1">
      <alignment horizontal="center"/>
    </xf>
    <xf numFmtId="0" fontId="66" fillId="5" borderId="1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81" fillId="3" borderId="11" xfId="0" applyFont="1" applyFill="1" applyBorder="1" applyAlignment="1">
      <alignment horizontal="center"/>
    </xf>
    <xf numFmtId="0" fontId="82" fillId="3" borderId="11" xfId="0" applyFont="1" applyFill="1" applyBorder="1" applyAlignment="1">
      <alignment horizontal="center"/>
    </xf>
    <xf numFmtId="0" fontId="52" fillId="3" borderId="11" xfId="0" applyFont="1" applyFill="1" applyBorder="1" applyAlignment="1">
      <alignment horizontal="center"/>
    </xf>
    <xf numFmtId="0" fontId="52" fillId="3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82" fillId="3" borderId="12" xfId="0" applyFont="1" applyFill="1" applyBorder="1" applyAlignment="1">
      <alignment horizontal="center"/>
    </xf>
    <xf numFmtId="0" fontId="82" fillId="3" borderId="2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29" fillId="5" borderId="15" xfId="0" applyFont="1" applyFill="1" applyBorder="1"/>
    <xf numFmtId="0" fontId="17" fillId="10" borderId="19" xfId="0" applyFont="1" applyFill="1" applyBorder="1"/>
    <xf numFmtId="0" fontId="3" fillId="3" borderId="15" xfId="0" applyFont="1" applyFill="1" applyBorder="1" applyAlignment="1">
      <alignment horizontal="center"/>
    </xf>
    <xf numFmtId="0" fontId="80" fillId="16" borderId="10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53" fillId="3" borderId="10" xfId="0" applyFont="1" applyFill="1" applyBorder="1" applyAlignment="1">
      <alignment horizontal="center"/>
    </xf>
    <xf numFmtId="0" fontId="66" fillId="5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81" fillId="3" borderId="10" xfId="0" applyFont="1" applyFill="1" applyBorder="1" applyAlignment="1">
      <alignment horizontal="center"/>
    </xf>
    <xf numFmtId="0" fontId="82" fillId="3" borderId="10" xfId="0" applyFont="1" applyFill="1" applyBorder="1" applyAlignment="1">
      <alignment horizontal="center"/>
    </xf>
    <xf numFmtId="0" fontId="52" fillId="3" borderId="10" xfId="0" applyFont="1" applyFill="1" applyBorder="1" applyAlignment="1">
      <alignment horizontal="center"/>
    </xf>
    <xf numFmtId="0" fontId="52" fillId="3" borderId="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82" fillId="3" borderId="9" xfId="0" applyFont="1" applyFill="1" applyBorder="1" applyAlignment="1">
      <alignment horizontal="center"/>
    </xf>
    <xf numFmtId="0" fontId="82" fillId="3" borderId="1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52" fillId="3" borderId="19" xfId="0" applyFont="1" applyFill="1" applyBorder="1" applyAlignment="1">
      <alignment horizontal="center"/>
    </xf>
    <xf numFmtId="0" fontId="17" fillId="10" borderId="18" xfId="0" applyFont="1" applyFill="1" applyBorder="1"/>
    <xf numFmtId="0" fontId="3" fillId="3" borderId="5" xfId="0" applyFont="1" applyFill="1" applyBorder="1" applyAlignment="1">
      <alignment horizontal="center"/>
    </xf>
    <xf numFmtId="0" fontId="80" fillId="16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29" fillId="5" borderId="5" xfId="0" applyFont="1" applyFill="1" applyBorder="1"/>
    <xf numFmtId="1" fontId="17" fillId="10" borderId="18" xfId="0" applyNumberFormat="1" applyFont="1" applyFill="1" applyBorder="1"/>
    <xf numFmtId="1" fontId="3" fillId="3" borderId="5" xfId="0" applyNumberFormat="1" applyFont="1" applyFill="1" applyBorder="1" applyAlignment="1">
      <alignment horizontal="center"/>
    </xf>
    <xf numFmtId="1" fontId="80" fillId="16" borderId="14" xfId="0" applyNumberFormat="1" applyFont="1" applyFill="1" applyBorder="1" applyAlignment="1">
      <alignment horizontal="center"/>
    </xf>
    <xf numFmtId="0" fontId="81" fillId="3" borderId="14" xfId="0" applyFont="1" applyFill="1" applyBorder="1" applyAlignment="1">
      <alignment horizontal="center"/>
    </xf>
    <xf numFmtId="0" fontId="82" fillId="3" borderId="14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82" fillId="3" borderId="1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82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1" fontId="52" fillId="3" borderId="6" xfId="0" applyNumberFormat="1" applyFont="1" applyFill="1" applyBorder="1" applyAlignment="1">
      <alignment horizontal="center"/>
    </xf>
    <xf numFmtId="0" fontId="56" fillId="13" borderId="4" xfId="0" applyFont="1" applyFill="1" applyBorder="1" applyAlignment="1">
      <alignment horizontal="center"/>
    </xf>
    <xf numFmtId="0" fontId="56" fillId="13" borderId="6" xfId="0" applyFont="1" applyFill="1" applyBorder="1" applyAlignment="1">
      <alignment horizontal="center"/>
    </xf>
    <xf numFmtId="0" fontId="35" fillId="5" borderId="4" xfId="0" applyFont="1" applyFill="1" applyBorder="1"/>
    <xf numFmtId="0" fontId="2" fillId="13" borderId="3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1" fontId="14" fillId="13" borderId="14" xfId="0" applyNumberFormat="1" applyFont="1" applyFill="1" applyBorder="1" applyAlignment="1">
      <alignment horizontal="center"/>
    </xf>
    <xf numFmtId="0" fontId="42" fillId="3" borderId="19" xfId="0" applyFont="1" applyFill="1" applyBorder="1"/>
    <xf numFmtId="0" fontId="42" fillId="3" borderId="18" xfId="0" applyFont="1" applyFill="1" applyBorder="1"/>
    <xf numFmtId="0" fontId="14" fillId="13" borderId="14" xfId="0" applyFont="1" applyFill="1" applyBorder="1" applyAlignment="1">
      <alignment horizontal="center"/>
    </xf>
    <xf numFmtId="0" fontId="56" fillId="12" borderId="4" xfId="0" applyFont="1" applyFill="1" applyBorder="1" applyAlignment="1">
      <alignment horizontal="center"/>
    </xf>
    <xf numFmtId="0" fontId="56" fillId="12" borderId="6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right"/>
    </xf>
    <xf numFmtId="0" fontId="83" fillId="3" borderId="29" xfId="0" applyFont="1" applyFill="1" applyBorder="1"/>
    <xf numFmtId="0" fontId="11" fillId="3" borderId="20" xfId="0" applyFont="1" applyFill="1" applyBorder="1"/>
    <xf numFmtId="0" fontId="11" fillId="3" borderId="19" xfId="0" applyFont="1" applyFill="1" applyBorder="1"/>
    <xf numFmtId="0" fontId="11" fillId="3" borderId="18" xfId="0" applyFont="1" applyFill="1" applyBorder="1"/>
    <xf numFmtId="1" fontId="11" fillId="3" borderId="18" xfId="0" applyNumberFormat="1" applyFont="1" applyFill="1" applyBorder="1"/>
    <xf numFmtId="0" fontId="11" fillId="3" borderId="1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1" fontId="11" fillId="3" borderId="13" xfId="0" applyNumberFormat="1" applyFont="1" applyFill="1" applyBorder="1" applyAlignment="1">
      <alignment horizontal="center"/>
    </xf>
    <xf numFmtId="17" fontId="73" fillId="7" borderId="8" xfId="0" applyNumberFormat="1" applyFont="1" applyFill="1" applyBorder="1" applyAlignment="1">
      <alignment horizontal="center"/>
    </xf>
    <xf numFmtId="0" fontId="13" fillId="18" borderId="6" xfId="0" applyFont="1" applyFill="1" applyBorder="1" applyAlignment="1">
      <alignment horizontal="center"/>
    </xf>
    <xf numFmtId="0" fontId="13" fillId="15" borderId="10" xfId="0" applyFont="1" applyFill="1" applyBorder="1" applyAlignment="1">
      <alignment horizontal="center"/>
    </xf>
    <xf numFmtId="0" fontId="13" fillId="15" borderId="9" xfId="0" applyFont="1" applyFill="1" applyBorder="1" applyAlignment="1">
      <alignment horizontal="center"/>
    </xf>
    <xf numFmtId="0" fontId="13" fillId="15" borderId="13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53" fillId="0" borderId="0" xfId="0" applyFont="1"/>
    <xf numFmtId="0" fontId="13" fillId="12" borderId="4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/>
    </xf>
    <xf numFmtId="0" fontId="5" fillId="12" borderId="5" xfId="0" applyFont="1" applyFill="1" applyBorder="1"/>
    <xf numFmtId="0" fontId="56" fillId="4" borderId="4" xfId="0" applyFont="1" applyFill="1" applyBorder="1" applyAlignment="1">
      <alignment horizontal="center"/>
    </xf>
    <xf numFmtId="0" fontId="56" fillId="4" borderId="6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36" fillId="3" borderId="0" xfId="0" applyFont="1" applyFill="1"/>
    <xf numFmtId="0" fontId="74" fillId="5" borderId="27" xfId="0" applyFont="1" applyFill="1" applyBorder="1" applyAlignment="1">
      <alignment horizontal="right"/>
    </xf>
    <xf numFmtId="0" fontId="36" fillId="5" borderId="11" xfId="0" applyFont="1" applyFill="1" applyBorder="1" applyAlignment="1">
      <alignment horizontal="center"/>
    </xf>
    <xf numFmtId="0" fontId="37" fillId="5" borderId="11" xfId="0" applyFont="1" applyFill="1" applyBorder="1" applyAlignment="1">
      <alignment horizontal="center"/>
    </xf>
    <xf numFmtId="0" fontId="44" fillId="5" borderId="11" xfId="0" applyFont="1" applyFill="1" applyBorder="1" applyAlignment="1">
      <alignment horizontal="center"/>
    </xf>
    <xf numFmtId="0" fontId="44" fillId="3" borderId="11" xfId="0" applyFont="1" applyFill="1" applyBorder="1" applyAlignment="1">
      <alignment horizontal="center"/>
    </xf>
    <xf numFmtId="0" fontId="36" fillId="3" borderId="11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70" fillId="3" borderId="18" xfId="0" applyFont="1" applyFill="1" applyBorder="1"/>
    <xf numFmtId="0" fontId="37" fillId="5" borderId="13" xfId="0" applyFont="1" applyFill="1" applyBorder="1" applyAlignment="1">
      <alignment horizontal="center"/>
    </xf>
    <xf numFmtId="0" fontId="53" fillId="3" borderId="0" xfId="0" applyFont="1" applyFill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43" fillId="5" borderId="0" xfId="0" applyFont="1" applyFill="1"/>
    <xf numFmtId="0" fontId="13" fillId="10" borderId="4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65" fillId="3" borderId="4" xfId="0" applyFont="1" applyFill="1" applyBorder="1" applyAlignment="1">
      <alignment horizontal="center"/>
    </xf>
    <xf numFmtId="0" fontId="65" fillId="3" borderId="6" xfId="0" applyFont="1" applyFill="1" applyBorder="1" applyAlignment="1">
      <alignment horizontal="center"/>
    </xf>
    <xf numFmtId="0" fontId="65" fillId="5" borderId="19" xfId="0" applyFont="1" applyFill="1" applyBorder="1" applyAlignment="1">
      <alignment horizontal="center"/>
    </xf>
    <xf numFmtId="0" fontId="65" fillId="5" borderId="18" xfId="0" applyFont="1" applyFill="1" applyBorder="1" applyAlignment="1">
      <alignment horizontal="center"/>
    </xf>
    <xf numFmtId="0" fontId="65" fillId="5" borderId="12" xfId="0" applyFont="1" applyFill="1" applyBorder="1" applyAlignment="1">
      <alignment horizontal="center"/>
    </xf>
    <xf numFmtId="0" fontId="65" fillId="5" borderId="9" xfId="0" applyFont="1" applyFill="1" applyBorder="1" applyAlignment="1">
      <alignment horizontal="center"/>
    </xf>
    <xf numFmtId="0" fontId="65" fillId="5" borderId="13" xfId="0" applyFont="1" applyFill="1" applyBorder="1" applyAlignment="1">
      <alignment horizontal="center"/>
    </xf>
    <xf numFmtId="0" fontId="65" fillId="3" borderId="19" xfId="0" applyFont="1" applyFill="1" applyBorder="1" applyAlignment="1">
      <alignment horizontal="center"/>
    </xf>
    <xf numFmtId="0" fontId="65" fillId="3" borderId="18" xfId="0" applyFont="1" applyFill="1" applyBorder="1" applyAlignment="1">
      <alignment horizontal="center"/>
    </xf>
    <xf numFmtId="0" fontId="65" fillId="5" borderId="20" xfId="0" applyFont="1" applyFill="1" applyBorder="1" applyAlignment="1">
      <alignment horizontal="center"/>
    </xf>
    <xf numFmtId="0" fontId="65" fillId="3" borderId="9" xfId="0" applyFont="1" applyFill="1" applyBorder="1" applyAlignment="1">
      <alignment horizontal="center"/>
    </xf>
    <xf numFmtId="0" fontId="65" fillId="3" borderId="13" xfId="0" applyFont="1" applyFill="1" applyBorder="1" applyAlignment="1">
      <alignment horizontal="center"/>
    </xf>
    <xf numFmtId="0" fontId="74" fillId="5" borderId="0" xfId="0" applyFont="1" applyFill="1" applyAlignment="1">
      <alignment horizontal="right"/>
    </xf>
    <xf numFmtId="0" fontId="44" fillId="3" borderId="0" xfId="0" applyFont="1" applyFill="1" applyAlignment="1">
      <alignment horizontal="center"/>
    </xf>
    <xf numFmtId="0" fontId="41" fillId="5" borderId="10" xfId="0" applyFont="1" applyFill="1" applyBorder="1" applyAlignment="1">
      <alignment horizontal="center"/>
    </xf>
    <xf numFmtId="0" fontId="41" fillId="3" borderId="10" xfId="0" applyFont="1" applyFill="1" applyBorder="1" applyAlignment="1">
      <alignment horizontal="center"/>
    </xf>
    <xf numFmtId="0" fontId="45" fillId="5" borderId="10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right"/>
    </xf>
    <xf numFmtId="0" fontId="36" fillId="4" borderId="18" xfId="0" applyFont="1" applyFill="1" applyBorder="1"/>
    <xf numFmtId="0" fontId="44" fillId="3" borderId="6" xfId="0" applyFont="1" applyFill="1" applyBorder="1" applyAlignment="1">
      <alignment horizontal="center"/>
    </xf>
    <xf numFmtId="0" fontId="65" fillId="3" borderId="20" xfId="0" applyFont="1" applyFill="1" applyBorder="1" applyAlignment="1">
      <alignment horizontal="center"/>
    </xf>
    <xf numFmtId="0" fontId="52" fillId="5" borderId="20" xfId="0" applyFont="1" applyFill="1" applyBorder="1" applyAlignment="1">
      <alignment horizontal="center"/>
    </xf>
    <xf numFmtId="0" fontId="52" fillId="5" borderId="19" xfId="0" applyFont="1" applyFill="1" applyBorder="1" applyAlignment="1">
      <alignment horizontal="center"/>
    </xf>
    <xf numFmtId="0" fontId="52" fillId="5" borderId="18" xfId="0" applyFont="1" applyFill="1" applyBorder="1" applyAlignment="1">
      <alignment horizontal="center"/>
    </xf>
    <xf numFmtId="0" fontId="20" fillId="8" borderId="20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0" fontId="52" fillId="5" borderId="20" xfId="0" applyFont="1" applyFill="1" applyBorder="1"/>
    <xf numFmtId="0" fontId="52" fillId="5" borderId="19" xfId="0" applyFont="1" applyFill="1" applyBorder="1"/>
    <xf numFmtId="0" fontId="52" fillId="5" borderId="18" xfId="0" applyFont="1" applyFill="1" applyBorder="1"/>
    <xf numFmtId="1" fontId="56" fillId="5" borderId="13" xfId="0" applyNumberFormat="1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31" fillId="5" borderId="30" xfId="0" applyFont="1" applyFill="1" applyBorder="1"/>
    <xf numFmtId="0" fontId="65" fillId="3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56" fillId="6" borderId="4" xfId="0" applyFont="1" applyFill="1" applyBorder="1" applyAlignment="1">
      <alignment horizontal="center"/>
    </xf>
    <xf numFmtId="0" fontId="60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56" fillId="6" borderId="6" xfId="0" applyFont="1" applyFill="1" applyBorder="1" applyAlignment="1">
      <alignment horizontal="center"/>
    </xf>
    <xf numFmtId="0" fontId="17" fillId="6" borderId="6" xfId="0" applyFont="1" applyFill="1" applyBorder="1"/>
    <xf numFmtId="0" fontId="17" fillId="6" borderId="23" xfId="0" applyFont="1" applyFill="1" applyBorder="1"/>
    <xf numFmtId="0" fontId="36" fillId="5" borderId="19" xfId="0" applyFont="1" applyFill="1" applyBorder="1" applyAlignment="1">
      <alignment horizontal="center"/>
    </xf>
    <xf numFmtId="0" fontId="47" fillId="10" borderId="18" xfId="0" applyFont="1" applyFill="1" applyBorder="1"/>
    <xf numFmtId="0" fontId="36" fillId="5" borderId="18" xfId="0" applyFont="1" applyFill="1" applyBorder="1" applyAlignment="1">
      <alignment horizontal="center"/>
    </xf>
    <xf numFmtId="0" fontId="44" fillId="3" borderId="14" xfId="0" applyFont="1" applyFill="1" applyBorder="1" applyAlignment="1">
      <alignment horizontal="center"/>
    </xf>
    <xf numFmtId="0" fontId="65" fillId="13" borderId="4" xfId="0" applyFont="1" applyFill="1" applyBorder="1" applyAlignment="1">
      <alignment horizontal="center"/>
    </xf>
    <xf numFmtId="0" fontId="65" fillId="13" borderId="6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1" xfId="0" applyFont="1" applyFill="1" applyBorder="1" applyAlignment="1">
      <alignment horizontal="center"/>
    </xf>
    <xf numFmtId="0" fontId="65" fillId="3" borderId="3" xfId="0" applyFont="1" applyFill="1" applyBorder="1" applyAlignment="1">
      <alignment horizontal="center"/>
    </xf>
    <xf numFmtId="0" fontId="65" fillId="3" borderId="21" xfId="0" applyFont="1" applyFill="1" applyBorder="1" applyAlignment="1">
      <alignment horizontal="center"/>
    </xf>
    <xf numFmtId="0" fontId="71" fillId="2" borderId="14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68" fillId="3" borderId="19" xfId="0" applyFont="1" applyFill="1" applyBorder="1" applyAlignment="1">
      <alignment horizontal="right"/>
    </xf>
    <xf numFmtId="0" fontId="69" fillId="3" borderId="19" xfId="0" applyFont="1" applyFill="1" applyBorder="1" applyAlignment="1">
      <alignment horizontal="right"/>
    </xf>
    <xf numFmtId="0" fontId="69" fillId="3" borderId="18" xfId="0" applyFont="1" applyFill="1" applyBorder="1" applyAlignment="1">
      <alignment horizontal="right"/>
    </xf>
    <xf numFmtId="0" fontId="4" fillId="13" borderId="27" xfId="0" applyFont="1" applyFill="1" applyBorder="1" applyAlignment="1">
      <alignment horizontal="right"/>
    </xf>
    <xf numFmtId="0" fontId="13" fillId="13" borderId="28" xfId="0" applyFont="1" applyFill="1" applyBorder="1" applyAlignment="1">
      <alignment horizontal="right"/>
    </xf>
    <xf numFmtId="0" fontId="13" fillId="13" borderId="29" xfId="0" applyFont="1" applyFill="1" applyBorder="1" applyAlignment="1">
      <alignment horizontal="right"/>
    </xf>
    <xf numFmtId="0" fontId="6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right"/>
    </xf>
    <xf numFmtId="0" fontId="16" fillId="12" borderId="19" xfId="0" applyFont="1" applyFill="1" applyBorder="1" applyAlignment="1">
      <alignment horizontal="right"/>
    </xf>
    <xf numFmtId="0" fontId="16" fillId="12" borderId="18" xfId="0" applyFont="1" applyFill="1" applyBorder="1" applyAlignment="1">
      <alignment horizontal="right"/>
    </xf>
    <xf numFmtId="0" fontId="13" fillId="3" borderId="3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9" xfId="0" applyFill="1" applyBorder="1" applyAlignment="1">
      <alignment horizontal="center"/>
    </xf>
    <xf numFmtId="0" fontId="21" fillId="3" borderId="27" xfId="0" applyFont="1" applyFill="1" applyBorder="1" applyAlignment="1">
      <alignment horizontal="right"/>
    </xf>
    <xf numFmtId="0" fontId="11" fillId="3" borderId="28" xfId="0" applyFont="1" applyFill="1" applyBorder="1" applyAlignment="1">
      <alignment horizontal="right"/>
    </xf>
    <xf numFmtId="0" fontId="11" fillId="3" borderId="29" xfId="0" applyFont="1" applyFill="1" applyBorder="1" applyAlignment="1">
      <alignment horizontal="right"/>
    </xf>
    <xf numFmtId="0" fontId="4" fillId="4" borderId="19" xfId="0" applyFont="1" applyFill="1" applyBorder="1" applyAlignment="1">
      <alignment horizontal="right"/>
    </xf>
    <xf numFmtId="0" fontId="3" fillId="4" borderId="19" xfId="0" applyFont="1" applyFill="1" applyBorder="1" applyAlignment="1">
      <alignment horizontal="right"/>
    </xf>
    <xf numFmtId="0" fontId="3" fillId="4" borderId="18" xfId="0" applyFont="1" applyFill="1" applyBorder="1" applyAlignment="1">
      <alignment horizontal="right"/>
    </xf>
    <xf numFmtId="0" fontId="1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19" xfId="0" applyFill="1" applyBorder="1" applyAlignment="1">
      <alignment horizontal="center"/>
    </xf>
    <xf numFmtId="0" fontId="53" fillId="3" borderId="3" xfId="0" applyFont="1" applyFill="1" applyBorder="1" applyAlignment="1">
      <alignment horizontal="center"/>
    </xf>
    <xf numFmtId="0" fontId="53" fillId="3" borderId="21" xfId="0" applyFont="1" applyFill="1" applyBorder="1" applyAlignment="1">
      <alignment horizontal="center"/>
    </xf>
    <xf numFmtId="0" fontId="26" fillId="10" borderId="19" xfId="0" applyFont="1" applyFill="1" applyBorder="1" applyAlignment="1">
      <alignment horizontal="right"/>
    </xf>
    <xf numFmtId="0" fontId="17" fillId="10" borderId="19" xfId="0" applyFont="1" applyFill="1" applyBorder="1" applyAlignment="1">
      <alignment horizontal="right"/>
    </xf>
    <xf numFmtId="0" fontId="17" fillId="10" borderId="18" xfId="0" applyFont="1" applyFill="1" applyBorder="1" applyAlignment="1">
      <alignment horizontal="right"/>
    </xf>
    <xf numFmtId="0" fontId="10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10" borderId="19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right"/>
    </xf>
    <xf numFmtId="0" fontId="3" fillId="18" borderId="19" xfId="0" applyFont="1" applyFill="1" applyBorder="1" applyAlignment="1">
      <alignment horizontal="right"/>
    </xf>
    <xf numFmtId="0" fontId="3" fillId="18" borderId="18" xfId="0" applyFont="1" applyFill="1" applyBorder="1" applyAlignment="1">
      <alignment horizontal="right"/>
    </xf>
    <xf numFmtId="0" fontId="13" fillId="18" borderId="0" xfId="0" applyFont="1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19" xfId="0" applyFill="1" applyBorder="1" applyAlignment="1">
      <alignment horizontal="center"/>
    </xf>
    <xf numFmtId="0" fontId="4" fillId="3" borderId="20" xfId="0" applyFont="1" applyFill="1" applyBorder="1" applyAlignment="1">
      <alignment horizontal="right"/>
    </xf>
    <xf numFmtId="0" fontId="3" fillId="3" borderId="19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9" xfId="0" applyFill="1" applyBorder="1" applyAlignment="1">
      <alignment horizontal="center"/>
    </xf>
    <xf numFmtId="0" fontId="24" fillId="3" borderId="27" xfId="0" applyFont="1" applyFill="1" applyBorder="1" applyAlignment="1">
      <alignment horizontal="right"/>
    </xf>
    <xf numFmtId="0" fontId="28" fillId="3" borderId="28" xfId="0" applyFont="1" applyFill="1" applyBorder="1" applyAlignment="1">
      <alignment horizontal="right"/>
    </xf>
    <xf numFmtId="0" fontId="28" fillId="3" borderId="29" xfId="0" applyFont="1" applyFill="1" applyBorder="1" applyAlignment="1">
      <alignment horizontal="right"/>
    </xf>
    <xf numFmtId="0" fontId="2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25" fillId="3" borderId="19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right"/>
    </xf>
    <xf numFmtId="0" fontId="13" fillId="6" borderId="28" xfId="0" applyFont="1" applyFill="1" applyBorder="1" applyAlignment="1">
      <alignment horizontal="right"/>
    </xf>
    <xf numFmtId="0" fontId="13" fillId="6" borderId="29" xfId="0" applyFont="1" applyFill="1" applyBorder="1" applyAlignment="1">
      <alignment horizontal="right"/>
    </xf>
    <xf numFmtId="0" fontId="10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19" xfId="0" applyFont="1" applyFill="1" applyBorder="1" applyAlignment="1">
      <alignment horizontal="center"/>
    </xf>
    <xf numFmtId="0" fontId="85" fillId="3" borderId="8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7E39"/>
      <color rgb="FFE6AF00"/>
      <color rgb="FFBFBFBF"/>
      <color rgb="FF632523"/>
      <color rgb="FFFF2121"/>
      <color rgb="FFD6A300"/>
      <color rgb="FFB72A13"/>
      <color rgb="FF589B07"/>
      <color rgb="FF009900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17253</xdr:colOff>
      <xdr:row>486</xdr:row>
      <xdr:rowOff>172529</xdr:rowOff>
    </xdr:from>
    <xdr:to>
      <xdr:col>0</xdr:col>
      <xdr:colOff>1463004</xdr:colOff>
      <xdr:row>494</xdr:row>
      <xdr:rowOff>128784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17CBC-2559-4EAA-B836-96169BC9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3" y="98582672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EE818-89A1-4716-8CD0-15BBD701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0211" y="0"/>
          <a:ext cx="1445751" cy="1431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440</xdr:row>
      <xdr:rowOff>0</xdr:rowOff>
    </xdr:from>
    <xdr:to>
      <xdr:col>0</xdr:col>
      <xdr:colOff>1445751</xdr:colOff>
      <xdr:row>447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6A9F-987D-47AD-952B-C57F115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82143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B584AA-873A-45C1-955F-A7226377A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90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454</xdr:row>
      <xdr:rowOff>0</xdr:rowOff>
    </xdr:from>
    <xdr:to>
      <xdr:col>0</xdr:col>
      <xdr:colOff>1445751</xdr:colOff>
      <xdr:row>461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C7262-35E3-4B78-8D2A-E53B160B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0B0E84-A964-4E54-A7E7-655AEB1D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0211" y="0"/>
          <a:ext cx="1445751" cy="1431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396</xdr:row>
      <xdr:rowOff>0</xdr:rowOff>
    </xdr:from>
    <xdr:to>
      <xdr:col>0</xdr:col>
      <xdr:colOff>1445751</xdr:colOff>
      <xdr:row>403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D7D2D-6BC0-4274-BEDF-EF4407DC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154663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01D88-27E0-4E03-ABA6-ED3A081B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4166" y="0"/>
          <a:ext cx="1445751" cy="1431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464</xdr:row>
      <xdr:rowOff>0</xdr:rowOff>
    </xdr:from>
    <xdr:to>
      <xdr:col>0</xdr:col>
      <xdr:colOff>1445751</xdr:colOff>
      <xdr:row>471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A6BF9-6CCC-4753-B5F9-0ED8630B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B41F6-BABC-4183-9952-33265E70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1970" y="0"/>
          <a:ext cx="1445751" cy="14313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511</xdr:row>
      <xdr:rowOff>0</xdr:rowOff>
    </xdr:from>
    <xdr:to>
      <xdr:col>0</xdr:col>
      <xdr:colOff>1445751</xdr:colOff>
      <xdr:row>518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4F6C6-3C9B-4661-A37F-8CD49896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7D9DC5-B46A-4DAB-BCD9-85A00C50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3343" y="0"/>
          <a:ext cx="1445751" cy="14313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423</xdr:row>
      <xdr:rowOff>0</xdr:rowOff>
    </xdr:from>
    <xdr:to>
      <xdr:col>0</xdr:col>
      <xdr:colOff>1445751</xdr:colOff>
      <xdr:row>430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00398-B618-4F07-B118-F8B56177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9E070-7056-4C7C-B633-5E35EE48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420</xdr:row>
      <xdr:rowOff>0</xdr:rowOff>
    </xdr:from>
    <xdr:to>
      <xdr:col>0</xdr:col>
      <xdr:colOff>1445751</xdr:colOff>
      <xdr:row>427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44BA1-CE3E-4DE2-9D1C-E2298F13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220801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E74F6-7A05-4BA2-93B5-2ACB9374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7525" y="0"/>
          <a:ext cx="1445751" cy="1431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453</xdr:row>
      <xdr:rowOff>0</xdr:rowOff>
    </xdr:from>
    <xdr:to>
      <xdr:col>0</xdr:col>
      <xdr:colOff>1445751</xdr:colOff>
      <xdr:row>460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E36B2-C485-455B-ABFB-83BB5527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8626</xdr:colOff>
      <xdr:row>0</xdr:row>
      <xdr:rowOff>0</xdr:rowOff>
    </xdr:from>
    <xdr:to>
      <xdr:col>50</xdr:col>
      <xdr:colOff>229426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852C9-804A-4180-BBE8-A03396C4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9773" y="0"/>
          <a:ext cx="1445751" cy="1431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415</xdr:row>
      <xdr:rowOff>0</xdr:rowOff>
    </xdr:from>
    <xdr:to>
      <xdr:col>0</xdr:col>
      <xdr:colOff>1445751</xdr:colOff>
      <xdr:row>422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35467-71E9-4F66-8872-B4724376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B3EAA-C9B7-4D09-A851-45EFA459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Users/Ade/Documents/RUGBY%20STATS/PREMIERSHIP%20-%20DATABASE.xlsx" TargetMode="External"/><Relationship Id="rId1" Type="http://schemas.openxmlformats.org/officeDocument/2006/relationships/externalLinkPath" Target="/Users/Ade/Documents/RUGBY%20STATS/PREMIERSHIP%20-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VERALL"/>
      <sheetName val="BH"/>
      <sheetName val="EX"/>
      <sheetName val="GL"/>
      <sheetName val="HQ"/>
      <sheetName val="LD"/>
      <sheetName val="LE"/>
      <sheetName val="LI"/>
      <sheetName val="LW"/>
      <sheetName val="NW"/>
      <sheetName val="NH"/>
      <sheetName val="SL"/>
      <sheetName val="SN"/>
      <sheetName val="WR"/>
      <sheetName val="BD"/>
      <sheetName val="BS"/>
      <sheetName val="LS"/>
      <sheetName val="RM"/>
      <sheetName val="RH"/>
      <sheetName val="WH"/>
    </sheetNames>
    <sheetDataSet>
      <sheetData sheetId="0" refreshError="1"/>
      <sheetData sheetId="1">
        <row r="1">
          <cell r="D1">
            <v>97</v>
          </cell>
          <cell r="E1">
            <v>9</v>
          </cell>
          <cell r="F1">
            <v>80</v>
          </cell>
          <cell r="G1">
            <v>16</v>
          </cell>
        </row>
        <row r="4">
          <cell r="D4">
            <v>14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77</v>
          </cell>
          <cell r="E6">
            <v>4</v>
          </cell>
          <cell r="F6">
            <v>165</v>
          </cell>
          <cell r="G6">
            <v>33</v>
          </cell>
        </row>
        <row r="7">
          <cell r="D7">
            <v>141</v>
          </cell>
          <cell r="E7">
            <v>12</v>
          </cell>
          <cell r="F7">
            <v>1368</v>
          </cell>
          <cell r="G7">
            <v>18</v>
          </cell>
        </row>
        <row r="8">
          <cell r="D8">
            <v>135</v>
          </cell>
          <cell r="E8">
            <v>48</v>
          </cell>
          <cell r="F8">
            <v>15</v>
          </cell>
          <cell r="G8">
            <v>3</v>
          </cell>
        </row>
        <row r="9">
          <cell r="D9">
            <v>4</v>
          </cell>
          <cell r="E9">
            <v>12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15</v>
          </cell>
          <cell r="F10">
            <v>0</v>
          </cell>
          <cell r="G10">
            <v>0</v>
          </cell>
        </row>
        <row r="11">
          <cell r="D11">
            <v>140</v>
          </cell>
          <cell r="E11">
            <v>23</v>
          </cell>
          <cell r="F11">
            <v>35</v>
          </cell>
          <cell r="G11">
            <v>7</v>
          </cell>
        </row>
        <row r="12">
          <cell r="D12">
            <v>3</v>
          </cell>
          <cell r="E12">
            <v>9</v>
          </cell>
          <cell r="F12">
            <v>5</v>
          </cell>
          <cell r="G12">
            <v>1</v>
          </cell>
        </row>
        <row r="13">
          <cell r="D13">
            <v>113</v>
          </cell>
          <cell r="E13">
            <v>36</v>
          </cell>
          <cell r="F13">
            <v>30</v>
          </cell>
          <cell r="G13">
            <v>6</v>
          </cell>
        </row>
        <row r="15">
          <cell r="D15">
            <v>9</v>
          </cell>
          <cell r="E15">
            <v>19</v>
          </cell>
          <cell r="F15">
            <v>0</v>
          </cell>
          <cell r="G15">
            <v>0</v>
          </cell>
        </row>
        <row r="18">
          <cell r="D18">
            <v>29</v>
          </cell>
          <cell r="E18">
            <v>3</v>
          </cell>
          <cell r="F18">
            <v>35</v>
          </cell>
          <cell r="G18">
            <v>7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2">
          <cell r="D22">
            <v>160</v>
          </cell>
          <cell r="E22">
            <v>3</v>
          </cell>
          <cell r="F22">
            <v>20</v>
          </cell>
          <cell r="G22">
            <v>4</v>
          </cell>
        </row>
        <row r="24">
          <cell r="D24">
            <v>2</v>
          </cell>
          <cell r="E24">
            <v>1</v>
          </cell>
          <cell r="F24">
            <v>5</v>
          </cell>
          <cell r="G24">
            <v>1</v>
          </cell>
        </row>
        <row r="27">
          <cell r="D27">
            <v>27</v>
          </cell>
          <cell r="E27">
            <v>9</v>
          </cell>
          <cell r="F27">
            <v>45</v>
          </cell>
          <cell r="G27">
            <v>9</v>
          </cell>
        </row>
        <row r="30">
          <cell r="D30">
            <v>15</v>
          </cell>
          <cell r="E30">
            <v>2</v>
          </cell>
          <cell r="F30">
            <v>0</v>
          </cell>
          <cell r="G30">
            <v>0</v>
          </cell>
        </row>
        <row r="32">
          <cell r="D32">
            <v>43</v>
          </cell>
          <cell r="E32">
            <v>4</v>
          </cell>
          <cell r="F32">
            <v>55</v>
          </cell>
          <cell r="G32">
            <v>11</v>
          </cell>
        </row>
        <row r="33">
          <cell r="D33">
            <v>87</v>
          </cell>
          <cell r="E33">
            <v>4</v>
          </cell>
          <cell r="F33">
            <v>383</v>
          </cell>
          <cell r="G33">
            <v>20</v>
          </cell>
        </row>
        <row r="34">
          <cell r="D34">
            <v>9</v>
          </cell>
          <cell r="E34">
            <v>25</v>
          </cell>
          <cell r="F34">
            <v>5</v>
          </cell>
          <cell r="G34">
            <v>1</v>
          </cell>
        </row>
        <row r="35">
          <cell r="D35">
            <v>28</v>
          </cell>
          <cell r="E35">
            <v>15</v>
          </cell>
          <cell r="F35">
            <v>20</v>
          </cell>
          <cell r="G35">
            <v>4</v>
          </cell>
        </row>
        <row r="37">
          <cell r="D37">
            <v>97</v>
          </cell>
          <cell r="E37">
            <v>4</v>
          </cell>
          <cell r="F37">
            <v>110</v>
          </cell>
          <cell r="G37">
            <v>22</v>
          </cell>
        </row>
        <row r="39">
          <cell r="D39">
            <v>0</v>
          </cell>
          <cell r="E39">
            <v>3</v>
          </cell>
          <cell r="F39">
            <v>0</v>
          </cell>
          <cell r="G39">
            <v>0</v>
          </cell>
        </row>
        <row r="42">
          <cell r="D42">
            <v>0</v>
          </cell>
          <cell r="E42">
            <v>1</v>
          </cell>
          <cell r="F42">
            <v>0</v>
          </cell>
          <cell r="G42">
            <v>0</v>
          </cell>
        </row>
        <row r="43">
          <cell r="D43">
            <v>75</v>
          </cell>
          <cell r="E43">
            <v>16</v>
          </cell>
          <cell r="F43">
            <v>70</v>
          </cell>
          <cell r="G43">
            <v>14</v>
          </cell>
        </row>
        <row r="45">
          <cell r="D45">
            <v>21</v>
          </cell>
          <cell r="E45">
            <v>28</v>
          </cell>
          <cell r="F45">
            <v>34</v>
          </cell>
          <cell r="G45">
            <v>4</v>
          </cell>
        </row>
        <row r="49">
          <cell r="D49">
            <v>4</v>
          </cell>
          <cell r="E49">
            <v>1</v>
          </cell>
          <cell r="F49">
            <v>10</v>
          </cell>
          <cell r="G49">
            <v>2</v>
          </cell>
        </row>
        <row r="51">
          <cell r="D51">
            <v>23</v>
          </cell>
          <cell r="E51">
            <v>18</v>
          </cell>
          <cell r="F51">
            <v>101</v>
          </cell>
          <cell r="G51">
            <v>1</v>
          </cell>
        </row>
        <row r="55">
          <cell r="D55">
            <v>48</v>
          </cell>
          <cell r="E55">
            <v>58</v>
          </cell>
          <cell r="F55">
            <v>20</v>
          </cell>
          <cell r="G55">
            <v>4</v>
          </cell>
        </row>
        <row r="56">
          <cell r="D56">
            <v>4</v>
          </cell>
          <cell r="E56">
            <v>0</v>
          </cell>
          <cell r="F56">
            <v>25</v>
          </cell>
          <cell r="G56">
            <v>1</v>
          </cell>
        </row>
        <row r="57">
          <cell r="D57">
            <v>0</v>
          </cell>
          <cell r="E57">
            <v>1</v>
          </cell>
          <cell r="F57">
            <v>0</v>
          </cell>
          <cell r="G57">
            <v>0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5">
          <cell r="D65">
            <v>32</v>
          </cell>
          <cell r="E65">
            <v>34</v>
          </cell>
          <cell r="F65">
            <v>40</v>
          </cell>
          <cell r="G65">
            <v>8</v>
          </cell>
        </row>
        <row r="67">
          <cell r="D67">
            <v>4</v>
          </cell>
          <cell r="E67">
            <v>2</v>
          </cell>
          <cell r="F67">
            <v>5</v>
          </cell>
          <cell r="G67">
            <v>1</v>
          </cell>
        </row>
        <row r="69">
          <cell r="D69">
            <v>5</v>
          </cell>
          <cell r="E69">
            <v>12</v>
          </cell>
          <cell r="F69">
            <v>5</v>
          </cell>
          <cell r="G69">
            <v>1</v>
          </cell>
        </row>
        <row r="74">
          <cell r="D74">
            <v>89</v>
          </cell>
          <cell r="E74">
            <v>18</v>
          </cell>
          <cell r="F74">
            <v>0</v>
          </cell>
          <cell r="G74">
            <v>0</v>
          </cell>
        </row>
        <row r="78">
          <cell r="D78">
            <v>17</v>
          </cell>
          <cell r="E78">
            <v>8</v>
          </cell>
          <cell r="F78">
            <v>5</v>
          </cell>
          <cell r="G78">
            <v>1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4">
          <cell r="D84">
            <v>146</v>
          </cell>
          <cell r="E84">
            <v>9</v>
          </cell>
          <cell r="F84">
            <v>30</v>
          </cell>
          <cell r="G84">
            <v>6</v>
          </cell>
        </row>
        <row r="87">
          <cell r="D87">
            <v>42</v>
          </cell>
          <cell r="E87">
            <v>4</v>
          </cell>
          <cell r="F87">
            <v>25</v>
          </cell>
          <cell r="G87">
            <v>5</v>
          </cell>
        </row>
        <row r="91">
          <cell r="D91">
            <v>8</v>
          </cell>
          <cell r="E91">
            <v>31</v>
          </cell>
          <cell r="F91">
            <v>15</v>
          </cell>
          <cell r="G91">
            <v>3</v>
          </cell>
        </row>
        <row r="92">
          <cell r="D92">
            <v>6</v>
          </cell>
          <cell r="E92">
            <v>5</v>
          </cell>
          <cell r="F92">
            <v>64</v>
          </cell>
          <cell r="G92">
            <v>0</v>
          </cell>
        </row>
        <row r="93">
          <cell r="D93">
            <v>68</v>
          </cell>
          <cell r="E93">
            <v>12</v>
          </cell>
          <cell r="F93">
            <v>90</v>
          </cell>
          <cell r="G93">
            <v>18</v>
          </cell>
        </row>
        <row r="95">
          <cell r="D95">
            <v>8</v>
          </cell>
          <cell r="E95">
            <v>1</v>
          </cell>
          <cell r="F95">
            <v>5</v>
          </cell>
          <cell r="G95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7">
          <cell r="D97">
            <v>63</v>
          </cell>
          <cell r="E97">
            <v>7</v>
          </cell>
          <cell r="F97">
            <v>15</v>
          </cell>
          <cell r="G97">
            <v>3</v>
          </cell>
        </row>
        <row r="100">
          <cell r="D100">
            <v>13</v>
          </cell>
          <cell r="E100">
            <v>1</v>
          </cell>
          <cell r="F100">
            <v>10</v>
          </cell>
          <cell r="G100">
            <v>2</v>
          </cell>
        </row>
        <row r="102">
          <cell r="D102">
            <v>2</v>
          </cell>
          <cell r="E102">
            <v>10</v>
          </cell>
          <cell r="F102">
            <v>0</v>
          </cell>
          <cell r="G102">
            <v>0</v>
          </cell>
        </row>
        <row r="103">
          <cell r="D103">
            <v>49</v>
          </cell>
          <cell r="E103">
            <v>0</v>
          </cell>
          <cell r="F103">
            <v>298</v>
          </cell>
          <cell r="G103">
            <v>4</v>
          </cell>
        </row>
        <row r="104">
          <cell r="D104">
            <v>8</v>
          </cell>
          <cell r="E104">
            <v>23</v>
          </cell>
          <cell r="F104">
            <v>0</v>
          </cell>
          <cell r="G104">
            <v>0</v>
          </cell>
        </row>
        <row r="113">
          <cell r="D113">
            <v>2</v>
          </cell>
          <cell r="E113">
            <v>6</v>
          </cell>
          <cell r="F113">
            <v>0</v>
          </cell>
          <cell r="G113">
            <v>0</v>
          </cell>
        </row>
        <row r="115">
          <cell r="D115">
            <v>8</v>
          </cell>
          <cell r="E115">
            <v>6</v>
          </cell>
          <cell r="F115">
            <v>71</v>
          </cell>
          <cell r="G115">
            <v>0</v>
          </cell>
        </row>
        <row r="119">
          <cell r="D119">
            <v>36</v>
          </cell>
          <cell r="E119">
            <v>45</v>
          </cell>
          <cell r="F119">
            <v>20</v>
          </cell>
          <cell r="G119">
            <v>4</v>
          </cell>
        </row>
        <row r="120">
          <cell r="D120">
            <v>9</v>
          </cell>
          <cell r="E120">
            <v>0</v>
          </cell>
          <cell r="F120">
            <v>5</v>
          </cell>
          <cell r="G120">
            <v>1</v>
          </cell>
        </row>
        <row r="123">
          <cell r="D123">
            <v>86</v>
          </cell>
          <cell r="E123">
            <v>10</v>
          </cell>
          <cell r="F123">
            <v>175</v>
          </cell>
          <cell r="G123">
            <v>35</v>
          </cell>
        </row>
        <row r="124">
          <cell r="D124">
            <v>87</v>
          </cell>
          <cell r="E124">
            <v>6</v>
          </cell>
          <cell r="F124">
            <v>85</v>
          </cell>
          <cell r="G124">
            <v>17</v>
          </cell>
        </row>
        <row r="127">
          <cell r="D127">
            <v>1</v>
          </cell>
          <cell r="E127">
            <v>7</v>
          </cell>
          <cell r="F127">
            <v>0</v>
          </cell>
          <cell r="G127">
            <v>0</v>
          </cell>
        </row>
        <row r="129">
          <cell r="D129">
            <v>99</v>
          </cell>
          <cell r="E129">
            <v>63</v>
          </cell>
          <cell r="F129">
            <v>45</v>
          </cell>
          <cell r="G129">
            <v>9</v>
          </cell>
        </row>
        <row r="131">
          <cell r="D131">
            <v>10</v>
          </cell>
          <cell r="E131">
            <v>15</v>
          </cell>
          <cell r="F131">
            <v>5</v>
          </cell>
          <cell r="G131">
            <v>1</v>
          </cell>
        </row>
        <row r="133">
          <cell r="D133">
            <v>12</v>
          </cell>
          <cell r="E133">
            <v>1</v>
          </cell>
          <cell r="F133">
            <v>0</v>
          </cell>
          <cell r="G133">
            <v>0</v>
          </cell>
        </row>
        <row r="135">
          <cell r="D135">
            <v>1</v>
          </cell>
          <cell r="E135">
            <v>12</v>
          </cell>
          <cell r="F135">
            <v>0</v>
          </cell>
          <cell r="G135">
            <v>0</v>
          </cell>
        </row>
        <row r="136">
          <cell r="D136">
            <v>2</v>
          </cell>
          <cell r="E136">
            <v>7</v>
          </cell>
          <cell r="F136">
            <v>0</v>
          </cell>
          <cell r="G136">
            <v>0</v>
          </cell>
        </row>
        <row r="137">
          <cell r="D137">
            <v>4</v>
          </cell>
          <cell r="E137">
            <v>7</v>
          </cell>
          <cell r="F137">
            <v>5</v>
          </cell>
          <cell r="G137">
            <v>1</v>
          </cell>
        </row>
        <row r="139">
          <cell r="D139">
            <v>7</v>
          </cell>
          <cell r="E139">
            <v>2</v>
          </cell>
          <cell r="F139">
            <v>10</v>
          </cell>
          <cell r="G139">
            <v>2</v>
          </cell>
        </row>
        <row r="149">
          <cell r="D149">
            <v>0</v>
          </cell>
          <cell r="E149">
            <v>2</v>
          </cell>
          <cell r="F149">
            <v>2</v>
          </cell>
          <cell r="G149">
            <v>0</v>
          </cell>
        </row>
        <row r="151">
          <cell r="D151">
            <v>23</v>
          </cell>
          <cell r="E151">
            <v>0</v>
          </cell>
          <cell r="F151">
            <v>0</v>
          </cell>
          <cell r="G151">
            <v>0</v>
          </cell>
        </row>
        <row r="153">
          <cell r="D153">
            <v>56</v>
          </cell>
          <cell r="E153">
            <v>65</v>
          </cell>
          <cell r="F153">
            <v>25</v>
          </cell>
          <cell r="G153">
            <v>5</v>
          </cell>
        </row>
        <row r="154">
          <cell r="D154">
            <v>2</v>
          </cell>
          <cell r="E154">
            <v>6</v>
          </cell>
          <cell r="F154">
            <v>0</v>
          </cell>
          <cell r="G154">
            <v>0</v>
          </cell>
        </row>
        <row r="156">
          <cell r="D156">
            <v>71</v>
          </cell>
          <cell r="E156">
            <v>31</v>
          </cell>
          <cell r="F156">
            <v>15</v>
          </cell>
          <cell r="G156">
            <v>3</v>
          </cell>
        </row>
        <row r="157">
          <cell r="D157">
            <v>2</v>
          </cell>
          <cell r="E157">
            <v>0</v>
          </cell>
          <cell r="F157">
            <v>0</v>
          </cell>
          <cell r="G157">
            <v>0</v>
          </cell>
        </row>
        <row r="159">
          <cell r="D159">
            <v>38</v>
          </cell>
          <cell r="E159">
            <v>14</v>
          </cell>
          <cell r="F159">
            <v>5</v>
          </cell>
          <cell r="G159">
            <v>1</v>
          </cell>
        </row>
        <row r="162">
          <cell r="D162">
            <v>39</v>
          </cell>
          <cell r="E162">
            <v>20</v>
          </cell>
          <cell r="F162">
            <v>38</v>
          </cell>
          <cell r="G162">
            <v>7</v>
          </cell>
        </row>
        <row r="163">
          <cell r="D163">
            <v>41</v>
          </cell>
          <cell r="E163">
            <v>33</v>
          </cell>
          <cell r="F163">
            <v>20</v>
          </cell>
          <cell r="G163">
            <v>4</v>
          </cell>
        </row>
        <row r="165">
          <cell r="D165">
            <v>1</v>
          </cell>
          <cell r="E165">
            <v>1</v>
          </cell>
          <cell r="F165">
            <v>0</v>
          </cell>
          <cell r="G165">
            <v>0</v>
          </cell>
        </row>
        <row r="166">
          <cell r="D166">
            <v>31</v>
          </cell>
          <cell r="E166">
            <v>0</v>
          </cell>
          <cell r="F166">
            <v>0</v>
          </cell>
          <cell r="G166">
            <v>0</v>
          </cell>
        </row>
        <row r="171">
          <cell r="D171">
            <v>0</v>
          </cell>
          <cell r="E171">
            <v>1</v>
          </cell>
          <cell r="F171">
            <v>0</v>
          </cell>
          <cell r="G171">
            <v>0</v>
          </cell>
        </row>
        <row r="175">
          <cell r="D175">
            <v>27</v>
          </cell>
          <cell r="E175">
            <v>6</v>
          </cell>
          <cell r="F175">
            <v>121</v>
          </cell>
          <cell r="G175">
            <v>4</v>
          </cell>
        </row>
        <row r="176">
          <cell r="D176">
            <v>46</v>
          </cell>
          <cell r="E176">
            <v>9</v>
          </cell>
          <cell r="F176">
            <v>75</v>
          </cell>
          <cell r="G176">
            <v>15</v>
          </cell>
        </row>
        <row r="181">
          <cell r="D181">
            <v>30</v>
          </cell>
          <cell r="E181">
            <v>1</v>
          </cell>
          <cell r="F181">
            <v>0</v>
          </cell>
          <cell r="G181">
            <v>0</v>
          </cell>
        </row>
        <row r="186">
          <cell r="D186">
            <v>31</v>
          </cell>
          <cell r="E186">
            <v>23</v>
          </cell>
          <cell r="F186">
            <v>10</v>
          </cell>
          <cell r="G186">
            <v>2</v>
          </cell>
        </row>
        <row r="187">
          <cell r="D187">
            <v>6</v>
          </cell>
          <cell r="E187">
            <v>2</v>
          </cell>
          <cell r="F187">
            <v>0</v>
          </cell>
          <cell r="G187">
            <v>0</v>
          </cell>
        </row>
        <row r="188">
          <cell r="D188">
            <v>19</v>
          </cell>
          <cell r="E188">
            <v>13</v>
          </cell>
          <cell r="F188">
            <v>5</v>
          </cell>
          <cell r="G188">
            <v>1</v>
          </cell>
        </row>
        <row r="191">
          <cell r="D191">
            <v>8</v>
          </cell>
          <cell r="E191">
            <v>1</v>
          </cell>
          <cell r="F191">
            <v>10</v>
          </cell>
          <cell r="G191">
            <v>2</v>
          </cell>
        </row>
      </sheetData>
      <sheetData sheetId="2">
        <row r="1">
          <cell r="D1">
            <v>4</v>
          </cell>
          <cell r="E1">
            <v>14</v>
          </cell>
          <cell r="F1">
            <v>0</v>
          </cell>
          <cell r="G1">
            <v>0</v>
          </cell>
        </row>
        <row r="2">
          <cell r="D2">
            <v>5</v>
          </cell>
          <cell r="E2">
            <v>1</v>
          </cell>
          <cell r="F2">
            <v>0</v>
          </cell>
          <cell r="G2">
            <v>0</v>
          </cell>
        </row>
        <row r="3">
          <cell r="D3">
            <v>33</v>
          </cell>
          <cell r="E3">
            <v>0</v>
          </cell>
          <cell r="F3">
            <v>15</v>
          </cell>
          <cell r="G3">
            <v>3</v>
          </cell>
        </row>
        <row r="4">
          <cell r="D4">
            <v>0</v>
          </cell>
          <cell r="E4">
            <v>15</v>
          </cell>
          <cell r="F4">
            <v>0</v>
          </cell>
          <cell r="G4">
            <v>0</v>
          </cell>
        </row>
        <row r="5">
          <cell r="D5">
            <v>32</v>
          </cell>
          <cell r="E5">
            <v>0</v>
          </cell>
          <cell r="F5">
            <v>25</v>
          </cell>
          <cell r="G5">
            <v>5</v>
          </cell>
        </row>
        <row r="6">
          <cell r="D6">
            <v>1</v>
          </cell>
          <cell r="E6">
            <v>2</v>
          </cell>
          <cell r="F6">
            <v>0</v>
          </cell>
          <cell r="G6">
            <v>0</v>
          </cell>
        </row>
        <row r="7">
          <cell r="D7">
            <v>11</v>
          </cell>
          <cell r="E7">
            <v>16</v>
          </cell>
          <cell r="F7">
            <v>20</v>
          </cell>
          <cell r="G7">
            <v>4</v>
          </cell>
        </row>
        <row r="8">
          <cell r="D8">
            <v>10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26</v>
          </cell>
          <cell r="E9">
            <v>8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5</v>
          </cell>
          <cell r="E11">
            <v>4</v>
          </cell>
          <cell r="F11">
            <v>71</v>
          </cell>
          <cell r="G11">
            <v>1</v>
          </cell>
        </row>
        <row r="12">
          <cell r="D12">
            <v>19</v>
          </cell>
          <cell r="E12">
            <v>4</v>
          </cell>
          <cell r="F12">
            <v>20</v>
          </cell>
          <cell r="G12">
            <v>4</v>
          </cell>
        </row>
        <row r="13">
          <cell r="D13">
            <v>0</v>
          </cell>
          <cell r="E13">
            <v>3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11</v>
          </cell>
          <cell r="E16">
            <v>1</v>
          </cell>
          <cell r="F16">
            <v>15</v>
          </cell>
          <cell r="G16">
            <v>3</v>
          </cell>
        </row>
        <row r="17">
          <cell r="D17">
            <v>0</v>
          </cell>
          <cell r="E17">
            <v>8</v>
          </cell>
          <cell r="F17">
            <v>0</v>
          </cell>
          <cell r="G17">
            <v>0</v>
          </cell>
        </row>
        <row r="18">
          <cell r="D18">
            <v>25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38</v>
          </cell>
          <cell r="E19">
            <v>1</v>
          </cell>
          <cell r="F19">
            <v>10</v>
          </cell>
          <cell r="G19">
            <v>2</v>
          </cell>
        </row>
        <row r="20">
          <cell r="D20">
            <v>4</v>
          </cell>
          <cell r="E20">
            <v>0</v>
          </cell>
          <cell r="F20">
            <v>5</v>
          </cell>
          <cell r="G20">
            <v>1</v>
          </cell>
        </row>
        <row r="21">
          <cell r="D21">
            <v>26</v>
          </cell>
          <cell r="E21">
            <v>5</v>
          </cell>
          <cell r="F21">
            <v>35</v>
          </cell>
          <cell r="G21">
            <v>7</v>
          </cell>
        </row>
        <row r="22">
          <cell r="D22">
            <v>36</v>
          </cell>
          <cell r="E22">
            <v>3</v>
          </cell>
          <cell r="F22">
            <v>35</v>
          </cell>
          <cell r="G22">
            <v>7</v>
          </cell>
        </row>
        <row r="23">
          <cell r="D23">
            <v>0</v>
          </cell>
          <cell r="E23">
            <v>2</v>
          </cell>
          <cell r="F23">
            <v>0</v>
          </cell>
          <cell r="G23">
            <v>0</v>
          </cell>
        </row>
        <row r="24">
          <cell r="D24">
            <v>0</v>
          </cell>
          <cell r="E24">
            <v>1</v>
          </cell>
          <cell r="F24">
            <v>0</v>
          </cell>
          <cell r="G24">
            <v>0</v>
          </cell>
        </row>
        <row r="25">
          <cell r="D25">
            <v>18</v>
          </cell>
          <cell r="E25">
            <v>5</v>
          </cell>
          <cell r="F25">
            <v>206</v>
          </cell>
          <cell r="G25">
            <v>1</v>
          </cell>
        </row>
        <row r="26">
          <cell r="D26">
            <v>5</v>
          </cell>
          <cell r="E26">
            <v>5</v>
          </cell>
          <cell r="F26">
            <v>0</v>
          </cell>
          <cell r="G26">
            <v>0</v>
          </cell>
        </row>
        <row r="27">
          <cell r="D27">
            <v>1</v>
          </cell>
          <cell r="E27">
            <v>23</v>
          </cell>
          <cell r="F27">
            <v>0</v>
          </cell>
          <cell r="G27">
            <v>0</v>
          </cell>
        </row>
        <row r="28">
          <cell r="D28">
            <v>7</v>
          </cell>
          <cell r="E28">
            <v>5</v>
          </cell>
          <cell r="F28">
            <v>0</v>
          </cell>
          <cell r="G28">
            <v>0</v>
          </cell>
        </row>
        <row r="29">
          <cell r="D29">
            <v>0</v>
          </cell>
          <cell r="E29">
            <v>1</v>
          </cell>
          <cell r="F29">
            <v>0</v>
          </cell>
          <cell r="G29">
            <v>0</v>
          </cell>
        </row>
        <row r="30">
          <cell r="D30">
            <v>2</v>
          </cell>
          <cell r="E30">
            <v>2</v>
          </cell>
          <cell r="F30">
            <v>0</v>
          </cell>
          <cell r="G30">
            <v>0</v>
          </cell>
        </row>
        <row r="31">
          <cell r="D31">
            <v>19</v>
          </cell>
          <cell r="E31">
            <v>2</v>
          </cell>
          <cell r="F31">
            <v>30</v>
          </cell>
          <cell r="G31">
            <v>6</v>
          </cell>
        </row>
        <row r="32">
          <cell r="D32">
            <v>0</v>
          </cell>
          <cell r="E32">
            <v>1</v>
          </cell>
          <cell r="F32">
            <v>0</v>
          </cell>
          <cell r="G32">
            <v>0</v>
          </cell>
        </row>
        <row r="33">
          <cell r="D33">
            <v>2</v>
          </cell>
          <cell r="E33">
            <v>1</v>
          </cell>
          <cell r="F33">
            <v>0</v>
          </cell>
          <cell r="G33">
            <v>0</v>
          </cell>
        </row>
        <row r="34">
          <cell r="D34">
            <v>9</v>
          </cell>
          <cell r="E34">
            <v>15</v>
          </cell>
          <cell r="F34">
            <v>0</v>
          </cell>
          <cell r="G34">
            <v>0</v>
          </cell>
        </row>
        <row r="35">
          <cell r="D35">
            <v>3</v>
          </cell>
          <cell r="E35">
            <v>8</v>
          </cell>
          <cell r="F35">
            <v>0</v>
          </cell>
          <cell r="G35">
            <v>0</v>
          </cell>
        </row>
        <row r="36">
          <cell r="D36">
            <v>12</v>
          </cell>
          <cell r="E36">
            <v>8</v>
          </cell>
          <cell r="F36">
            <v>10</v>
          </cell>
          <cell r="G36">
            <v>2</v>
          </cell>
        </row>
        <row r="37">
          <cell r="D37">
            <v>39</v>
          </cell>
          <cell r="E37">
            <v>0</v>
          </cell>
          <cell r="F37">
            <v>0</v>
          </cell>
          <cell r="G37">
            <v>0</v>
          </cell>
        </row>
        <row r="38">
          <cell r="D38">
            <v>29</v>
          </cell>
          <cell r="E38">
            <v>1</v>
          </cell>
          <cell r="F38">
            <v>10</v>
          </cell>
          <cell r="G38">
            <v>2</v>
          </cell>
        </row>
        <row r="39">
          <cell r="D39">
            <v>27</v>
          </cell>
          <cell r="E39">
            <v>3</v>
          </cell>
          <cell r="F39">
            <v>10</v>
          </cell>
          <cell r="G39">
            <v>2</v>
          </cell>
        </row>
        <row r="40">
          <cell r="D40">
            <v>5</v>
          </cell>
          <cell r="E40">
            <v>0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16</v>
          </cell>
          <cell r="F41">
            <v>0</v>
          </cell>
          <cell r="G41">
            <v>0</v>
          </cell>
        </row>
        <row r="42">
          <cell r="D42">
            <v>17</v>
          </cell>
          <cell r="E42">
            <v>11</v>
          </cell>
          <cell r="F42">
            <v>198</v>
          </cell>
          <cell r="G42">
            <v>0</v>
          </cell>
        </row>
        <row r="43">
          <cell r="D43">
            <v>35</v>
          </cell>
          <cell r="E43">
            <v>1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4</v>
          </cell>
          <cell r="F44">
            <v>5</v>
          </cell>
          <cell r="G44">
            <v>1</v>
          </cell>
        </row>
        <row r="45">
          <cell r="D45">
            <v>34</v>
          </cell>
          <cell r="E45">
            <v>2</v>
          </cell>
          <cell r="F45">
            <v>5</v>
          </cell>
          <cell r="G45">
            <v>1</v>
          </cell>
        </row>
        <row r="46">
          <cell r="D46">
            <v>23</v>
          </cell>
          <cell r="E46">
            <v>10</v>
          </cell>
          <cell r="F46">
            <v>5</v>
          </cell>
          <cell r="G46">
            <v>1</v>
          </cell>
        </row>
        <row r="47">
          <cell r="D47">
            <v>0</v>
          </cell>
          <cell r="E47">
            <v>12</v>
          </cell>
          <cell r="F47">
            <v>0</v>
          </cell>
          <cell r="G47">
            <v>0</v>
          </cell>
        </row>
        <row r="48">
          <cell r="D48">
            <v>10</v>
          </cell>
          <cell r="E48">
            <v>13</v>
          </cell>
          <cell r="F48">
            <v>0</v>
          </cell>
          <cell r="G48">
            <v>0</v>
          </cell>
        </row>
      </sheetData>
      <sheetData sheetId="3">
        <row r="3">
          <cell r="D3">
            <v>57</v>
          </cell>
          <cell r="E3">
            <v>5</v>
          </cell>
          <cell r="F3">
            <v>70</v>
          </cell>
          <cell r="G3">
            <v>14</v>
          </cell>
        </row>
        <row r="5">
          <cell r="D5">
            <v>26</v>
          </cell>
          <cell r="E5">
            <v>6</v>
          </cell>
          <cell r="F5">
            <v>10</v>
          </cell>
          <cell r="G5">
            <v>2</v>
          </cell>
        </row>
        <row r="6">
          <cell r="D6">
            <v>114</v>
          </cell>
          <cell r="E6">
            <v>54</v>
          </cell>
          <cell r="F6">
            <v>105</v>
          </cell>
          <cell r="G6">
            <v>21</v>
          </cell>
        </row>
        <row r="8">
          <cell r="D8">
            <v>29</v>
          </cell>
          <cell r="E8">
            <v>11</v>
          </cell>
          <cell r="F8">
            <v>5</v>
          </cell>
          <cell r="G8">
            <v>1</v>
          </cell>
        </row>
        <row r="10">
          <cell r="D10">
            <v>13</v>
          </cell>
          <cell r="E10">
            <v>6</v>
          </cell>
          <cell r="F10">
            <v>125</v>
          </cell>
          <cell r="G10">
            <v>1</v>
          </cell>
        </row>
        <row r="15">
          <cell r="D15">
            <v>116</v>
          </cell>
          <cell r="E15">
            <v>14</v>
          </cell>
          <cell r="F15">
            <v>85</v>
          </cell>
          <cell r="G15">
            <v>17</v>
          </cell>
        </row>
        <row r="18">
          <cell r="D18">
            <v>147</v>
          </cell>
          <cell r="E18">
            <v>10</v>
          </cell>
        </row>
        <row r="20">
          <cell r="D20">
            <v>119</v>
          </cell>
          <cell r="E20">
            <v>50</v>
          </cell>
          <cell r="F20">
            <v>20</v>
          </cell>
          <cell r="G20">
            <v>4</v>
          </cell>
        </row>
        <row r="24">
          <cell r="D24">
            <v>7</v>
          </cell>
          <cell r="E24">
            <v>19</v>
          </cell>
          <cell r="F24">
            <v>0</v>
          </cell>
          <cell r="G24">
            <v>0</v>
          </cell>
        </row>
        <row r="28">
          <cell r="D28">
            <v>1</v>
          </cell>
          <cell r="E28">
            <v>2</v>
          </cell>
          <cell r="F28">
            <v>0</v>
          </cell>
          <cell r="G28">
            <v>0</v>
          </cell>
        </row>
        <row r="29">
          <cell r="D29">
            <v>2</v>
          </cell>
          <cell r="E29">
            <v>6</v>
          </cell>
          <cell r="F29">
            <v>0</v>
          </cell>
          <cell r="G29">
            <v>0</v>
          </cell>
        </row>
        <row r="34">
          <cell r="D34">
            <v>0</v>
          </cell>
          <cell r="E34">
            <v>6</v>
          </cell>
          <cell r="F34">
            <v>0</v>
          </cell>
          <cell r="G34">
            <v>0</v>
          </cell>
        </row>
        <row r="35">
          <cell r="D35">
            <v>9</v>
          </cell>
          <cell r="E35">
            <v>7</v>
          </cell>
          <cell r="F35">
            <v>0</v>
          </cell>
          <cell r="G35">
            <v>0</v>
          </cell>
        </row>
        <row r="40">
          <cell r="D40">
            <v>8</v>
          </cell>
          <cell r="E40">
            <v>8</v>
          </cell>
          <cell r="F40">
            <v>23</v>
          </cell>
          <cell r="G40">
            <v>0</v>
          </cell>
        </row>
        <row r="42">
          <cell r="D42">
            <v>14</v>
          </cell>
          <cell r="E42">
            <v>12</v>
          </cell>
          <cell r="F42">
            <v>15</v>
          </cell>
          <cell r="G42">
            <v>3</v>
          </cell>
        </row>
        <row r="45">
          <cell r="D45">
            <v>15</v>
          </cell>
          <cell r="E45">
            <v>7</v>
          </cell>
          <cell r="F45">
            <v>5</v>
          </cell>
          <cell r="G45">
            <v>1</v>
          </cell>
        </row>
        <row r="47">
          <cell r="D47">
            <v>31</v>
          </cell>
          <cell r="E47">
            <v>4</v>
          </cell>
          <cell r="F47">
            <v>5</v>
          </cell>
          <cell r="G47">
            <v>1</v>
          </cell>
        </row>
        <row r="49">
          <cell r="D49">
            <v>18</v>
          </cell>
          <cell r="E49">
            <v>31</v>
          </cell>
          <cell r="F49">
            <v>15</v>
          </cell>
          <cell r="G49">
            <v>3</v>
          </cell>
        </row>
        <row r="51">
          <cell r="D51">
            <v>24</v>
          </cell>
          <cell r="E51">
            <v>10</v>
          </cell>
          <cell r="F51">
            <v>5</v>
          </cell>
          <cell r="G51">
            <v>1</v>
          </cell>
        </row>
        <row r="56">
          <cell r="D56">
            <v>95</v>
          </cell>
          <cell r="E56">
            <v>66</v>
          </cell>
          <cell r="F56">
            <v>30</v>
          </cell>
          <cell r="G56">
            <v>6</v>
          </cell>
        </row>
        <row r="57">
          <cell r="D57">
            <v>0</v>
          </cell>
          <cell r="E57">
            <v>2</v>
          </cell>
          <cell r="F57">
            <v>0</v>
          </cell>
          <cell r="G57">
            <v>0</v>
          </cell>
        </row>
        <row r="62">
          <cell r="D62">
            <v>12</v>
          </cell>
          <cell r="E62">
            <v>15</v>
          </cell>
          <cell r="F62">
            <v>0</v>
          </cell>
          <cell r="G62">
            <v>0</v>
          </cell>
        </row>
        <row r="63">
          <cell r="D63">
            <v>77</v>
          </cell>
          <cell r="E63">
            <v>50</v>
          </cell>
        </row>
        <row r="64">
          <cell r="D64">
            <v>47</v>
          </cell>
          <cell r="E64">
            <v>12</v>
          </cell>
          <cell r="F64">
            <v>60</v>
          </cell>
          <cell r="G64">
            <v>12</v>
          </cell>
        </row>
        <row r="67">
          <cell r="D67">
            <v>39</v>
          </cell>
          <cell r="E67">
            <v>3</v>
          </cell>
          <cell r="F67">
            <v>20</v>
          </cell>
          <cell r="G67">
            <v>4</v>
          </cell>
        </row>
        <row r="68">
          <cell r="D68">
            <v>57</v>
          </cell>
          <cell r="E68">
            <v>5</v>
          </cell>
          <cell r="F68">
            <v>95</v>
          </cell>
          <cell r="G68">
            <v>19</v>
          </cell>
        </row>
        <row r="71">
          <cell r="D71">
            <v>74</v>
          </cell>
          <cell r="E71">
            <v>9</v>
          </cell>
          <cell r="F71">
            <v>73</v>
          </cell>
          <cell r="G71">
            <v>10</v>
          </cell>
        </row>
        <row r="72">
          <cell r="D72">
            <v>48</v>
          </cell>
          <cell r="E72">
            <v>6</v>
          </cell>
          <cell r="F72">
            <v>35</v>
          </cell>
          <cell r="G72">
            <v>7</v>
          </cell>
        </row>
        <row r="76">
          <cell r="D76">
            <v>19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128</v>
          </cell>
          <cell r="E79">
            <v>43</v>
          </cell>
          <cell r="F79">
            <v>75</v>
          </cell>
          <cell r="G79">
            <v>15</v>
          </cell>
        </row>
        <row r="81">
          <cell r="D81">
            <v>59</v>
          </cell>
          <cell r="E81">
            <v>19</v>
          </cell>
          <cell r="F81">
            <v>15</v>
          </cell>
          <cell r="G81">
            <v>3</v>
          </cell>
        </row>
        <row r="87">
          <cell r="D87">
            <v>31</v>
          </cell>
          <cell r="E87">
            <v>1</v>
          </cell>
          <cell r="F87">
            <v>10</v>
          </cell>
          <cell r="G87">
            <v>2</v>
          </cell>
        </row>
        <row r="91">
          <cell r="D91">
            <v>0</v>
          </cell>
          <cell r="E91">
            <v>4</v>
          </cell>
          <cell r="F91">
            <v>0</v>
          </cell>
          <cell r="G91">
            <v>0</v>
          </cell>
        </row>
        <row r="92">
          <cell r="D92">
            <v>46</v>
          </cell>
          <cell r="E92">
            <v>12</v>
          </cell>
          <cell r="F92">
            <v>373</v>
          </cell>
          <cell r="G92">
            <v>9</v>
          </cell>
        </row>
        <row r="93">
          <cell r="D93">
            <v>72</v>
          </cell>
          <cell r="E93">
            <v>26</v>
          </cell>
          <cell r="F93">
            <v>50</v>
          </cell>
          <cell r="G93">
            <v>10</v>
          </cell>
        </row>
        <row r="94">
          <cell r="D94">
            <v>37</v>
          </cell>
          <cell r="E94">
            <v>18</v>
          </cell>
          <cell r="F94">
            <v>15</v>
          </cell>
          <cell r="G94">
            <v>3</v>
          </cell>
        </row>
        <row r="95">
          <cell r="D95">
            <v>19</v>
          </cell>
          <cell r="E95">
            <v>24</v>
          </cell>
          <cell r="F95">
            <v>10</v>
          </cell>
          <cell r="G95">
            <v>2</v>
          </cell>
        </row>
        <row r="101">
          <cell r="D101">
            <v>0</v>
          </cell>
          <cell r="E101">
            <v>3</v>
          </cell>
          <cell r="F101">
            <v>0</v>
          </cell>
          <cell r="G101">
            <v>0</v>
          </cell>
        </row>
        <row r="104">
          <cell r="D104">
            <v>0</v>
          </cell>
          <cell r="E104">
            <v>1</v>
          </cell>
          <cell r="F104">
            <v>0</v>
          </cell>
          <cell r="G104">
            <v>0</v>
          </cell>
        </row>
        <row r="106">
          <cell r="D106">
            <v>19</v>
          </cell>
          <cell r="E106">
            <v>6</v>
          </cell>
          <cell r="F106">
            <v>55</v>
          </cell>
          <cell r="G106">
            <v>11</v>
          </cell>
        </row>
        <row r="112">
          <cell r="D112">
            <v>0</v>
          </cell>
          <cell r="E112">
            <v>5</v>
          </cell>
          <cell r="F112">
            <v>5</v>
          </cell>
          <cell r="G112">
            <v>0</v>
          </cell>
        </row>
        <row r="113">
          <cell r="D113">
            <v>22</v>
          </cell>
          <cell r="E113">
            <v>13</v>
          </cell>
          <cell r="F113">
            <v>25</v>
          </cell>
          <cell r="G113">
            <v>5</v>
          </cell>
        </row>
        <row r="116">
          <cell r="D116">
            <v>80</v>
          </cell>
          <cell r="E116">
            <v>9</v>
          </cell>
          <cell r="F116">
            <v>110</v>
          </cell>
          <cell r="G116">
            <v>22</v>
          </cell>
        </row>
        <row r="117">
          <cell r="D117">
            <v>0</v>
          </cell>
          <cell r="E117">
            <v>9</v>
          </cell>
          <cell r="F117">
            <v>0</v>
          </cell>
          <cell r="G117">
            <v>0</v>
          </cell>
        </row>
        <row r="119">
          <cell r="D119">
            <v>78</v>
          </cell>
          <cell r="E119">
            <v>25</v>
          </cell>
          <cell r="F119">
            <v>45</v>
          </cell>
          <cell r="G119">
            <v>9</v>
          </cell>
        </row>
        <row r="120">
          <cell r="D120">
            <v>37</v>
          </cell>
          <cell r="E120">
            <v>4</v>
          </cell>
          <cell r="F120">
            <v>0</v>
          </cell>
          <cell r="G120">
            <v>0</v>
          </cell>
        </row>
        <row r="129">
          <cell r="D129">
            <v>2</v>
          </cell>
          <cell r="E129">
            <v>14</v>
          </cell>
          <cell r="F129">
            <v>0</v>
          </cell>
          <cell r="G129">
            <v>0</v>
          </cell>
        </row>
        <row r="131">
          <cell r="D131">
            <v>71</v>
          </cell>
          <cell r="E131">
            <v>4</v>
          </cell>
          <cell r="F131">
            <v>443</v>
          </cell>
          <cell r="G131">
            <v>10</v>
          </cell>
        </row>
        <row r="134">
          <cell r="D134">
            <v>9</v>
          </cell>
          <cell r="E134">
            <v>7</v>
          </cell>
          <cell r="F134">
            <v>0</v>
          </cell>
          <cell r="G134">
            <v>0</v>
          </cell>
        </row>
        <row r="135">
          <cell r="D135">
            <v>1</v>
          </cell>
          <cell r="E135">
            <v>0</v>
          </cell>
          <cell r="F135">
            <v>0</v>
          </cell>
          <cell r="G135">
            <v>0</v>
          </cell>
        </row>
        <row r="141">
          <cell r="D141">
            <v>46</v>
          </cell>
          <cell r="E141">
            <v>15</v>
          </cell>
          <cell r="F141">
            <v>70</v>
          </cell>
          <cell r="G141">
            <v>14</v>
          </cell>
        </row>
        <row r="143">
          <cell r="D143">
            <v>33</v>
          </cell>
          <cell r="E143">
            <v>6</v>
          </cell>
          <cell r="F143">
            <v>353</v>
          </cell>
          <cell r="G143">
            <v>4</v>
          </cell>
        </row>
        <row r="144">
          <cell r="D144">
            <v>0</v>
          </cell>
          <cell r="E144">
            <v>3</v>
          </cell>
          <cell r="F144">
            <v>0</v>
          </cell>
          <cell r="G144">
            <v>0</v>
          </cell>
        </row>
        <row r="146">
          <cell r="D146">
            <v>5</v>
          </cell>
          <cell r="E146">
            <v>2</v>
          </cell>
          <cell r="F146">
            <v>0</v>
          </cell>
          <cell r="G146">
            <v>0</v>
          </cell>
        </row>
        <row r="151">
          <cell r="D151">
            <v>11</v>
          </cell>
          <cell r="E151">
            <v>7</v>
          </cell>
          <cell r="F151">
            <v>5</v>
          </cell>
          <cell r="G151">
            <v>1</v>
          </cell>
        </row>
        <row r="152">
          <cell r="D152">
            <v>9</v>
          </cell>
          <cell r="E152">
            <v>2</v>
          </cell>
          <cell r="F152">
            <v>0</v>
          </cell>
          <cell r="G152">
            <v>0</v>
          </cell>
        </row>
        <row r="155">
          <cell r="D155">
            <v>50</v>
          </cell>
          <cell r="E155">
            <v>12</v>
          </cell>
          <cell r="F155">
            <v>100</v>
          </cell>
          <cell r="G155">
            <v>20</v>
          </cell>
        </row>
        <row r="158">
          <cell r="D158">
            <v>148</v>
          </cell>
          <cell r="E158">
            <v>17</v>
          </cell>
          <cell r="F158">
            <v>300</v>
          </cell>
          <cell r="G158">
            <v>60</v>
          </cell>
        </row>
        <row r="160">
          <cell r="D160">
            <v>23</v>
          </cell>
          <cell r="E160">
            <v>2</v>
          </cell>
          <cell r="F160">
            <v>5</v>
          </cell>
          <cell r="G160">
            <v>1</v>
          </cell>
        </row>
        <row r="164">
          <cell r="D164">
            <v>54</v>
          </cell>
          <cell r="E164">
            <v>19</v>
          </cell>
          <cell r="F164">
            <v>5</v>
          </cell>
          <cell r="G164">
            <v>1</v>
          </cell>
        </row>
        <row r="166">
          <cell r="D166">
            <v>11</v>
          </cell>
          <cell r="E166">
            <v>12</v>
          </cell>
          <cell r="F166">
            <v>114</v>
          </cell>
          <cell r="G166">
            <v>2</v>
          </cell>
        </row>
        <row r="169">
          <cell r="D169">
            <v>8</v>
          </cell>
          <cell r="E169">
            <v>9</v>
          </cell>
          <cell r="F169">
            <v>5</v>
          </cell>
          <cell r="G169">
            <v>1</v>
          </cell>
        </row>
        <row r="171">
          <cell r="D171">
            <v>1</v>
          </cell>
          <cell r="E171">
            <v>0</v>
          </cell>
          <cell r="F171">
            <v>0</v>
          </cell>
          <cell r="G171">
            <v>0</v>
          </cell>
        </row>
        <row r="172">
          <cell r="D172">
            <v>74</v>
          </cell>
          <cell r="E172">
            <v>6</v>
          </cell>
          <cell r="F172">
            <v>48</v>
          </cell>
          <cell r="G172">
            <v>8</v>
          </cell>
        </row>
        <row r="173">
          <cell r="D173">
            <v>15</v>
          </cell>
          <cell r="E173">
            <v>15</v>
          </cell>
          <cell r="F173">
            <v>5</v>
          </cell>
          <cell r="G173">
            <v>1</v>
          </cell>
        </row>
        <row r="176">
          <cell r="D176">
            <v>22</v>
          </cell>
          <cell r="E176">
            <v>11</v>
          </cell>
          <cell r="F176">
            <v>40</v>
          </cell>
          <cell r="G176">
            <v>8</v>
          </cell>
        </row>
        <row r="178">
          <cell r="D178">
            <v>49</v>
          </cell>
          <cell r="E178">
            <v>4</v>
          </cell>
          <cell r="F178">
            <v>100</v>
          </cell>
          <cell r="G178">
            <v>20</v>
          </cell>
        </row>
        <row r="180">
          <cell r="D180">
            <v>73</v>
          </cell>
          <cell r="E180">
            <v>15</v>
          </cell>
          <cell r="F180">
            <v>15</v>
          </cell>
          <cell r="G180">
            <v>3</v>
          </cell>
        </row>
        <row r="181">
          <cell r="D181">
            <v>29</v>
          </cell>
          <cell r="E181">
            <v>7</v>
          </cell>
          <cell r="F181">
            <v>30</v>
          </cell>
          <cell r="G181">
            <v>6</v>
          </cell>
        </row>
        <row r="182">
          <cell r="D182">
            <v>30</v>
          </cell>
          <cell r="E182">
            <v>16</v>
          </cell>
          <cell r="F182">
            <v>297</v>
          </cell>
          <cell r="G182">
            <v>3</v>
          </cell>
        </row>
        <row r="186">
          <cell r="D186">
            <v>1</v>
          </cell>
          <cell r="E186">
            <v>4</v>
          </cell>
          <cell r="F186">
            <v>0</v>
          </cell>
          <cell r="G186">
            <v>0</v>
          </cell>
        </row>
        <row r="189">
          <cell r="D189">
            <v>116</v>
          </cell>
          <cell r="E189">
            <v>30</v>
          </cell>
          <cell r="F189">
            <v>25</v>
          </cell>
          <cell r="G189">
            <v>5</v>
          </cell>
        </row>
      </sheetData>
      <sheetData sheetId="4">
        <row r="4">
          <cell r="D4">
            <v>5</v>
          </cell>
          <cell r="E4">
            <v>3</v>
          </cell>
          <cell r="F4">
            <v>5</v>
          </cell>
          <cell r="G4">
            <v>1</v>
          </cell>
        </row>
        <row r="5">
          <cell r="D5">
            <v>20</v>
          </cell>
          <cell r="E5">
            <v>6</v>
          </cell>
          <cell r="F5">
            <v>0</v>
          </cell>
          <cell r="G5">
            <v>0</v>
          </cell>
        </row>
        <row r="6">
          <cell r="D6">
            <v>21</v>
          </cell>
          <cell r="E6">
            <v>11</v>
          </cell>
          <cell r="F6">
            <v>5</v>
          </cell>
          <cell r="G6">
            <v>1</v>
          </cell>
        </row>
        <row r="9">
          <cell r="D9">
            <v>22</v>
          </cell>
          <cell r="E9">
            <v>6</v>
          </cell>
          <cell r="F9">
            <v>15</v>
          </cell>
          <cell r="G9">
            <v>3</v>
          </cell>
        </row>
        <row r="11">
          <cell r="D11">
            <v>19</v>
          </cell>
          <cell r="E11">
            <v>11</v>
          </cell>
          <cell r="F11">
            <v>10</v>
          </cell>
          <cell r="G11">
            <v>2</v>
          </cell>
        </row>
        <row r="14">
          <cell r="D14">
            <v>0</v>
          </cell>
          <cell r="E14">
            <v>4</v>
          </cell>
          <cell r="F14">
            <v>0</v>
          </cell>
          <cell r="G14">
            <v>0</v>
          </cell>
        </row>
        <row r="19">
          <cell r="D19">
            <v>15</v>
          </cell>
          <cell r="E19">
            <v>39</v>
          </cell>
          <cell r="F19">
            <v>25</v>
          </cell>
          <cell r="G19">
            <v>5</v>
          </cell>
        </row>
        <row r="21">
          <cell r="D21">
            <v>116</v>
          </cell>
          <cell r="E21">
            <v>0</v>
          </cell>
          <cell r="F21">
            <v>189</v>
          </cell>
          <cell r="G21">
            <v>37</v>
          </cell>
        </row>
        <row r="22">
          <cell r="D22">
            <v>3</v>
          </cell>
          <cell r="E22">
            <v>11</v>
          </cell>
          <cell r="F22">
            <v>0</v>
          </cell>
          <cell r="G22">
            <v>0</v>
          </cell>
        </row>
        <row r="23">
          <cell r="D23">
            <v>0</v>
          </cell>
          <cell r="E23">
            <v>4</v>
          </cell>
          <cell r="F23">
            <v>0</v>
          </cell>
          <cell r="G23">
            <v>0</v>
          </cell>
        </row>
        <row r="27">
          <cell r="D27">
            <v>12</v>
          </cell>
          <cell r="E27">
            <v>7</v>
          </cell>
          <cell r="F27">
            <v>0</v>
          </cell>
          <cell r="G27">
            <v>0</v>
          </cell>
        </row>
        <row r="28">
          <cell r="D28">
            <v>13</v>
          </cell>
          <cell r="E28">
            <v>3</v>
          </cell>
          <cell r="F28">
            <v>10</v>
          </cell>
          <cell r="G28">
            <v>2</v>
          </cell>
        </row>
        <row r="31">
          <cell r="D31">
            <v>64</v>
          </cell>
          <cell r="E31">
            <v>9</v>
          </cell>
          <cell r="F31">
            <v>102</v>
          </cell>
          <cell r="G31">
            <v>17</v>
          </cell>
        </row>
        <row r="33">
          <cell r="D33">
            <v>3</v>
          </cell>
          <cell r="E33">
            <v>5</v>
          </cell>
          <cell r="F33">
            <v>5</v>
          </cell>
          <cell r="G33">
            <v>1</v>
          </cell>
        </row>
        <row r="36">
          <cell r="D36">
            <v>4</v>
          </cell>
          <cell r="E36">
            <v>8</v>
          </cell>
          <cell r="F36">
            <v>20</v>
          </cell>
          <cell r="G36">
            <v>4</v>
          </cell>
        </row>
        <row r="37">
          <cell r="D37">
            <v>11</v>
          </cell>
          <cell r="E37">
            <v>16</v>
          </cell>
          <cell r="F37">
            <v>113</v>
          </cell>
          <cell r="G37">
            <v>0</v>
          </cell>
        </row>
        <row r="40">
          <cell r="D40">
            <v>11</v>
          </cell>
          <cell r="E40">
            <v>8</v>
          </cell>
          <cell r="F40">
            <v>5</v>
          </cell>
          <cell r="G40">
            <v>1</v>
          </cell>
        </row>
        <row r="51">
          <cell r="D51">
            <v>20</v>
          </cell>
          <cell r="E51">
            <v>11</v>
          </cell>
          <cell r="F51">
            <v>5</v>
          </cell>
          <cell r="G51">
            <v>1</v>
          </cell>
        </row>
        <row r="54">
          <cell r="D54">
            <v>1</v>
          </cell>
          <cell r="E54">
            <v>3</v>
          </cell>
          <cell r="F54">
            <v>0</v>
          </cell>
          <cell r="G54">
            <v>0</v>
          </cell>
        </row>
        <row r="59">
          <cell r="D59">
            <v>88</v>
          </cell>
          <cell r="E59">
            <v>6</v>
          </cell>
          <cell r="F59">
            <v>90</v>
          </cell>
          <cell r="G59">
            <v>18</v>
          </cell>
        </row>
        <row r="61">
          <cell r="D61">
            <v>63</v>
          </cell>
          <cell r="E61">
            <v>0</v>
          </cell>
          <cell r="F61">
            <v>689</v>
          </cell>
          <cell r="G61">
            <v>7</v>
          </cell>
        </row>
        <row r="62">
          <cell r="D62">
            <v>13</v>
          </cell>
          <cell r="E62">
            <v>2</v>
          </cell>
          <cell r="F62">
            <v>0</v>
          </cell>
          <cell r="G62">
            <v>0</v>
          </cell>
        </row>
        <row r="63">
          <cell r="D63">
            <v>6</v>
          </cell>
          <cell r="E63">
            <v>4</v>
          </cell>
          <cell r="F63">
            <v>0</v>
          </cell>
          <cell r="G63">
            <v>0</v>
          </cell>
        </row>
        <row r="66">
          <cell r="D66">
            <v>0</v>
          </cell>
          <cell r="E66">
            <v>1</v>
          </cell>
          <cell r="F66">
            <v>0</v>
          </cell>
          <cell r="G66">
            <v>0</v>
          </cell>
        </row>
        <row r="68">
          <cell r="D68">
            <v>93</v>
          </cell>
          <cell r="E68">
            <v>41</v>
          </cell>
          <cell r="F68">
            <v>75</v>
          </cell>
          <cell r="G68">
            <v>15</v>
          </cell>
        </row>
        <row r="72">
          <cell r="D72">
            <v>30</v>
          </cell>
          <cell r="E72">
            <v>7</v>
          </cell>
          <cell r="F72">
            <v>13</v>
          </cell>
          <cell r="G72">
            <v>2</v>
          </cell>
        </row>
        <row r="75">
          <cell r="D75">
            <v>23</v>
          </cell>
          <cell r="E75">
            <v>6</v>
          </cell>
          <cell r="F75">
            <v>15</v>
          </cell>
          <cell r="G75">
            <v>3</v>
          </cell>
        </row>
        <row r="79">
          <cell r="D79">
            <v>50</v>
          </cell>
          <cell r="E79">
            <v>36</v>
          </cell>
          <cell r="F79">
            <v>50</v>
          </cell>
          <cell r="G79">
            <v>10</v>
          </cell>
        </row>
        <row r="86">
          <cell r="D86">
            <v>7</v>
          </cell>
          <cell r="E86">
            <v>2</v>
          </cell>
          <cell r="F86">
            <v>5</v>
          </cell>
          <cell r="G86">
            <v>1</v>
          </cell>
        </row>
        <row r="87">
          <cell r="D87">
            <v>3</v>
          </cell>
          <cell r="E87">
            <v>2</v>
          </cell>
          <cell r="F87">
            <v>0</v>
          </cell>
          <cell r="G87">
            <v>0</v>
          </cell>
        </row>
        <row r="89">
          <cell r="D89">
            <v>28</v>
          </cell>
          <cell r="E89">
            <v>4</v>
          </cell>
          <cell r="F89">
            <v>298</v>
          </cell>
          <cell r="G89">
            <v>1</v>
          </cell>
        </row>
        <row r="90">
          <cell r="D90">
            <v>66</v>
          </cell>
          <cell r="E90">
            <v>16</v>
          </cell>
          <cell r="F90">
            <v>25</v>
          </cell>
          <cell r="G90">
            <v>5</v>
          </cell>
        </row>
        <row r="93">
          <cell r="D93">
            <v>26</v>
          </cell>
          <cell r="E93">
            <v>16</v>
          </cell>
          <cell r="F93">
            <v>10</v>
          </cell>
          <cell r="G93">
            <v>2</v>
          </cell>
        </row>
        <row r="95">
          <cell r="D95">
            <v>7</v>
          </cell>
          <cell r="E95">
            <v>3</v>
          </cell>
          <cell r="F95">
            <v>0</v>
          </cell>
          <cell r="G95">
            <v>0</v>
          </cell>
        </row>
        <row r="99">
          <cell r="D99">
            <v>73</v>
          </cell>
          <cell r="E99">
            <v>5</v>
          </cell>
          <cell r="F99">
            <v>15</v>
          </cell>
          <cell r="G99">
            <v>3</v>
          </cell>
        </row>
        <row r="101">
          <cell r="D101">
            <v>16</v>
          </cell>
          <cell r="E101">
            <v>38</v>
          </cell>
          <cell r="F101">
            <v>5</v>
          </cell>
          <cell r="G101">
            <v>1</v>
          </cell>
        </row>
        <row r="107">
          <cell r="D107">
            <v>2</v>
          </cell>
          <cell r="E107">
            <v>0</v>
          </cell>
          <cell r="F107">
            <v>0</v>
          </cell>
          <cell r="G107">
            <v>0</v>
          </cell>
        </row>
        <row r="109">
          <cell r="D109">
            <v>48</v>
          </cell>
          <cell r="E109">
            <v>5</v>
          </cell>
          <cell r="F109">
            <v>70</v>
          </cell>
          <cell r="G109">
            <v>14</v>
          </cell>
        </row>
        <row r="114">
          <cell r="D114">
            <v>18</v>
          </cell>
          <cell r="E114">
            <v>10</v>
          </cell>
          <cell r="F114">
            <v>180</v>
          </cell>
          <cell r="G114">
            <v>3</v>
          </cell>
        </row>
        <row r="116">
          <cell r="D116">
            <v>0</v>
          </cell>
          <cell r="E116">
            <v>1</v>
          </cell>
          <cell r="F116">
            <v>0</v>
          </cell>
          <cell r="G116">
            <v>0</v>
          </cell>
        </row>
        <row r="117">
          <cell r="D117">
            <v>27</v>
          </cell>
          <cell r="E117">
            <v>7</v>
          </cell>
          <cell r="F117">
            <v>15</v>
          </cell>
          <cell r="G117">
            <v>3</v>
          </cell>
        </row>
        <row r="120">
          <cell r="D120">
            <v>1</v>
          </cell>
          <cell r="E120">
            <v>4</v>
          </cell>
          <cell r="F120">
            <v>0</v>
          </cell>
          <cell r="G120">
            <v>0</v>
          </cell>
        </row>
        <row r="122">
          <cell r="D122">
            <v>0</v>
          </cell>
          <cell r="E122">
            <v>1</v>
          </cell>
          <cell r="F122">
            <v>0</v>
          </cell>
          <cell r="G122">
            <v>0</v>
          </cell>
        </row>
        <row r="124">
          <cell r="D124">
            <v>6</v>
          </cell>
          <cell r="E124">
            <v>7</v>
          </cell>
          <cell r="F124">
            <v>0</v>
          </cell>
          <cell r="G124">
            <v>0</v>
          </cell>
        </row>
        <row r="131">
          <cell r="D131">
            <v>101</v>
          </cell>
          <cell r="E131">
            <v>14</v>
          </cell>
          <cell r="F131">
            <v>195</v>
          </cell>
          <cell r="G131">
            <v>39</v>
          </cell>
        </row>
        <row r="132">
          <cell r="D132">
            <v>35</v>
          </cell>
          <cell r="E132">
            <v>1</v>
          </cell>
          <cell r="F132">
            <v>50</v>
          </cell>
          <cell r="G132">
            <v>10</v>
          </cell>
        </row>
        <row r="134">
          <cell r="D134">
            <v>6</v>
          </cell>
          <cell r="E134">
            <v>2</v>
          </cell>
          <cell r="F134">
            <v>0</v>
          </cell>
          <cell r="G134">
            <v>0</v>
          </cell>
        </row>
        <row r="150">
          <cell r="D150">
            <v>35</v>
          </cell>
          <cell r="E150">
            <v>5</v>
          </cell>
          <cell r="F150">
            <v>0</v>
          </cell>
          <cell r="G150">
            <v>0</v>
          </cell>
        </row>
        <row r="153">
          <cell r="D153">
            <v>1</v>
          </cell>
          <cell r="E153">
            <v>7</v>
          </cell>
          <cell r="F153">
            <v>0</v>
          </cell>
          <cell r="G153">
            <v>0</v>
          </cell>
        </row>
        <row r="162">
          <cell r="D162">
            <v>95</v>
          </cell>
          <cell r="E162">
            <v>1</v>
          </cell>
          <cell r="F162">
            <v>45</v>
          </cell>
          <cell r="G162">
            <v>9</v>
          </cell>
        </row>
        <row r="163">
          <cell r="D163">
            <v>64</v>
          </cell>
          <cell r="E163">
            <v>12</v>
          </cell>
          <cell r="F163">
            <v>15</v>
          </cell>
          <cell r="G163">
            <v>3</v>
          </cell>
        </row>
        <row r="167">
          <cell r="D167">
            <v>0</v>
          </cell>
          <cell r="E167">
            <v>1</v>
          </cell>
          <cell r="F167">
            <v>0</v>
          </cell>
          <cell r="G167">
            <v>0</v>
          </cell>
        </row>
        <row r="169">
          <cell r="D169">
            <v>58</v>
          </cell>
          <cell r="E169">
            <v>7</v>
          </cell>
          <cell r="F169">
            <v>50</v>
          </cell>
          <cell r="G169">
            <v>10</v>
          </cell>
        </row>
        <row r="174">
          <cell r="D174">
            <v>0</v>
          </cell>
          <cell r="E174">
            <v>1</v>
          </cell>
          <cell r="F174">
            <v>0</v>
          </cell>
          <cell r="G174">
            <v>0</v>
          </cell>
        </row>
        <row r="175">
          <cell r="D175">
            <v>74</v>
          </cell>
          <cell r="E175">
            <v>24</v>
          </cell>
          <cell r="F175">
            <v>15</v>
          </cell>
          <cell r="G175">
            <v>3</v>
          </cell>
        </row>
        <row r="178">
          <cell r="D178">
            <v>6</v>
          </cell>
          <cell r="E178">
            <v>2</v>
          </cell>
          <cell r="F178">
            <v>0</v>
          </cell>
          <cell r="G178">
            <v>0</v>
          </cell>
        </row>
        <row r="179">
          <cell r="D179">
            <v>0</v>
          </cell>
          <cell r="E179">
            <v>3</v>
          </cell>
          <cell r="F179">
            <v>0</v>
          </cell>
          <cell r="G179">
            <v>0</v>
          </cell>
        </row>
        <row r="180">
          <cell r="D180">
            <v>29</v>
          </cell>
          <cell r="E180">
            <v>21</v>
          </cell>
          <cell r="F180">
            <v>30</v>
          </cell>
          <cell r="G180">
            <v>6</v>
          </cell>
        </row>
        <row r="185">
          <cell r="D185">
            <v>18</v>
          </cell>
          <cell r="E185">
            <v>2</v>
          </cell>
          <cell r="F185">
            <v>186</v>
          </cell>
          <cell r="G185">
            <v>2</v>
          </cell>
        </row>
        <row r="186">
          <cell r="D186">
            <v>10</v>
          </cell>
          <cell r="E186">
            <v>4</v>
          </cell>
          <cell r="F186">
            <v>10</v>
          </cell>
          <cell r="G186">
            <v>2</v>
          </cell>
        </row>
        <row r="187">
          <cell r="D187">
            <v>9</v>
          </cell>
          <cell r="E187">
            <v>7</v>
          </cell>
          <cell r="F187">
            <v>0</v>
          </cell>
          <cell r="G187">
            <v>0</v>
          </cell>
        </row>
        <row r="190">
          <cell r="D190">
            <v>56</v>
          </cell>
          <cell r="E190">
            <v>3</v>
          </cell>
          <cell r="F190">
            <v>70</v>
          </cell>
          <cell r="G190">
            <v>14</v>
          </cell>
        </row>
        <row r="197">
          <cell r="D197">
            <v>23</v>
          </cell>
          <cell r="E197">
            <v>1</v>
          </cell>
          <cell r="F197">
            <v>10</v>
          </cell>
          <cell r="G197">
            <v>2</v>
          </cell>
        </row>
        <row r="199">
          <cell r="D199">
            <v>0</v>
          </cell>
          <cell r="E199">
            <v>1</v>
          </cell>
          <cell r="F199">
            <v>0</v>
          </cell>
          <cell r="G199">
            <v>0</v>
          </cell>
        </row>
        <row r="200">
          <cell r="D200">
            <v>84</v>
          </cell>
          <cell r="E200">
            <v>6</v>
          </cell>
          <cell r="F200">
            <v>45</v>
          </cell>
          <cell r="G200">
            <v>9</v>
          </cell>
        </row>
        <row r="201">
          <cell r="D201">
            <v>0</v>
          </cell>
          <cell r="E201">
            <v>4</v>
          </cell>
          <cell r="F201">
            <v>2</v>
          </cell>
          <cell r="G201">
            <v>0</v>
          </cell>
        </row>
        <row r="202">
          <cell r="D202">
            <v>16</v>
          </cell>
          <cell r="E202">
            <v>16</v>
          </cell>
          <cell r="F202">
            <v>0</v>
          </cell>
          <cell r="G202">
            <v>0</v>
          </cell>
        </row>
        <row r="206">
          <cell r="D206">
            <v>0</v>
          </cell>
          <cell r="E206">
            <v>1</v>
          </cell>
          <cell r="F206">
            <v>0</v>
          </cell>
          <cell r="G206">
            <v>0</v>
          </cell>
        </row>
        <row r="207">
          <cell r="D207">
            <v>13</v>
          </cell>
          <cell r="E207">
            <v>2</v>
          </cell>
          <cell r="F207">
            <v>20</v>
          </cell>
          <cell r="G207">
            <v>4</v>
          </cell>
        </row>
        <row r="215">
          <cell r="D215">
            <v>0</v>
          </cell>
          <cell r="E215">
            <v>2</v>
          </cell>
          <cell r="F215">
            <v>0</v>
          </cell>
          <cell r="G215">
            <v>0</v>
          </cell>
        </row>
        <row r="224">
          <cell r="D224">
            <v>6</v>
          </cell>
          <cell r="E224">
            <v>9</v>
          </cell>
          <cell r="F224">
            <v>5</v>
          </cell>
          <cell r="G224">
            <v>1</v>
          </cell>
        </row>
      </sheetData>
      <sheetData sheetId="5">
        <row r="2">
          <cell r="D2">
            <v>1</v>
          </cell>
          <cell r="E2">
            <v>5</v>
          </cell>
          <cell r="F2">
            <v>0</v>
          </cell>
          <cell r="G2">
            <v>0</v>
          </cell>
        </row>
        <row r="3">
          <cell r="D3">
            <v>6</v>
          </cell>
          <cell r="E3">
            <v>3</v>
          </cell>
          <cell r="F3">
            <v>0</v>
          </cell>
          <cell r="G3">
            <v>0</v>
          </cell>
        </row>
        <row r="6">
          <cell r="D6">
            <v>7</v>
          </cell>
          <cell r="E6">
            <v>4</v>
          </cell>
          <cell r="F6">
            <v>0</v>
          </cell>
          <cell r="G6">
            <v>0</v>
          </cell>
        </row>
        <row r="11">
          <cell r="D11">
            <v>29</v>
          </cell>
          <cell r="E11">
            <v>2</v>
          </cell>
          <cell r="F11">
            <v>40</v>
          </cell>
          <cell r="G11">
            <v>8</v>
          </cell>
        </row>
        <row r="14">
          <cell r="D14">
            <v>44</v>
          </cell>
          <cell r="E14">
            <v>7</v>
          </cell>
          <cell r="F14">
            <v>95</v>
          </cell>
          <cell r="G14">
            <v>19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49</v>
          </cell>
          <cell r="E16">
            <v>8</v>
          </cell>
          <cell r="F16">
            <v>25</v>
          </cell>
          <cell r="G16">
            <v>5</v>
          </cell>
        </row>
        <row r="20">
          <cell r="D20">
            <v>20</v>
          </cell>
          <cell r="E20">
            <v>1</v>
          </cell>
          <cell r="F20">
            <v>5</v>
          </cell>
          <cell r="G20">
            <v>1</v>
          </cell>
        </row>
        <row r="21">
          <cell r="D21">
            <v>2</v>
          </cell>
          <cell r="E21">
            <v>0</v>
          </cell>
          <cell r="F21">
            <v>0</v>
          </cell>
          <cell r="G21">
            <v>0</v>
          </cell>
        </row>
        <row r="23">
          <cell r="D23">
            <v>18</v>
          </cell>
          <cell r="E23">
            <v>8</v>
          </cell>
          <cell r="F23">
            <v>25</v>
          </cell>
          <cell r="G23">
            <v>5</v>
          </cell>
        </row>
        <row r="26">
          <cell r="D26">
            <v>2</v>
          </cell>
          <cell r="E26">
            <v>4</v>
          </cell>
          <cell r="F26">
            <v>10</v>
          </cell>
          <cell r="G26">
            <v>2</v>
          </cell>
        </row>
        <row r="29">
          <cell r="D29">
            <v>19</v>
          </cell>
          <cell r="E29">
            <v>15</v>
          </cell>
          <cell r="F29">
            <v>0</v>
          </cell>
          <cell r="G29">
            <v>0</v>
          </cell>
        </row>
        <row r="33">
          <cell r="D33">
            <v>1</v>
          </cell>
          <cell r="E33">
            <v>2</v>
          </cell>
          <cell r="F33">
            <v>0</v>
          </cell>
          <cell r="G33">
            <v>0</v>
          </cell>
        </row>
        <row r="34">
          <cell r="D34">
            <v>11</v>
          </cell>
          <cell r="E34">
            <v>6</v>
          </cell>
          <cell r="F34">
            <v>5</v>
          </cell>
          <cell r="G34">
            <v>1</v>
          </cell>
        </row>
        <row r="38">
          <cell r="D38">
            <v>0</v>
          </cell>
          <cell r="E38">
            <v>7</v>
          </cell>
          <cell r="F38">
            <v>0</v>
          </cell>
          <cell r="G38">
            <v>0</v>
          </cell>
        </row>
        <row r="39">
          <cell r="D39">
            <v>14</v>
          </cell>
          <cell r="E39">
            <v>8</v>
          </cell>
          <cell r="F39">
            <v>10</v>
          </cell>
          <cell r="G39">
            <v>2</v>
          </cell>
        </row>
        <row r="41">
          <cell r="D41">
            <v>42</v>
          </cell>
          <cell r="E41">
            <v>9</v>
          </cell>
          <cell r="F41">
            <v>25</v>
          </cell>
          <cell r="G41">
            <v>5</v>
          </cell>
        </row>
        <row r="46">
          <cell r="D46">
            <v>25</v>
          </cell>
          <cell r="E46">
            <v>8</v>
          </cell>
          <cell r="F46">
            <v>5</v>
          </cell>
          <cell r="G46">
            <v>1</v>
          </cell>
        </row>
        <row r="48">
          <cell r="D48">
            <v>3</v>
          </cell>
          <cell r="E48">
            <v>6</v>
          </cell>
          <cell r="F48">
            <v>52</v>
          </cell>
          <cell r="G48">
            <v>0</v>
          </cell>
        </row>
        <row r="49">
          <cell r="D49">
            <v>43</v>
          </cell>
          <cell r="E49">
            <v>1</v>
          </cell>
          <cell r="F49">
            <v>35</v>
          </cell>
          <cell r="G49">
            <v>7</v>
          </cell>
        </row>
        <row r="50">
          <cell r="D50">
            <v>1</v>
          </cell>
          <cell r="E50">
            <v>2</v>
          </cell>
          <cell r="F50">
            <v>5</v>
          </cell>
          <cell r="G50">
            <v>1</v>
          </cell>
        </row>
        <row r="52">
          <cell r="D52">
            <v>5</v>
          </cell>
          <cell r="E52">
            <v>8</v>
          </cell>
          <cell r="F52">
            <v>0</v>
          </cell>
          <cell r="G52">
            <v>0</v>
          </cell>
        </row>
        <row r="54">
          <cell r="D54">
            <v>15</v>
          </cell>
          <cell r="E54">
            <v>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6</v>
          </cell>
          <cell r="F55">
            <v>5</v>
          </cell>
          <cell r="G55">
            <v>1</v>
          </cell>
        </row>
        <row r="56">
          <cell r="D56">
            <v>11</v>
          </cell>
          <cell r="E56">
            <v>7</v>
          </cell>
          <cell r="F56">
            <v>10</v>
          </cell>
          <cell r="G56">
            <v>2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2">
          <cell r="D62">
            <v>22</v>
          </cell>
          <cell r="E62">
            <v>17</v>
          </cell>
          <cell r="F62">
            <v>5</v>
          </cell>
          <cell r="G62">
            <v>1</v>
          </cell>
        </row>
        <row r="64">
          <cell r="D64">
            <v>15</v>
          </cell>
          <cell r="E64">
            <v>8</v>
          </cell>
          <cell r="F64">
            <v>20</v>
          </cell>
          <cell r="G64">
            <v>4</v>
          </cell>
        </row>
        <row r="65">
          <cell r="D65">
            <v>37</v>
          </cell>
          <cell r="E65">
            <v>8</v>
          </cell>
          <cell r="F65">
            <v>43</v>
          </cell>
          <cell r="G65">
            <v>1</v>
          </cell>
        </row>
        <row r="68">
          <cell r="D68">
            <v>5</v>
          </cell>
          <cell r="E68">
            <v>4</v>
          </cell>
          <cell r="F68">
            <v>0</v>
          </cell>
          <cell r="G68">
            <v>0</v>
          </cell>
        </row>
        <row r="71">
          <cell r="D71">
            <v>57</v>
          </cell>
          <cell r="E71">
            <v>8</v>
          </cell>
          <cell r="F71">
            <v>20</v>
          </cell>
          <cell r="G71">
            <v>4</v>
          </cell>
        </row>
        <row r="75">
          <cell r="D75">
            <v>9</v>
          </cell>
          <cell r="E75">
            <v>2</v>
          </cell>
          <cell r="F75">
            <v>80</v>
          </cell>
          <cell r="G75">
            <v>0</v>
          </cell>
        </row>
        <row r="76">
          <cell r="D76">
            <v>16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52</v>
          </cell>
          <cell r="E79">
            <v>13</v>
          </cell>
          <cell r="F79">
            <v>15</v>
          </cell>
          <cell r="G79">
            <v>3</v>
          </cell>
        </row>
        <row r="83">
          <cell r="D83">
            <v>3</v>
          </cell>
          <cell r="E83">
            <v>3</v>
          </cell>
          <cell r="F83">
            <v>29</v>
          </cell>
          <cell r="G83">
            <v>2</v>
          </cell>
        </row>
        <row r="86">
          <cell r="D86">
            <v>33</v>
          </cell>
          <cell r="E86">
            <v>7</v>
          </cell>
          <cell r="F86">
            <v>5</v>
          </cell>
          <cell r="G86">
            <v>1</v>
          </cell>
        </row>
        <row r="88">
          <cell r="D88">
            <v>21</v>
          </cell>
          <cell r="E88">
            <v>14</v>
          </cell>
          <cell r="F88">
            <v>5</v>
          </cell>
          <cell r="G88">
            <v>1</v>
          </cell>
        </row>
        <row r="89">
          <cell r="D89">
            <v>38</v>
          </cell>
          <cell r="E89">
            <v>6</v>
          </cell>
          <cell r="F89">
            <v>15</v>
          </cell>
          <cell r="G89">
            <v>3</v>
          </cell>
        </row>
        <row r="91">
          <cell r="D91">
            <v>7</v>
          </cell>
          <cell r="E91">
            <v>3</v>
          </cell>
          <cell r="F91">
            <v>0</v>
          </cell>
          <cell r="G91">
            <v>0</v>
          </cell>
        </row>
        <row r="92">
          <cell r="D92">
            <v>19</v>
          </cell>
          <cell r="E92">
            <v>0</v>
          </cell>
          <cell r="F92">
            <v>10</v>
          </cell>
          <cell r="G92">
            <v>2</v>
          </cell>
        </row>
        <row r="94">
          <cell r="D94">
            <v>25</v>
          </cell>
          <cell r="E94">
            <v>18</v>
          </cell>
          <cell r="F94">
            <v>5</v>
          </cell>
          <cell r="G94">
            <v>1</v>
          </cell>
        </row>
        <row r="97">
          <cell r="D97">
            <v>6</v>
          </cell>
          <cell r="E97">
            <v>5</v>
          </cell>
          <cell r="F97">
            <v>0</v>
          </cell>
          <cell r="G97">
            <v>0</v>
          </cell>
        </row>
        <row r="99">
          <cell r="D99">
            <v>0</v>
          </cell>
          <cell r="E99">
            <v>4</v>
          </cell>
          <cell r="F99">
            <v>0</v>
          </cell>
          <cell r="G99">
            <v>0</v>
          </cell>
        </row>
        <row r="104">
          <cell r="D104">
            <v>44</v>
          </cell>
          <cell r="E104">
            <v>14</v>
          </cell>
          <cell r="F104">
            <v>10</v>
          </cell>
          <cell r="G104">
            <v>2</v>
          </cell>
        </row>
        <row r="105">
          <cell r="D105">
            <v>10</v>
          </cell>
          <cell r="E105">
            <v>12</v>
          </cell>
          <cell r="F105">
            <v>0</v>
          </cell>
          <cell r="G105">
            <v>0</v>
          </cell>
        </row>
        <row r="108">
          <cell r="D108">
            <v>37</v>
          </cell>
          <cell r="E108">
            <v>15</v>
          </cell>
          <cell r="F108">
            <v>15</v>
          </cell>
          <cell r="G108">
            <v>3</v>
          </cell>
        </row>
        <row r="109">
          <cell r="D109">
            <v>0</v>
          </cell>
          <cell r="E109">
            <v>1</v>
          </cell>
          <cell r="F109">
            <v>0</v>
          </cell>
          <cell r="G109">
            <v>0</v>
          </cell>
        </row>
        <row r="115">
          <cell r="D115">
            <v>4</v>
          </cell>
          <cell r="E115">
            <v>21</v>
          </cell>
          <cell r="F115">
            <v>5</v>
          </cell>
          <cell r="G115">
            <v>1</v>
          </cell>
        </row>
        <row r="116">
          <cell r="D116">
            <v>5</v>
          </cell>
          <cell r="E116">
            <v>4</v>
          </cell>
          <cell r="F116">
            <v>2</v>
          </cell>
          <cell r="G116">
            <v>0</v>
          </cell>
        </row>
        <row r="117">
          <cell r="D117">
            <v>2</v>
          </cell>
          <cell r="E117">
            <v>2</v>
          </cell>
          <cell r="F117">
            <v>0</v>
          </cell>
          <cell r="G117">
            <v>0</v>
          </cell>
        </row>
        <row r="122">
          <cell r="D122">
            <v>17</v>
          </cell>
          <cell r="E122">
            <v>0</v>
          </cell>
          <cell r="F122">
            <v>0</v>
          </cell>
          <cell r="G122">
            <v>0</v>
          </cell>
        </row>
        <row r="132">
          <cell r="D132">
            <v>0</v>
          </cell>
          <cell r="E132">
            <v>1</v>
          </cell>
          <cell r="F132">
            <v>0</v>
          </cell>
          <cell r="G132">
            <v>0</v>
          </cell>
        </row>
        <row r="134">
          <cell r="D134">
            <v>8</v>
          </cell>
          <cell r="E134">
            <v>0</v>
          </cell>
          <cell r="F134">
            <v>10</v>
          </cell>
          <cell r="G134">
            <v>2</v>
          </cell>
        </row>
        <row r="139">
          <cell r="D139">
            <v>22</v>
          </cell>
          <cell r="E139">
            <v>0</v>
          </cell>
          <cell r="F139">
            <v>10</v>
          </cell>
          <cell r="G139">
            <v>2</v>
          </cell>
        </row>
        <row r="144">
          <cell r="D144">
            <v>12</v>
          </cell>
          <cell r="E144">
            <v>22</v>
          </cell>
          <cell r="F144">
            <v>0</v>
          </cell>
          <cell r="G144">
            <v>0</v>
          </cell>
        </row>
        <row r="145">
          <cell r="D145">
            <v>4</v>
          </cell>
          <cell r="E145">
            <v>5</v>
          </cell>
          <cell r="F145">
            <v>0</v>
          </cell>
          <cell r="G145">
            <v>0</v>
          </cell>
        </row>
        <row r="146">
          <cell r="D146">
            <v>30</v>
          </cell>
          <cell r="E146">
            <v>1</v>
          </cell>
          <cell r="F146">
            <v>209</v>
          </cell>
          <cell r="G146">
            <v>2</v>
          </cell>
        </row>
        <row r="148">
          <cell r="D148">
            <v>12</v>
          </cell>
          <cell r="E148">
            <v>3</v>
          </cell>
          <cell r="F148">
            <v>15</v>
          </cell>
          <cell r="G148">
            <v>3</v>
          </cell>
        </row>
        <row r="149">
          <cell r="D149">
            <v>4</v>
          </cell>
          <cell r="E149">
            <v>1</v>
          </cell>
          <cell r="F149">
            <v>5</v>
          </cell>
          <cell r="G149">
            <v>1</v>
          </cell>
        </row>
        <row r="150">
          <cell r="D150">
            <v>13</v>
          </cell>
          <cell r="E150">
            <v>4</v>
          </cell>
          <cell r="F150">
            <v>0</v>
          </cell>
          <cell r="G150">
            <v>0</v>
          </cell>
        </row>
        <row r="151">
          <cell r="D151">
            <v>23</v>
          </cell>
          <cell r="E151">
            <v>13</v>
          </cell>
          <cell r="F151">
            <v>15</v>
          </cell>
          <cell r="G151">
            <v>3</v>
          </cell>
        </row>
        <row r="152">
          <cell r="D152">
            <v>7</v>
          </cell>
          <cell r="E152">
            <v>5</v>
          </cell>
          <cell r="F152">
            <v>5</v>
          </cell>
          <cell r="G152">
            <v>1</v>
          </cell>
        </row>
        <row r="156">
          <cell r="D156">
            <v>17</v>
          </cell>
          <cell r="E156">
            <v>5</v>
          </cell>
          <cell r="F156">
            <v>5</v>
          </cell>
          <cell r="G156">
            <v>1</v>
          </cell>
        </row>
        <row r="157">
          <cell r="D157">
            <v>10</v>
          </cell>
          <cell r="E157">
            <v>1</v>
          </cell>
          <cell r="F157">
            <v>10</v>
          </cell>
          <cell r="G157">
            <v>2</v>
          </cell>
        </row>
        <row r="160">
          <cell r="D160">
            <v>16</v>
          </cell>
          <cell r="E160">
            <v>4</v>
          </cell>
          <cell r="F160">
            <v>7</v>
          </cell>
          <cell r="G160">
            <v>1</v>
          </cell>
        </row>
        <row r="161">
          <cell r="D161">
            <v>37</v>
          </cell>
          <cell r="E161">
            <v>0</v>
          </cell>
          <cell r="F161">
            <v>0</v>
          </cell>
          <cell r="G161">
            <v>0</v>
          </cell>
        </row>
        <row r="163">
          <cell r="D163">
            <v>0</v>
          </cell>
          <cell r="E163">
            <v>3</v>
          </cell>
          <cell r="F163">
            <v>0</v>
          </cell>
          <cell r="G163">
            <v>0</v>
          </cell>
        </row>
      </sheetData>
      <sheetData sheetId="6">
        <row r="4">
          <cell r="D4">
            <v>20</v>
          </cell>
          <cell r="E4">
            <v>7</v>
          </cell>
          <cell r="F4">
            <v>25</v>
          </cell>
          <cell r="G4">
            <v>5</v>
          </cell>
        </row>
        <row r="7">
          <cell r="D7">
            <v>49</v>
          </cell>
          <cell r="E7">
            <v>1</v>
          </cell>
          <cell r="F7">
            <v>35</v>
          </cell>
          <cell r="G7">
            <v>7</v>
          </cell>
        </row>
        <row r="8">
          <cell r="D8">
            <v>3</v>
          </cell>
          <cell r="E8">
            <v>3</v>
          </cell>
          <cell r="F8">
            <v>10</v>
          </cell>
          <cell r="G8">
            <v>2</v>
          </cell>
        </row>
        <row r="9">
          <cell r="D9">
            <v>0</v>
          </cell>
          <cell r="E9">
            <v>2</v>
          </cell>
          <cell r="F9">
            <v>0</v>
          </cell>
          <cell r="G9">
            <v>0</v>
          </cell>
        </row>
        <row r="10">
          <cell r="D10">
            <v>81</v>
          </cell>
          <cell r="E10">
            <v>15</v>
          </cell>
          <cell r="F10">
            <v>35</v>
          </cell>
          <cell r="G10">
            <v>7</v>
          </cell>
        </row>
        <row r="12">
          <cell r="D12">
            <v>31</v>
          </cell>
          <cell r="E12">
            <v>35</v>
          </cell>
          <cell r="F12">
            <v>10</v>
          </cell>
          <cell r="G12">
            <v>2</v>
          </cell>
        </row>
        <row r="16">
          <cell r="D16">
            <v>23</v>
          </cell>
          <cell r="E16">
            <v>16</v>
          </cell>
          <cell r="F16">
            <v>20</v>
          </cell>
          <cell r="G16">
            <v>4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1">
          <cell r="D21">
            <v>2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19</v>
          </cell>
          <cell r="E22">
            <v>32</v>
          </cell>
          <cell r="F22">
            <v>5</v>
          </cell>
          <cell r="G22">
            <v>1</v>
          </cell>
        </row>
        <row r="23">
          <cell r="D23">
            <v>3</v>
          </cell>
          <cell r="E23">
            <v>6</v>
          </cell>
          <cell r="F23">
            <v>0</v>
          </cell>
          <cell r="G23">
            <v>0</v>
          </cell>
        </row>
        <row r="26">
          <cell r="D26">
            <v>46</v>
          </cell>
          <cell r="E26">
            <v>27</v>
          </cell>
          <cell r="F26">
            <v>20</v>
          </cell>
          <cell r="G26">
            <v>4</v>
          </cell>
        </row>
        <row r="27">
          <cell r="D27">
            <v>130</v>
          </cell>
          <cell r="E27">
            <v>47</v>
          </cell>
          <cell r="F27">
            <v>40</v>
          </cell>
          <cell r="G27">
            <v>8</v>
          </cell>
        </row>
        <row r="29">
          <cell r="D29">
            <v>29</v>
          </cell>
          <cell r="E29">
            <v>20</v>
          </cell>
          <cell r="F29">
            <v>5</v>
          </cell>
          <cell r="G29">
            <v>1</v>
          </cell>
        </row>
        <row r="34">
          <cell r="D34">
            <v>71</v>
          </cell>
          <cell r="E34">
            <v>10</v>
          </cell>
          <cell r="F34">
            <v>85</v>
          </cell>
          <cell r="G34">
            <v>17</v>
          </cell>
        </row>
        <row r="35">
          <cell r="D35">
            <v>64</v>
          </cell>
          <cell r="E35">
            <v>17</v>
          </cell>
          <cell r="F35">
            <v>65</v>
          </cell>
          <cell r="G35">
            <v>13</v>
          </cell>
        </row>
        <row r="37">
          <cell r="D37">
            <v>26</v>
          </cell>
          <cell r="E37">
            <v>16</v>
          </cell>
          <cell r="F37">
            <v>10</v>
          </cell>
          <cell r="G37">
            <v>2</v>
          </cell>
        </row>
        <row r="38">
          <cell r="D38">
            <v>134</v>
          </cell>
          <cell r="E38">
            <v>16</v>
          </cell>
          <cell r="F38">
            <v>30</v>
          </cell>
          <cell r="G38">
            <v>6</v>
          </cell>
        </row>
        <row r="39">
          <cell r="D39">
            <v>56</v>
          </cell>
          <cell r="E39">
            <v>31</v>
          </cell>
          <cell r="F39">
            <v>20</v>
          </cell>
          <cell r="G39">
            <v>4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52">
          <cell r="D52">
            <v>42</v>
          </cell>
          <cell r="E52">
            <v>2</v>
          </cell>
          <cell r="F52">
            <v>576</v>
          </cell>
          <cell r="G52">
            <v>12</v>
          </cell>
        </row>
        <row r="53">
          <cell r="D53">
            <v>5</v>
          </cell>
          <cell r="E53">
            <v>2</v>
          </cell>
          <cell r="F53">
            <v>15</v>
          </cell>
          <cell r="G53">
            <v>0</v>
          </cell>
        </row>
        <row r="54">
          <cell r="D54">
            <v>2</v>
          </cell>
          <cell r="E54">
            <v>4</v>
          </cell>
          <cell r="F54">
            <v>0</v>
          </cell>
          <cell r="G54">
            <v>0</v>
          </cell>
        </row>
        <row r="63">
          <cell r="D63">
            <v>104</v>
          </cell>
          <cell r="E63">
            <v>16</v>
          </cell>
          <cell r="F63">
            <v>1165</v>
          </cell>
          <cell r="G63">
            <v>19</v>
          </cell>
        </row>
        <row r="64">
          <cell r="D64">
            <v>4</v>
          </cell>
          <cell r="E64">
            <v>6</v>
          </cell>
          <cell r="F64">
            <v>0</v>
          </cell>
          <cell r="G64">
            <v>0</v>
          </cell>
        </row>
        <row r="66">
          <cell r="D66">
            <v>32</v>
          </cell>
          <cell r="E66">
            <v>28</v>
          </cell>
          <cell r="F66">
            <v>30</v>
          </cell>
          <cell r="G66">
            <v>6</v>
          </cell>
        </row>
        <row r="69">
          <cell r="D69">
            <v>54</v>
          </cell>
          <cell r="E69">
            <v>26</v>
          </cell>
          <cell r="F69">
            <v>30</v>
          </cell>
          <cell r="G69">
            <v>6</v>
          </cell>
        </row>
        <row r="70">
          <cell r="D70">
            <v>25</v>
          </cell>
          <cell r="E70">
            <v>18</v>
          </cell>
          <cell r="F70">
            <v>20</v>
          </cell>
          <cell r="G70">
            <v>4</v>
          </cell>
        </row>
        <row r="71">
          <cell r="D71">
            <v>1</v>
          </cell>
          <cell r="E71">
            <v>3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3</v>
          </cell>
          <cell r="F72">
            <v>0</v>
          </cell>
          <cell r="G72">
            <v>0</v>
          </cell>
        </row>
        <row r="73">
          <cell r="D73">
            <v>5</v>
          </cell>
          <cell r="E73">
            <v>4</v>
          </cell>
          <cell r="F73">
            <v>0</v>
          </cell>
          <cell r="G73">
            <v>0</v>
          </cell>
        </row>
        <row r="74">
          <cell r="D74">
            <v>4</v>
          </cell>
          <cell r="E74">
            <v>13</v>
          </cell>
          <cell r="F74">
            <v>5</v>
          </cell>
          <cell r="G74">
            <v>1</v>
          </cell>
        </row>
        <row r="76">
          <cell r="D76">
            <v>0</v>
          </cell>
          <cell r="E76">
            <v>6</v>
          </cell>
          <cell r="F76">
            <v>0</v>
          </cell>
          <cell r="G76">
            <v>0</v>
          </cell>
        </row>
        <row r="79">
          <cell r="D79">
            <v>70</v>
          </cell>
          <cell r="E79">
            <v>14</v>
          </cell>
          <cell r="F79">
            <v>90</v>
          </cell>
          <cell r="G79">
            <v>18</v>
          </cell>
        </row>
        <row r="80">
          <cell r="D80">
            <v>24</v>
          </cell>
          <cell r="E80">
            <v>20</v>
          </cell>
          <cell r="F80">
            <v>20</v>
          </cell>
          <cell r="G80">
            <v>4</v>
          </cell>
        </row>
        <row r="83">
          <cell r="D83">
            <v>4</v>
          </cell>
          <cell r="E83">
            <v>2</v>
          </cell>
          <cell r="F83">
            <v>47</v>
          </cell>
          <cell r="G83">
            <v>1</v>
          </cell>
        </row>
        <row r="93">
          <cell r="D93">
            <v>149</v>
          </cell>
          <cell r="E93">
            <v>28</v>
          </cell>
          <cell r="F93">
            <v>40</v>
          </cell>
          <cell r="G93">
            <v>8</v>
          </cell>
        </row>
        <row r="95">
          <cell r="D95">
            <v>3</v>
          </cell>
          <cell r="E95">
            <v>3</v>
          </cell>
          <cell r="F95">
            <v>0</v>
          </cell>
          <cell r="G95">
            <v>0</v>
          </cell>
        </row>
        <row r="103">
          <cell r="D103">
            <v>24</v>
          </cell>
          <cell r="E103">
            <v>10</v>
          </cell>
          <cell r="F103">
            <v>20</v>
          </cell>
          <cell r="G103">
            <v>4</v>
          </cell>
        </row>
        <row r="110">
          <cell r="D110">
            <v>104</v>
          </cell>
          <cell r="E110">
            <v>29</v>
          </cell>
          <cell r="F110">
            <v>100</v>
          </cell>
          <cell r="G110">
            <v>20</v>
          </cell>
        </row>
        <row r="111">
          <cell r="D111">
            <v>20</v>
          </cell>
          <cell r="E111">
            <v>10</v>
          </cell>
          <cell r="F111">
            <v>0</v>
          </cell>
          <cell r="G111">
            <v>0</v>
          </cell>
        </row>
        <row r="112">
          <cell r="D112">
            <v>6</v>
          </cell>
          <cell r="E112">
            <v>3</v>
          </cell>
          <cell r="F112">
            <v>20</v>
          </cell>
          <cell r="G112">
            <v>4</v>
          </cell>
        </row>
        <row r="113">
          <cell r="D113">
            <v>38</v>
          </cell>
          <cell r="E113">
            <v>15</v>
          </cell>
          <cell r="F113">
            <v>5</v>
          </cell>
          <cell r="G113">
            <v>1</v>
          </cell>
        </row>
        <row r="114">
          <cell r="D114">
            <v>3</v>
          </cell>
          <cell r="E114">
            <v>2</v>
          </cell>
          <cell r="F114">
            <v>5</v>
          </cell>
          <cell r="G114">
            <v>1</v>
          </cell>
        </row>
        <row r="116">
          <cell r="D116">
            <v>57</v>
          </cell>
          <cell r="E116">
            <v>11</v>
          </cell>
          <cell r="F116">
            <v>96</v>
          </cell>
          <cell r="G116">
            <v>17</v>
          </cell>
        </row>
        <row r="117">
          <cell r="D117">
            <v>17</v>
          </cell>
          <cell r="E117">
            <v>12</v>
          </cell>
          <cell r="F117">
            <v>10</v>
          </cell>
          <cell r="G117">
            <v>2</v>
          </cell>
        </row>
        <row r="122">
          <cell r="D122">
            <v>41</v>
          </cell>
          <cell r="E122">
            <v>18</v>
          </cell>
          <cell r="F122">
            <v>10</v>
          </cell>
          <cell r="G122">
            <v>2</v>
          </cell>
        </row>
        <row r="128">
          <cell r="D128">
            <v>23</v>
          </cell>
          <cell r="E128">
            <v>5</v>
          </cell>
          <cell r="F128">
            <v>5</v>
          </cell>
          <cell r="G128">
            <v>1</v>
          </cell>
        </row>
        <row r="130">
          <cell r="D130">
            <v>10</v>
          </cell>
          <cell r="E130">
            <v>5</v>
          </cell>
          <cell r="F130">
            <v>0</v>
          </cell>
          <cell r="G130">
            <v>0</v>
          </cell>
        </row>
        <row r="133">
          <cell r="D133">
            <v>0</v>
          </cell>
          <cell r="E133">
            <v>1</v>
          </cell>
          <cell r="F133">
            <v>0</v>
          </cell>
          <cell r="G133">
            <v>0</v>
          </cell>
        </row>
        <row r="134">
          <cell r="D134">
            <v>31</v>
          </cell>
          <cell r="E134">
            <v>8</v>
          </cell>
          <cell r="F134">
            <v>60</v>
          </cell>
          <cell r="G134">
            <v>12</v>
          </cell>
        </row>
        <row r="142">
          <cell r="D142">
            <v>1</v>
          </cell>
          <cell r="E142">
            <v>1</v>
          </cell>
          <cell r="F142">
            <v>0</v>
          </cell>
          <cell r="G142">
            <v>0</v>
          </cell>
        </row>
        <row r="145">
          <cell r="D145">
            <v>1</v>
          </cell>
          <cell r="E145">
            <v>2</v>
          </cell>
          <cell r="F145">
            <v>0</v>
          </cell>
          <cell r="G145">
            <v>0</v>
          </cell>
        </row>
        <row r="146">
          <cell r="D146">
            <v>15</v>
          </cell>
          <cell r="E146">
            <v>1</v>
          </cell>
          <cell r="F146">
            <v>15</v>
          </cell>
          <cell r="G146">
            <v>3</v>
          </cell>
        </row>
        <row r="148">
          <cell r="D148">
            <v>17</v>
          </cell>
          <cell r="E148">
            <v>13</v>
          </cell>
          <cell r="F148">
            <v>0</v>
          </cell>
          <cell r="G148">
            <v>0</v>
          </cell>
        </row>
        <row r="149">
          <cell r="D149">
            <v>10</v>
          </cell>
          <cell r="E149">
            <v>17</v>
          </cell>
          <cell r="F149">
            <v>20</v>
          </cell>
          <cell r="G149">
            <v>4</v>
          </cell>
        </row>
        <row r="150">
          <cell r="D150">
            <v>29</v>
          </cell>
          <cell r="E150">
            <v>2</v>
          </cell>
          <cell r="F150">
            <v>5</v>
          </cell>
          <cell r="G150">
            <v>1</v>
          </cell>
        </row>
        <row r="151">
          <cell r="D151">
            <v>23</v>
          </cell>
          <cell r="E151">
            <v>11</v>
          </cell>
          <cell r="F151">
            <v>10</v>
          </cell>
          <cell r="G151">
            <v>2</v>
          </cell>
        </row>
        <row r="153">
          <cell r="D153">
            <v>62</v>
          </cell>
          <cell r="E153">
            <v>11</v>
          </cell>
          <cell r="F153">
            <v>80</v>
          </cell>
          <cell r="G153">
            <v>16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5">
          <cell r="D155">
            <v>0</v>
          </cell>
          <cell r="E155">
            <v>1</v>
          </cell>
          <cell r="F155">
            <v>0</v>
          </cell>
          <cell r="G155">
            <v>0</v>
          </cell>
        </row>
        <row r="156">
          <cell r="D156">
            <v>40</v>
          </cell>
          <cell r="E156">
            <v>24</v>
          </cell>
          <cell r="F156">
            <v>10</v>
          </cell>
          <cell r="G156">
            <v>2</v>
          </cell>
        </row>
        <row r="158">
          <cell r="D158">
            <v>24</v>
          </cell>
          <cell r="E158">
            <v>16</v>
          </cell>
          <cell r="F158">
            <v>279</v>
          </cell>
          <cell r="G158">
            <v>3</v>
          </cell>
        </row>
        <row r="159">
          <cell r="D159">
            <v>0</v>
          </cell>
          <cell r="E159">
            <v>1</v>
          </cell>
          <cell r="F159">
            <v>0</v>
          </cell>
          <cell r="G159">
            <v>0</v>
          </cell>
        </row>
        <row r="163">
          <cell r="D163">
            <v>2</v>
          </cell>
          <cell r="E163">
            <v>1</v>
          </cell>
          <cell r="F163">
            <v>0</v>
          </cell>
          <cell r="G163">
            <v>0</v>
          </cell>
        </row>
        <row r="168">
          <cell r="D168">
            <v>79</v>
          </cell>
          <cell r="E168">
            <v>24</v>
          </cell>
          <cell r="F168">
            <v>215</v>
          </cell>
          <cell r="G168">
            <v>43</v>
          </cell>
        </row>
        <row r="169">
          <cell r="D169">
            <v>45</v>
          </cell>
          <cell r="E169">
            <v>4</v>
          </cell>
          <cell r="F169">
            <v>40</v>
          </cell>
          <cell r="G169">
            <v>8</v>
          </cell>
        </row>
        <row r="172">
          <cell r="D172">
            <v>0</v>
          </cell>
          <cell r="E172">
            <v>1</v>
          </cell>
          <cell r="F172">
            <v>0</v>
          </cell>
          <cell r="G172">
            <v>0</v>
          </cell>
        </row>
        <row r="173">
          <cell r="D173">
            <v>10</v>
          </cell>
          <cell r="E173">
            <v>0</v>
          </cell>
          <cell r="F173">
            <v>15</v>
          </cell>
          <cell r="G173">
            <v>3</v>
          </cell>
        </row>
        <row r="177">
          <cell r="D177">
            <v>63</v>
          </cell>
          <cell r="E177">
            <v>18</v>
          </cell>
          <cell r="F177">
            <v>225</v>
          </cell>
          <cell r="G177">
            <v>45</v>
          </cell>
        </row>
        <row r="178">
          <cell r="D178">
            <v>85</v>
          </cell>
          <cell r="E178">
            <v>26</v>
          </cell>
          <cell r="F178">
            <v>150</v>
          </cell>
          <cell r="G178">
            <v>10</v>
          </cell>
        </row>
        <row r="179">
          <cell r="D179">
            <v>32</v>
          </cell>
          <cell r="E179">
            <v>5</v>
          </cell>
          <cell r="F179">
            <v>25</v>
          </cell>
          <cell r="G179">
            <v>5</v>
          </cell>
        </row>
        <row r="182">
          <cell r="D182">
            <v>20</v>
          </cell>
          <cell r="E182">
            <v>10</v>
          </cell>
          <cell r="F182">
            <v>0</v>
          </cell>
          <cell r="G182">
            <v>0</v>
          </cell>
        </row>
        <row r="184">
          <cell r="D184">
            <v>76</v>
          </cell>
          <cell r="E184">
            <v>25</v>
          </cell>
          <cell r="F184">
            <v>10</v>
          </cell>
          <cell r="G184">
            <v>2</v>
          </cell>
        </row>
        <row r="186">
          <cell r="D186">
            <v>35</v>
          </cell>
          <cell r="E186">
            <v>17</v>
          </cell>
          <cell r="F186">
            <v>10</v>
          </cell>
          <cell r="G186">
            <v>2</v>
          </cell>
        </row>
        <row r="188">
          <cell r="D188">
            <v>0</v>
          </cell>
          <cell r="E188">
            <v>6</v>
          </cell>
          <cell r="F188">
            <v>0</v>
          </cell>
          <cell r="G188">
            <v>0</v>
          </cell>
        </row>
        <row r="189">
          <cell r="D189">
            <v>38</v>
          </cell>
          <cell r="E189">
            <v>27</v>
          </cell>
          <cell r="F189">
            <v>48</v>
          </cell>
          <cell r="G189">
            <v>9</v>
          </cell>
        </row>
        <row r="190">
          <cell r="D190">
            <v>3</v>
          </cell>
          <cell r="E190">
            <v>10</v>
          </cell>
          <cell r="F190">
            <v>5</v>
          </cell>
          <cell r="G190">
            <v>1</v>
          </cell>
        </row>
      </sheetData>
      <sheetData sheetId="7">
        <row r="1">
          <cell r="D1">
            <v>0</v>
          </cell>
          <cell r="E1">
            <v>1</v>
          </cell>
          <cell r="F1">
            <v>0</v>
          </cell>
          <cell r="G1">
            <v>0</v>
          </cell>
        </row>
        <row r="5">
          <cell r="D5">
            <v>11</v>
          </cell>
          <cell r="E5">
            <v>17</v>
          </cell>
          <cell r="F5">
            <v>0</v>
          </cell>
          <cell r="G5">
            <v>0</v>
          </cell>
        </row>
        <row r="7">
          <cell r="D7">
            <v>4</v>
          </cell>
          <cell r="E7">
            <v>0</v>
          </cell>
          <cell r="F7">
            <v>5</v>
          </cell>
          <cell r="G7">
            <v>1</v>
          </cell>
        </row>
        <row r="9">
          <cell r="D9">
            <v>109</v>
          </cell>
          <cell r="E9">
            <v>7</v>
          </cell>
          <cell r="F9">
            <v>223</v>
          </cell>
          <cell r="G9">
            <v>28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81</v>
          </cell>
          <cell r="E11">
            <v>15</v>
          </cell>
          <cell r="F11">
            <v>105</v>
          </cell>
          <cell r="G11">
            <v>21</v>
          </cell>
        </row>
        <row r="15">
          <cell r="D15">
            <v>3</v>
          </cell>
          <cell r="E15">
            <v>17</v>
          </cell>
          <cell r="F15">
            <v>0</v>
          </cell>
          <cell r="G15">
            <v>0</v>
          </cell>
        </row>
        <row r="21">
          <cell r="D21">
            <v>0</v>
          </cell>
          <cell r="E21">
            <v>4</v>
          </cell>
          <cell r="F21">
            <v>0</v>
          </cell>
          <cell r="G21">
            <v>0</v>
          </cell>
        </row>
        <row r="22">
          <cell r="D22">
            <v>32</v>
          </cell>
          <cell r="E22">
            <v>1</v>
          </cell>
          <cell r="F22">
            <v>15</v>
          </cell>
          <cell r="G22">
            <v>3</v>
          </cell>
        </row>
        <row r="23">
          <cell r="D23">
            <v>34</v>
          </cell>
          <cell r="E23">
            <v>1</v>
          </cell>
          <cell r="F23">
            <v>20</v>
          </cell>
          <cell r="G23">
            <v>3</v>
          </cell>
        </row>
        <row r="26">
          <cell r="D26">
            <v>27</v>
          </cell>
          <cell r="E26">
            <v>31</v>
          </cell>
          <cell r="F26">
            <v>10</v>
          </cell>
          <cell r="G26">
            <v>2</v>
          </cell>
        </row>
        <row r="32">
          <cell r="D32">
            <v>160</v>
          </cell>
          <cell r="E32">
            <v>9</v>
          </cell>
          <cell r="F32">
            <v>20</v>
          </cell>
          <cell r="G32">
            <v>4</v>
          </cell>
        </row>
        <row r="33">
          <cell r="D33">
            <v>61</v>
          </cell>
          <cell r="E33">
            <v>15</v>
          </cell>
          <cell r="F33">
            <v>61</v>
          </cell>
          <cell r="G33">
            <v>0</v>
          </cell>
        </row>
        <row r="36">
          <cell r="D36">
            <v>2</v>
          </cell>
          <cell r="E36">
            <v>7</v>
          </cell>
          <cell r="F36">
            <v>0</v>
          </cell>
          <cell r="G36">
            <v>0</v>
          </cell>
        </row>
        <row r="43">
          <cell r="D43">
            <v>119</v>
          </cell>
          <cell r="E43">
            <v>47</v>
          </cell>
          <cell r="F43">
            <v>70</v>
          </cell>
          <cell r="G43">
            <v>14</v>
          </cell>
        </row>
        <row r="48">
          <cell r="D48">
            <v>62</v>
          </cell>
          <cell r="E48">
            <v>14</v>
          </cell>
          <cell r="F48">
            <v>10</v>
          </cell>
          <cell r="G48">
            <v>2</v>
          </cell>
        </row>
        <row r="54">
          <cell r="D54">
            <v>10</v>
          </cell>
          <cell r="E54">
            <v>2</v>
          </cell>
          <cell r="F54">
            <v>5</v>
          </cell>
          <cell r="G54">
            <v>1</v>
          </cell>
        </row>
        <row r="55">
          <cell r="D55">
            <v>91</v>
          </cell>
          <cell r="E55">
            <v>30</v>
          </cell>
          <cell r="F55">
            <v>1234</v>
          </cell>
          <cell r="G55">
            <v>7</v>
          </cell>
        </row>
        <row r="60">
          <cell r="D60">
            <v>0</v>
          </cell>
          <cell r="E60">
            <v>14</v>
          </cell>
          <cell r="F60">
            <v>0</v>
          </cell>
          <cell r="G60">
            <v>0</v>
          </cell>
        </row>
        <row r="64">
          <cell r="D64">
            <v>32</v>
          </cell>
          <cell r="E64">
            <v>0</v>
          </cell>
          <cell r="F64">
            <v>175</v>
          </cell>
          <cell r="G64">
            <v>10</v>
          </cell>
        </row>
        <row r="68">
          <cell r="D68">
            <v>3</v>
          </cell>
          <cell r="E68">
            <v>9</v>
          </cell>
          <cell r="F68">
            <v>0</v>
          </cell>
          <cell r="G68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31</v>
          </cell>
          <cell r="E73">
            <v>11</v>
          </cell>
          <cell r="F73">
            <v>127</v>
          </cell>
          <cell r="G73">
            <v>6</v>
          </cell>
        </row>
        <row r="74">
          <cell r="D74">
            <v>21</v>
          </cell>
          <cell r="E74">
            <v>6</v>
          </cell>
          <cell r="F74">
            <v>0</v>
          </cell>
          <cell r="G74">
            <v>0</v>
          </cell>
        </row>
        <row r="76">
          <cell r="D76">
            <v>5</v>
          </cell>
          <cell r="E76">
            <v>4</v>
          </cell>
          <cell r="F76">
            <v>0</v>
          </cell>
          <cell r="G76">
            <v>0</v>
          </cell>
        </row>
        <row r="79">
          <cell r="D79">
            <v>55</v>
          </cell>
          <cell r="E79">
            <v>2</v>
          </cell>
          <cell r="F79">
            <v>45</v>
          </cell>
          <cell r="G79">
            <v>9</v>
          </cell>
        </row>
        <row r="80">
          <cell r="D80">
            <v>3</v>
          </cell>
          <cell r="E80">
            <v>2</v>
          </cell>
          <cell r="F80">
            <v>0</v>
          </cell>
          <cell r="G80">
            <v>0</v>
          </cell>
        </row>
        <row r="85">
          <cell r="D85">
            <v>5</v>
          </cell>
          <cell r="E85">
            <v>0</v>
          </cell>
          <cell r="F85">
            <v>10</v>
          </cell>
          <cell r="G85">
            <v>2</v>
          </cell>
        </row>
        <row r="92">
          <cell r="D92">
            <v>0</v>
          </cell>
          <cell r="E92">
            <v>3</v>
          </cell>
          <cell r="F92">
            <v>0</v>
          </cell>
          <cell r="G92">
            <v>0</v>
          </cell>
        </row>
        <row r="93">
          <cell r="D93">
            <v>49</v>
          </cell>
          <cell r="E93">
            <v>4</v>
          </cell>
          <cell r="F93">
            <v>261</v>
          </cell>
          <cell r="G93">
            <v>8</v>
          </cell>
        </row>
        <row r="96">
          <cell r="D96">
            <v>126</v>
          </cell>
          <cell r="E96">
            <v>26</v>
          </cell>
          <cell r="F96">
            <v>50</v>
          </cell>
          <cell r="G96">
            <v>10</v>
          </cell>
        </row>
        <row r="98">
          <cell r="D98">
            <v>41</v>
          </cell>
          <cell r="E98">
            <v>9</v>
          </cell>
          <cell r="F98">
            <v>385</v>
          </cell>
          <cell r="G98">
            <v>5</v>
          </cell>
        </row>
        <row r="101">
          <cell r="D101">
            <v>28</v>
          </cell>
          <cell r="E101">
            <v>21</v>
          </cell>
          <cell r="F101">
            <v>10</v>
          </cell>
          <cell r="G101">
            <v>2</v>
          </cell>
        </row>
        <row r="105">
          <cell r="D105">
            <v>20</v>
          </cell>
          <cell r="E105">
            <v>16</v>
          </cell>
          <cell r="F105">
            <v>5</v>
          </cell>
          <cell r="G105">
            <v>1</v>
          </cell>
        </row>
        <row r="107">
          <cell r="D107">
            <v>4</v>
          </cell>
          <cell r="E107">
            <v>5</v>
          </cell>
          <cell r="F107">
            <v>17</v>
          </cell>
          <cell r="G107">
            <v>0</v>
          </cell>
        </row>
        <row r="109">
          <cell r="D109">
            <v>10</v>
          </cell>
          <cell r="E109">
            <v>23</v>
          </cell>
          <cell r="F109">
            <v>0</v>
          </cell>
          <cell r="G109">
            <v>0</v>
          </cell>
        </row>
        <row r="110">
          <cell r="D110">
            <v>0</v>
          </cell>
          <cell r="E110">
            <v>1</v>
          </cell>
          <cell r="F110">
            <v>0</v>
          </cell>
          <cell r="G110">
            <v>0</v>
          </cell>
        </row>
        <row r="112">
          <cell r="D112">
            <v>22</v>
          </cell>
          <cell r="E112">
            <v>6</v>
          </cell>
          <cell r="F112">
            <v>50</v>
          </cell>
          <cell r="G112">
            <v>10</v>
          </cell>
        </row>
        <row r="114">
          <cell r="D114">
            <v>132</v>
          </cell>
          <cell r="E114">
            <v>22</v>
          </cell>
          <cell r="F114">
            <v>20</v>
          </cell>
          <cell r="G114">
            <v>4</v>
          </cell>
        </row>
        <row r="117">
          <cell r="D117">
            <v>7</v>
          </cell>
          <cell r="E117">
            <v>15</v>
          </cell>
          <cell r="F117">
            <v>0</v>
          </cell>
          <cell r="G117">
            <v>0</v>
          </cell>
        </row>
        <row r="120">
          <cell r="D120">
            <v>25</v>
          </cell>
          <cell r="E120">
            <v>9</v>
          </cell>
          <cell r="F120">
            <v>300</v>
          </cell>
          <cell r="G120">
            <v>3</v>
          </cell>
        </row>
        <row r="123">
          <cell r="D123">
            <v>4</v>
          </cell>
          <cell r="E123">
            <v>4</v>
          </cell>
          <cell r="F123">
            <v>3</v>
          </cell>
          <cell r="G123">
            <v>0</v>
          </cell>
        </row>
        <row r="124">
          <cell r="D124">
            <v>2</v>
          </cell>
          <cell r="E124">
            <v>1</v>
          </cell>
          <cell r="F124">
            <v>0</v>
          </cell>
          <cell r="G124">
            <v>0</v>
          </cell>
        </row>
        <row r="127">
          <cell r="D127">
            <v>15</v>
          </cell>
          <cell r="E127">
            <v>16</v>
          </cell>
          <cell r="F127">
            <v>110</v>
          </cell>
          <cell r="G127">
            <v>0</v>
          </cell>
        </row>
        <row r="129">
          <cell r="D129">
            <v>87</v>
          </cell>
          <cell r="E129">
            <v>4</v>
          </cell>
          <cell r="F129">
            <v>75</v>
          </cell>
          <cell r="G129">
            <v>15</v>
          </cell>
        </row>
        <row r="138">
          <cell r="D138">
            <v>34</v>
          </cell>
          <cell r="E138">
            <v>18</v>
          </cell>
          <cell r="F138">
            <v>23</v>
          </cell>
          <cell r="G138">
            <v>2</v>
          </cell>
        </row>
        <row r="140">
          <cell r="D140">
            <v>14</v>
          </cell>
          <cell r="E140">
            <v>34</v>
          </cell>
          <cell r="F140">
            <v>5</v>
          </cell>
          <cell r="G140">
            <v>1</v>
          </cell>
        </row>
        <row r="145">
          <cell r="D145">
            <v>106</v>
          </cell>
          <cell r="E145">
            <v>7</v>
          </cell>
          <cell r="F145">
            <v>190</v>
          </cell>
          <cell r="G145">
            <v>38</v>
          </cell>
        </row>
        <row r="147">
          <cell r="D147">
            <v>68</v>
          </cell>
          <cell r="E147">
            <v>44</v>
          </cell>
          <cell r="F147">
            <v>50</v>
          </cell>
          <cell r="G147">
            <v>10</v>
          </cell>
        </row>
        <row r="148">
          <cell r="D148">
            <v>16</v>
          </cell>
          <cell r="E148">
            <v>0</v>
          </cell>
          <cell r="F148">
            <v>10</v>
          </cell>
          <cell r="G148">
            <v>2</v>
          </cell>
        </row>
        <row r="149">
          <cell r="D149">
            <v>1</v>
          </cell>
          <cell r="E149">
            <v>9</v>
          </cell>
          <cell r="F149">
            <v>0</v>
          </cell>
          <cell r="G149">
            <v>0</v>
          </cell>
        </row>
        <row r="153">
          <cell r="D153">
            <v>75</v>
          </cell>
          <cell r="E153">
            <v>22</v>
          </cell>
          <cell r="F153">
            <v>10</v>
          </cell>
          <cell r="G153">
            <v>2</v>
          </cell>
        </row>
        <row r="159">
          <cell r="D159">
            <v>83</v>
          </cell>
          <cell r="E159">
            <v>45</v>
          </cell>
          <cell r="F159">
            <v>20</v>
          </cell>
          <cell r="G159">
            <v>4</v>
          </cell>
        </row>
        <row r="162">
          <cell r="D162">
            <v>1</v>
          </cell>
          <cell r="E162">
            <v>0</v>
          </cell>
          <cell r="F162">
            <v>0</v>
          </cell>
          <cell r="G162">
            <v>0</v>
          </cell>
        </row>
        <row r="163">
          <cell r="D163">
            <v>11</v>
          </cell>
          <cell r="E163">
            <v>3</v>
          </cell>
          <cell r="F163">
            <v>10</v>
          </cell>
          <cell r="G163">
            <v>2</v>
          </cell>
        </row>
        <row r="165">
          <cell r="D165">
            <v>87</v>
          </cell>
          <cell r="E165">
            <v>1</v>
          </cell>
          <cell r="F165">
            <v>150</v>
          </cell>
          <cell r="G165">
            <v>30</v>
          </cell>
        </row>
        <row r="166">
          <cell r="D166">
            <v>3</v>
          </cell>
          <cell r="E166">
            <v>3</v>
          </cell>
          <cell r="F166">
            <v>0</v>
          </cell>
          <cell r="G166">
            <v>0</v>
          </cell>
        </row>
        <row r="167">
          <cell r="D167">
            <v>2</v>
          </cell>
          <cell r="E167">
            <v>2</v>
          </cell>
          <cell r="F167">
            <v>0</v>
          </cell>
          <cell r="G167">
            <v>0</v>
          </cell>
        </row>
        <row r="168">
          <cell r="D168">
            <v>47</v>
          </cell>
          <cell r="E168">
            <v>9</v>
          </cell>
          <cell r="F168">
            <v>10</v>
          </cell>
          <cell r="G168">
            <v>2</v>
          </cell>
        </row>
        <row r="171">
          <cell r="D171">
            <v>10</v>
          </cell>
          <cell r="E171">
            <v>2</v>
          </cell>
          <cell r="F171">
            <v>18</v>
          </cell>
          <cell r="G171">
            <v>2</v>
          </cell>
        </row>
        <row r="173">
          <cell r="D173">
            <v>3</v>
          </cell>
          <cell r="E173">
            <v>2</v>
          </cell>
          <cell r="F173">
            <v>0</v>
          </cell>
          <cell r="G173">
            <v>0</v>
          </cell>
        </row>
        <row r="174">
          <cell r="D174">
            <v>0</v>
          </cell>
          <cell r="E174">
            <v>4</v>
          </cell>
          <cell r="F174">
            <v>0</v>
          </cell>
          <cell r="G174">
            <v>0</v>
          </cell>
        </row>
        <row r="175">
          <cell r="D175">
            <v>21</v>
          </cell>
          <cell r="E175">
            <v>16</v>
          </cell>
          <cell r="F175">
            <v>5</v>
          </cell>
          <cell r="G175">
            <v>1</v>
          </cell>
        </row>
        <row r="177">
          <cell r="D177">
            <v>4</v>
          </cell>
          <cell r="E177">
            <v>1</v>
          </cell>
          <cell r="F177">
            <v>0</v>
          </cell>
          <cell r="G177">
            <v>0</v>
          </cell>
        </row>
        <row r="179">
          <cell r="D179">
            <v>4</v>
          </cell>
          <cell r="E179">
            <v>2</v>
          </cell>
          <cell r="F179">
            <v>0</v>
          </cell>
          <cell r="G179">
            <v>0</v>
          </cell>
        </row>
        <row r="180">
          <cell r="D180">
            <v>3</v>
          </cell>
          <cell r="E180">
            <v>1</v>
          </cell>
          <cell r="F180">
            <v>21</v>
          </cell>
          <cell r="G180">
            <v>0</v>
          </cell>
        </row>
        <row r="182">
          <cell r="D182">
            <v>28</v>
          </cell>
          <cell r="E182">
            <v>5</v>
          </cell>
          <cell r="F182">
            <v>25</v>
          </cell>
          <cell r="G182">
            <v>5</v>
          </cell>
        </row>
        <row r="184">
          <cell r="D184">
            <v>78</v>
          </cell>
          <cell r="E184">
            <v>5</v>
          </cell>
          <cell r="F184">
            <v>170</v>
          </cell>
          <cell r="G184">
            <v>34</v>
          </cell>
        </row>
        <row r="185">
          <cell r="D185">
            <v>26</v>
          </cell>
          <cell r="E185">
            <v>8</v>
          </cell>
          <cell r="F185">
            <v>60</v>
          </cell>
          <cell r="G185">
            <v>12</v>
          </cell>
        </row>
        <row r="188">
          <cell r="D188">
            <v>0</v>
          </cell>
          <cell r="E188">
            <v>8</v>
          </cell>
          <cell r="F188">
            <v>5</v>
          </cell>
          <cell r="G188">
            <v>1</v>
          </cell>
        </row>
        <row r="189">
          <cell r="D189">
            <v>8</v>
          </cell>
          <cell r="E189">
            <v>8</v>
          </cell>
          <cell r="F189">
            <v>15</v>
          </cell>
          <cell r="G189">
            <v>3</v>
          </cell>
        </row>
        <row r="192">
          <cell r="D192">
            <v>0</v>
          </cell>
          <cell r="E192">
            <v>1</v>
          </cell>
          <cell r="F192">
            <v>0</v>
          </cell>
          <cell r="G192">
            <v>0</v>
          </cell>
        </row>
        <row r="196">
          <cell r="D196">
            <v>0</v>
          </cell>
          <cell r="E196">
            <v>1</v>
          </cell>
          <cell r="F196">
            <v>0</v>
          </cell>
          <cell r="G196">
            <v>0</v>
          </cell>
        </row>
        <row r="197">
          <cell r="D197">
            <v>0</v>
          </cell>
          <cell r="E197">
            <v>2</v>
          </cell>
          <cell r="F197">
            <v>0</v>
          </cell>
          <cell r="G197">
            <v>0</v>
          </cell>
        </row>
        <row r="205">
          <cell r="D205">
            <v>2</v>
          </cell>
          <cell r="E205">
            <v>3</v>
          </cell>
          <cell r="F205">
            <v>0</v>
          </cell>
          <cell r="G205">
            <v>0</v>
          </cell>
        </row>
      </sheetData>
      <sheetData sheetId="8">
        <row r="6">
          <cell r="D6">
            <v>0</v>
          </cell>
          <cell r="E6">
            <v>1</v>
          </cell>
          <cell r="F6">
            <v>2</v>
          </cell>
          <cell r="G6">
            <v>0</v>
          </cell>
        </row>
        <row r="7">
          <cell r="D7">
            <v>4</v>
          </cell>
          <cell r="E7">
            <v>18</v>
          </cell>
          <cell r="F7">
            <v>0</v>
          </cell>
          <cell r="G7">
            <v>0</v>
          </cell>
        </row>
        <row r="12">
          <cell r="D12">
            <v>3</v>
          </cell>
          <cell r="E12">
            <v>20</v>
          </cell>
          <cell r="F12">
            <v>10</v>
          </cell>
          <cell r="G12">
            <v>2</v>
          </cell>
        </row>
        <row r="13">
          <cell r="D13">
            <v>8</v>
          </cell>
          <cell r="E13">
            <v>0</v>
          </cell>
          <cell r="F13">
            <v>5</v>
          </cell>
          <cell r="G13">
            <v>1</v>
          </cell>
        </row>
        <row r="14">
          <cell r="D14">
            <v>18</v>
          </cell>
          <cell r="E14">
            <v>12</v>
          </cell>
          <cell r="F14">
            <v>10</v>
          </cell>
          <cell r="G14">
            <v>2</v>
          </cell>
        </row>
        <row r="15">
          <cell r="D15">
            <v>38</v>
          </cell>
          <cell r="E15">
            <v>15</v>
          </cell>
          <cell r="F15">
            <v>25</v>
          </cell>
          <cell r="G15">
            <v>5</v>
          </cell>
        </row>
        <row r="17">
          <cell r="D17">
            <v>153</v>
          </cell>
          <cell r="E17">
            <v>31</v>
          </cell>
          <cell r="F17">
            <v>25</v>
          </cell>
          <cell r="G17">
            <v>5</v>
          </cell>
        </row>
        <row r="19">
          <cell r="D19">
            <v>6</v>
          </cell>
          <cell r="E19">
            <v>11</v>
          </cell>
          <cell r="F19">
            <v>5</v>
          </cell>
          <cell r="G19">
            <v>1</v>
          </cell>
        </row>
        <row r="20">
          <cell r="D20">
            <v>4</v>
          </cell>
          <cell r="E20">
            <v>3</v>
          </cell>
          <cell r="F20">
            <v>0</v>
          </cell>
          <cell r="G20">
            <v>0</v>
          </cell>
        </row>
        <row r="23">
          <cell r="D23">
            <v>46</v>
          </cell>
          <cell r="E23">
            <v>11</v>
          </cell>
          <cell r="F23">
            <v>5</v>
          </cell>
          <cell r="G23">
            <v>1</v>
          </cell>
        </row>
        <row r="24">
          <cell r="D24">
            <v>1</v>
          </cell>
          <cell r="E24">
            <v>8</v>
          </cell>
          <cell r="F24">
            <v>5</v>
          </cell>
          <cell r="G24">
            <v>1</v>
          </cell>
        </row>
        <row r="25"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26">
          <cell r="D26">
            <v>13</v>
          </cell>
          <cell r="E26">
            <v>4</v>
          </cell>
          <cell r="F26">
            <v>0</v>
          </cell>
          <cell r="G26">
            <v>0</v>
          </cell>
        </row>
        <row r="27">
          <cell r="D27">
            <v>0</v>
          </cell>
          <cell r="E27">
            <v>7</v>
          </cell>
          <cell r="F27">
            <v>0</v>
          </cell>
          <cell r="G27">
            <v>0</v>
          </cell>
        </row>
        <row r="29">
          <cell r="D29">
            <v>52</v>
          </cell>
          <cell r="E29">
            <v>13</v>
          </cell>
          <cell r="F29">
            <v>471</v>
          </cell>
          <cell r="G29">
            <v>13</v>
          </cell>
        </row>
        <row r="35">
          <cell r="D35">
            <v>11</v>
          </cell>
          <cell r="E35">
            <v>2</v>
          </cell>
          <cell r="F35">
            <v>23</v>
          </cell>
          <cell r="G35">
            <v>1</v>
          </cell>
        </row>
        <row r="36">
          <cell r="D36">
            <v>1</v>
          </cell>
          <cell r="E36">
            <v>1</v>
          </cell>
          <cell r="F36">
            <v>0</v>
          </cell>
          <cell r="G36">
            <v>0</v>
          </cell>
        </row>
        <row r="37">
          <cell r="D37">
            <v>4</v>
          </cell>
          <cell r="E37">
            <v>2</v>
          </cell>
          <cell r="F37">
            <v>35</v>
          </cell>
          <cell r="G37">
            <v>1</v>
          </cell>
        </row>
        <row r="45">
          <cell r="D45">
            <v>2</v>
          </cell>
          <cell r="E45">
            <v>1</v>
          </cell>
          <cell r="F45">
            <v>0</v>
          </cell>
          <cell r="G45">
            <v>0</v>
          </cell>
        </row>
        <row r="46">
          <cell r="D46">
            <v>1</v>
          </cell>
          <cell r="E46">
            <v>12</v>
          </cell>
          <cell r="F46">
            <v>0</v>
          </cell>
          <cell r="G46">
            <v>0</v>
          </cell>
        </row>
        <row r="47"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50">
          <cell r="D50">
            <v>3</v>
          </cell>
          <cell r="E50">
            <v>5</v>
          </cell>
          <cell r="F50">
            <v>0</v>
          </cell>
          <cell r="G50">
            <v>0</v>
          </cell>
        </row>
        <row r="51">
          <cell r="D51">
            <v>6</v>
          </cell>
          <cell r="E51">
            <v>2</v>
          </cell>
          <cell r="F51">
            <v>5</v>
          </cell>
          <cell r="G51">
            <v>1</v>
          </cell>
        </row>
        <row r="53">
          <cell r="D53">
            <v>57</v>
          </cell>
          <cell r="E53">
            <v>1</v>
          </cell>
          <cell r="F53">
            <v>58</v>
          </cell>
          <cell r="G53">
            <v>11</v>
          </cell>
        </row>
        <row r="56">
          <cell r="D56">
            <v>6</v>
          </cell>
          <cell r="E56">
            <v>11</v>
          </cell>
          <cell r="F56">
            <v>0</v>
          </cell>
          <cell r="G56">
            <v>0</v>
          </cell>
        </row>
        <row r="57">
          <cell r="D57">
            <v>18</v>
          </cell>
          <cell r="E57">
            <v>8</v>
          </cell>
          <cell r="F57">
            <v>5</v>
          </cell>
          <cell r="G57">
            <v>1</v>
          </cell>
        </row>
        <row r="63"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D64">
            <v>90</v>
          </cell>
          <cell r="E64">
            <v>32</v>
          </cell>
          <cell r="F64">
            <v>25</v>
          </cell>
          <cell r="G64">
            <v>5</v>
          </cell>
        </row>
        <row r="66">
          <cell r="D66">
            <v>21</v>
          </cell>
          <cell r="E66">
            <v>3</v>
          </cell>
          <cell r="F66">
            <v>20</v>
          </cell>
          <cell r="G66">
            <v>4</v>
          </cell>
        </row>
        <row r="70">
          <cell r="D70">
            <v>0</v>
          </cell>
          <cell r="E70">
            <v>2</v>
          </cell>
          <cell r="F70">
            <v>0</v>
          </cell>
          <cell r="G70">
            <v>0</v>
          </cell>
        </row>
        <row r="71">
          <cell r="D71">
            <v>4</v>
          </cell>
          <cell r="E71">
            <v>9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</v>
          </cell>
          <cell r="E73">
            <v>4</v>
          </cell>
          <cell r="F73">
            <v>0</v>
          </cell>
          <cell r="G73">
            <v>0</v>
          </cell>
        </row>
        <row r="78">
          <cell r="D78">
            <v>29</v>
          </cell>
          <cell r="E78">
            <v>9</v>
          </cell>
          <cell r="F78">
            <v>30</v>
          </cell>
          <cell r="G78">
            <v>6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2">
          <cell r="D82">
            <v>18</v>
          </cell>
          <cell r="E82">
            <v>0</v>
          </cell>
          <cell r="F82">
            <v>5</v>
          </cell>
          <cell r="G82">
            <v>1</v>
          </cell>
        </row>
        <row r="83">
          <cell r="D83">
            <v>5</v>
          </cell>
          <cell r="E83">
            <v>7</v>
          </cell>
          <cell r="F83">
            <v>0</v>
          </cell>
          <cell r="G83">
            <v>0</v>
          </cell>
        </row>
        <row r="84">
          <cell r="D84">
            <v>22</v>
          </cell>
          <cell r="E84">
            <v>5</v>
          </cell>
          <cell r="F84">
            <v>10</v>
          </cell>
          <cell r="G84">
            <v>2</v>
          </cell>
        </row>
        <row r="87">
          <cell r="D87">
            <v>0</v>
          </cell>
          <cell r="E87">
            <v>1</v>
          </cell>
          <cell r="F87">
            <v>0</v>
          </cell>
          <cell r="G87">
            <v>0</v>
          </cell>
        </row>
        <row r="88">
          <cell r="D88">
            <v>0</v>
          </cell>
          <cell r="E88">
            <v>1</v>
          </cell>
          <cell r="F88">
            <v>0</v>
          </cell>
          <cell r="G88">
            <v>0</v>
          </cell>
        </row>
        <row r="90">
          <cell r="D90">
            <v>12</v>
          </cell>
          <cell r="E90">
            <v>4</v>
          </cell>
          <cell r="F90">
            <v>0</v>
          </cell>
          <cell r="G90">
            <v>0</v>
          </cell>
        </row>
        <row r="94">
          <cell r="D94">
            <v>24</v>
          </cell>
          <cell r="E94">
            <v>4</v>
          </cell>
          <cell r="F94">
            <v>15</v>
          </cell>
          <cell r="G94">
            <v>3</v>
          </cell>
        </row>
        <row r="95">
          <cell r="D95">
            <v>33</v>
          </cell>
          <cell r="E95">
            <v>30</v>
          </cell>
          <cell r="F95">
            <v>15</v>
          </cell>
          <cell r="G95">
            <v>3</v>
          </cell>
        </row>
        <row r="98">
          <cell r="D98">
            <v>172</v>
          </cell>
          <cell r="E98">
            <v>14</v>
          </cell>
          <cell r="F98">
            <v>255</v>
          </cell>
          <cell r="G98">
            <v>51</v>
          </cell>
        </row>
        <row r="99">
          <cell r="D99">
            <v>12</v>
          </cell>
          <cell r="E99">
            <v>17</v>
          </cell>
          <cell r="F99">
            <v>5</v>
          </cell>
          <cell r="G99">
            <v>1</v>
          </cell>
        </row>
        <row r="103">
          <cell r="D103">
            <v>4</v>
          </cell>
          <cell r="E103">
            <v>7</v>
          </cell>
          <cell r="F103">
            <v>0</v>
          </cell>
          <cell r="G103">
            <v>0</v>
          </cell>
        </row>
        <row r="104">
          <cell r="D104">
            <v>3</v>
          </cell>
          <cell r="E104">
            <v>4</v>
          </cell>
          <cell r="F104">
            <v>0</v>
          </cell>
          <cell r="G104">
            <v>0</v>
          </cell>
        </row>
        <row r="107">
          <cell r="D107">
            <v>1</v>
          </cell>
          <cell r="E107">
            <v>6</v>
          </cell>
          <cell r="F107">
            <v>0</v>
          </cell>
          <cell r="G107">
            <v>0</v>
          </cell>
        </row>
        <row r="109">
          <cell r="D109">
            <v>10</v>
          </cell>
          <cell r="E109">
            <v>9</v>
          </cell>
          <cell r="F109">
            <v>15</v>
          </cell>
          <cell r="G109">
            <v>3</v>
          </cell>
        </row>
        <row r="115">
          <cell r="D115">
            <v>4</v>
          </cell>
          <cell r="E115">
            <v>3</v>
          </cell>
          <cell r="F115">
            <v>0</v>
          </cell>
          <cell r="G115">
            <v>0</v>
          </cell>
        </row>
        <row r="118">
          <cell r="D118">
            <v>152</v>
          </cell>
          <cell r="E118">
            <v>17</v>
          </cell>
          <cell r="F118">
            <v>20</v>
          </cell>
          <cell r="G118">
            <v>4</v>
          </cell>
        </row>
        <row r="119">
          <cell r="D119">
            <v>14</v>
          </cell>
          <cell r="E119">
            <v>0</v>
          </cell>
          <cell r="F119">
            <v>0</v>
          </cell>
          <cell r="G119">
            <v>0</v>
          </cell>
        </row>
        <row r="120">
          <cell r="D120">
            <v>12</v>
          </cell>
          <cell r="E120">
            <v>2</v>
          </cell>
          <cell r="F120">
            <v>5</v>
          </cell>
          <cell r="G120">
            <v>1</v>
          </cell>
        </row>
        <row r="121">
          <cell r="D121">
            <v>0</v>
          </cell>
          <cell r="E121">
            <v>1</v>
          </cell>
          <cell r="F121">
            <v>0</v>
          </cell>
          <cell r="G121">
            <v>0</v>
          </cell>
        </row>
        <row r="123">
          <cell r="D123">
            <v>3</v>
          </cell>
          <cell r="E123">
            <v>1</v>
          </cell>
          <cell r="F123">
            <v>0</v>
          </cell>
          <cell r="G123">
            <v>0</v>
          </cell>
        </row>
        <row r="133">
          <cell r="D133">
            <v>13</v>
          </cell>
          <cell r="E133">
            <v>0</v>
          </cell>
          <cell r="F133">
            <v>110</v>
          </cell>
          <cell r="G133">
            <v>0</v>
          </cell>
        </row>
        <row r="137">
          <cell r="D137">
            <v>23</v>
          </cell>
          <cell r="E137">
            <v>7</v>
          </cell>
          <cell r="F137">
            <v>25</v>
          </cell>
          <cell r="G137">
            <v>5</v>
          </cell>
        </row>
        <row r="138">
          <cell r="D138">
            <v>1</v>
          </cell>
          <cell r="E138">
            <v>2</v>
          </cell>
          <cell r="F138">
            <v>0</v>
          </cell>
          <cell r="G138">
            <v>0</v>
          </cell>
        </row>
        <row r="139">
          <cell r="D139">
            <v>79</v>
          </cell>
          <cell r="E139">
            <v>1</v>
          </cell>
          <cell r="F139">
            <v>150</v>
          </cell>
          <cell r="G139">
            <v>30</v>
          </cell>
        </row>
        <row r="143">
          <cell r="D143">
            <v>212</v>
          </cell>
          <cell r="E143">
            <v>25</v>
          </cell>
          <cell r="F143">
            <v>98</v>
          </cell>
          <cell r="G143">
            <v>19</v>
          </cell>
        </row>
        <row r="147">
          <cell r="D147">
            <v>71</v>
          </cell>
          <cell r="E147">
            <v>17</v>
          </cell>
          <cell r="F147">
            <v>15</v>
          </cell>
          <cell r="G147">
            <v>3</v>
          </cell>
        </row>
        <row r="148">
          <cell r="D148">
            <v>14</v>
          </cell>
          <cell r="E148">
            <v>1</v>
          </cell>
          <cell r="F148">
            <v>5</v>
          </cell>
          <cell r="G148">
            <v>1</v>
          </cell>
        </row>
        <row r="149">
          <cell r="D149">
            <v>21</v>
          </cell>
          <cell r="E149">
            <v>18</v>
          </cell>
          <cell r="F149">
            <v>128</v>
          </cell>
          <cell r="G149">
            <v>3</v>
          </cell>
        </row>
        <row r="150">
          <cell r="D150">
            <v>16</v>
          </cell>
          <cell r="E150">
            <v>18</v>
          </cell>
          <cell r="F150">
            <v>5</v>
          </cell>
          <cell r="G150">
            <v>1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</row>
        <row r="155">
          <cell r="D155">
            <v>148</v>
          </cell>
          <cell r="E155">
            <v>23</v>
          </cell>
          <cell r="F155">
            <v>903</v>
          </cell>
          <cell r="G155">
            <v>22</v>
          </cell>
        </row>
        <row r="157">
          <cell r="D157">
            <v>43</v>
          </cell>
          <cell r="E157">
            <v>4</v>
          </cell>
          <cell r="F157">
            <v>75</v>
          </cell>
          <cell r="G157">
            <v>15</v>
          </cell>
        </row>
        <row r="158">
          <cell r="D158">
            <v>11</v>
          </cell>
          <cell r="E158">
            <v>12</v>
          </cell>
          <cell r="F158">
            <v>0</v>
          </cell>
          <cell r="G158">
            <v>0</v>
          </cell>
        </row>
        <row r="159">
          <cell r="D159">
            <v>26</v>
          </cell>
          <cell r="E159">
            <v>5</v>
          </cell>
          <cell r="F159">
            <v>0</v>
          </cell>
          <cell r="G159">
            <v>0</v>
          </cell>
        </row>
        <row r="161">
          <cell r="D161">
            <v>122</v>
          </cell>
          <cell r="E161">
            <v>2</v>
          </cell>
          <cell r="F161">
            <v>215</v>
          </cell>
          <cell r="G161">
            <v>43</v>
          </cell>
        </row>
        <row r="162">
          <cell r="D162">
            <v>4</v>
          </cell>
          <cell r="E162">
            <v>2</v>
          </cell>
          <cell r="F162">
            <v>10</v>
          </cell>
          <cell r="G162">
            <v>2</v>
          </cell>
        </row>
        <row r="163">
          <cell r="D163">
            <v>14</v>
          </cell>
          <cell r="E163">
            <v>0</v>
          </cell>
          <cell r="F163">
            <v>40</v>
          </cell>
          <cell r="G163">
            <v>8</v>
          </cell>
        </row>
        <row r="164">
          <cell r="D164">
            <v>49</v>
          </cell>
          <cell r="E164">
            <v>26</v>
          </cell>
          <cell r="F164">
            <v>540</v>
          </cell>
          <cell r="G164">
            <v>1</v>
          </cell>
        </row>
        <row r="165">
          <cell r="D165">
            <v>68</v>
          </cell>
          <cell r="E165">
            <v>6</v>
          </cell>
          <cell r="F165">
            <v>55</v>
          </cell>
          <cell r="G165">
            <v>11</v>
          </cell>
        </row>
        <row r="166">
          <cell r="D166">
            <v>4</v>
          </cell>
          <cell r="E166">
            <v>4</v>
          </cell>
          <cell r="F166">
            <v>5</v>
          </cell>
          <cell r="G166">
            <v>1</v>
          </cell>
        </row>
        <row r="168">
          <cell r="D168">
            <v>53</v>
          </cell>
          <cell r="E168">
            <v>32</v>
          </cell>
          <cell r="F168">
            <v>25</v>
          </cell>
          <cell r="G168">
            <v>5</v>
          </cell>
        </row>
        <row r="169">
          <cell r="D169">
            <v>32</v>
          </cell>
          <cell r="E169">
            <v>4</v>
          </cell>
          <cell r="F169">
            <v>20</v>
          </cell>
          <cell r="G169">
            <v>4</v>
          </cell>
        </row>
        <row r="172">
          <cell r="D172">
            <v>54</v>
          </cell>
          <cell r="E172">
            <v>26</v>
          </cell>
          <cell r="F172">
            <v>15</v>
          </cell>
          <cell r="G172">
            <v>3</v>
          </cell>
        </row>
        <row r="174">
          <cell r="D174">
            <v>15</v>
          </cell>
          <cell r="E174">
            <v>0</v>
          </cell>
          <cell r="F174">
            <v>0</v>
          </cell>
          <cell r="G174">
            <v>0</v>
          </cell>
        </row>
        <row r="178">
          <cell r="D178">
            <v>197</v>
          </cell>
          <cell r="E178">
            <v>21</v>
          </cell>
          <cell r="F178">
            <v>140</v>
          </cell>
          <cell r="G178">
            <v>28</v>
          </cell>
        </row>
      </sheetData>
      <sheetData sheetId="9">
        <row r="1">
          <cell r="D1">
            <v>9</v>
          </cell>
          <cell r="E1">
            <v>7</v>
          </cell>
          <cell r="F1">
            <v>0</v>
          </cell>
          <cell r="G1">
            <v>0</v>
          </cell>
        </row>
        <row r="3">
          <cell r="D3">
            <v>26</v>
          </cell>
          <cell r="E3">
            <v>2</v>
          </cell>
          <cell r="F3">
            <v>20</v>
          </cell>
          <cell r="G3">
            <v>4</v>
          </cell>
        </row>
        <row r="11">
          <cell r="D11">
            <v>21</v>
          </cell>
          <cell r="E11">
            <v>4</v>
          </cell>
          <cell r="F11">
            <v>5</v>
          </cell>
          <cell r="G11">
            <v>1</v>
          </cell>
        </row>
        <row r="13">
          <cell r="D13">
            <v>0</v>
          </cell>
          <cell r="E13">
            <v>4</v>
          </cell>
          <cell r="F13">
            <v>0</v>
          </cell>
          <cell r="G13">
            <v>0</v>
          </cell>
        </row>
        <row r="16">
          <cell r="D16">
            <v>3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13</v>
          </cell>
          <cell r="E19">
            <v>3</v>
          </cell>
          <cell r="F19">
            <v>10</v>
          </cell>
          <cell r="G19">
            <v>2</v>
          </cell>
        </row>
        <row r="20">
          <cell r="D20">
            <v>28</v>
          </cell>
          <cell r="E20">
            <v>11</v>
          </cell>
          <cell r="F20">
            <v>5</v>
          </cell>
          <cell r="G20">
            <v>1</v>
          </cell>
        </row>
        <row r="23">
          <cell r="D23">
            <v>6</v>
          </cell>
          <cell r="E23">
            <v>19</v>
          </cell>
          <cell r="F23">
            <v>0</v>
          </cell>
          <cell r="G23">
            <v>0</v>
          </cell>
        </row>
        <row r="25">
          <cell r="D25">
            <v>6</v>
          </cell>
          <cell r="E25">
            <v>9</v>
          </cell>
          <cell r="F25">
            <v>0</v>
          </cell>
          <cell r="G25">
            <v>0</v>
          </cell>
        </row>
        <row r="30">
          <cell r="D30">
            <v>84</v>
          </cell>
          <cell r="E30">
            <v>62</v>
          </cell>
          <cell r="F30">
            <v>40</v>
          </cell>
          <cell r="G30">
            <v>8</v>
          </cell>
        </row>
        <row r="35">
          <cell r="D35">
            <v>1</v>
          </cell>
          <cell r="E35">
            <v>6</v>
          </cell>
          <cell r="F35">
            <v>5</v>
          </cell>
          <cell r="G35">
            <v>1</v>
          </cell>
        </row>
        <row r="36">
          <cell r="D36">
            <v>7</v>
          </cell>
          <cell r="E36">
            <v>2</v>
          </cell>
          <cell r="F36">
            <v>46</v>
          </cell>
          <cell r="G36">
            <v>0</v>
          </cell>
        </row>
        <row r="40">
          <cell r="D40">
            <v>0</v>
          </cell>
          <cell r="E40">
            <v>1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4</v>
          </cell>
          <cell r="F41">
            <v>0</v>
          </cell>
          <cell r="G41">
            <v>0</v>
          </cell>
        </row>
        <row r="44">
          <cell r="D44">
            <v>21</v>
          </cell>
          <cell r="E44">
            <v>20</v>
          </cell>
          <cell r="F44">
            <v>0</v>
          </cell>
          <cell r="G44">
            <v>0</v>
          </cell>
        </row>
        <row r="46">
          <cell r="D46">
            <v>76</v>
          </cell>
          <cell r="E46">
            <v>20</v>
          </cell>
          <cell r="F46">
            <v>45</v>
          </cell>
          <cell r="G46">
            <v>9</v>
          </cell>
        </row>
        <row r="49">
          <cell r="D49">
            <v>23</v>
          </cell>
          <cell r="E49">
            <v>8</v>
          </cell>
          <cell r="F49">
            <v>0</v>
          </cell>
          <cell r="G49">
            <v>0</v>
          </cell>
        </row>
        <row r="50">
          <cell r="D50">
            <v>0</v>
          </cell>
          <cell r="E50">
            <v>4</v>
          </cell>
          <cell r="F50">
            <v>5</v>
          </cell>
          <cell r="G50">
            <v>1</v>
          </cell>
        </row>
        <row r="52">
          <cell r="D52">
            <v>22</v>
          </cell>
          <cell r="E52">
            <v>2</v>
          </cell>
          <cell r="F52">
            <v>35</v>
          </cell>
          <cell r="G52">
            <v>7</v>
          </cell>
        </row>
        <row r="54">
          <cell r="D54">
            <v>16</v>
          </cell>
          <cell r="E54">
            <v>5</v>
          </cell>
          <cell r="F54">
            <v>15</v>
          </cell>
          <cell r="G54">
            <v>3</v>
          </cell>
        </row>
        <row r="55">
          <cell r="D55">
            <v>38</v>
          </cell>
          <cell r="E55">
            <v>5</v>
          </cell>
          <cell r="F55">
            <v>124</v>
          </cell>
          <cell r="G55">
            <v>8</v>
          </cell>
        </row>
        <row r="56">
          <cell r="D56">
            <v>5</v>
          </cell>
          <cell r="E56">
            <v>3</v>
          </cell>
          <cell r="F56">
            <v>0</v>
          </cell>
          <cell r="G56">
            <v>0</v>
          </cell>
        </row>
        <row r="58">
          <cell r="D58">
            <v>0</v>
          </cell>
          <cell r="E58">
            <v>3</v>
          </cell>
          <cell r="F58">
            <v>0</v>
          </cell>
          <cell r="G58">
            <v>0</v>
          </cell>
        </row>
        <row r="61">
          <cell r="D61">
            <v>58</v>
          </cell>
          <cell r="E61">
            <v>23</v>
          </cell>
          <cell r="F61">
            <v>20</v>
          </cell>
          <cell r="G61">
            <v>4</v>
          </cell>
        </row>
        <row r="63">
          <cell r="D63">
            <v>1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13</v>
          </cell>
          <cell r="E64">
            <v>3</v>
          </cell>
          <cell r="F64">
            <v>5</v>
          </cell>
          <cell r="G64">
            <v>1</v>
          </cell>
        </row>
        <row r="65">
          <cell r="D65">
            <v>59</v>
          </cell>
          <cell r="E65">
            <v>1</v>
          </cell>
          <cell r="F65">
            <v>618</v>
          </cell>
          <cell r="G65">
            <v>5</v>
          </cell>
        </row>
        <row r="67">
          <cell r="D67">
            <v>5</v>
          </cell>
          <cell r="E67">
            <v>11</v>
          </cell>
          <cell r="F67">
            <v>0</v>
          </cell>
          <cell r="G67">
            <v>0</v>
          </cell>
        </row>
        <row r="68">
          <cell r="D68">
            <v>1</v>
          </cell>
          <cell r="E68">
            <v>7</v>
          </cell>
          <cell r="F68">
            <v>5</v>
          </cell>
          <cell r="G68">
            <v>1</v>
          </cell>
        </row>
        <row r="70">
          <cell r="D70">
            <v>68</v>
          </cell>
          <cell r="E70">
            <v>48</v>
          </cell>
          <cell r="F70">
            <v>25</v>
          </cell>
          <cell r="G70">
            <v>5</v>
          </cell>
        </row>
        <row r="72">
          <cell r="D72">
            <v>5</v>
          </cell>
          <cell r="E72">
            <v>8</v>
          </cell>
          <cell r="F72">
            <v>0</v>
          </cell>
          <cell r="G72">
            <v>0</v>
          </cell>
        </row>
        <row r="75">
          <cell r="D75">
            <v>45</v>
          </cell>
          <cell r="E75">
            <v>2</v>
          </cell>
          <cell r="F75">
            <v>5</v>
          </cell>
          <cell r="G75">
            <v>1</v>
          </cell>
        </row>
        <row r="76">
          <cell r="D76">
            <v>11</v>
          </cell>
          <cell r="E76">
            <v>1</v>
          </cell>
          <cell r="F76">
            <v>5</v>
          </cell>
          <cell r="G76">
            <v>1</v>
          </cell>
        </row>
        <row r="77">
          <cell r="D77">
            <v>4</v>
          </cell>
          <cell r="E77">
            <v>0</v>
          </cell>
          <cell r="F77">
            <v>0</v>
          </cell>
          <cell r="G77">
            <v>0</v>
          </cell>
        </row>
        <row r="78">
          <cell r="D78">
            <v>0</v>
          </cell>
          <cell r="E78">
            <v>1</v>
          </cell>
          <cell r="F78">
            <v>0</v>
          </cell>
          <cell r="G78">
            <v>0</v>
          </cell>
        </row>
        <row r="79">
          <cell r="D79">
            <v>34</v>
          </cell>
          <cell r="E79">
            <v>4</v>
          </cell>
          <cell r="F79">
            <v>5</v>
          </cell>
          <cell r="G79">
            <v>1</v>
          </cell>
        </row>
        <row r="84">
          <cell r="D84">
            <v>45</v>
          </cell>
          <cell r="E84">
            <v>2</v>
          </cell>
          <cell r="F84">
            <v>15</v>
          </cell>
          <cell r="G84">
            <v>3</v>
          </cell>
        </row>
        <row r="85">
          <cell r="D85">
            <v>5</v>
          </cell>
          <cell r="E85">
            <v>0</v>
          </cell>
          <cell r="F85">
            <v>5</v>
          </cell>
          <cell r="G85">
            <v>1</v>
          </cell>
        </row>
        <row r="95">
          <cell r="D95">
            <v>17</v>
          </cell>
          <cell r="E95">
            <v>9</v>
          </cell>
          <cell r="F95">
            <v>0</v>
          </cell>
          <cell r="G95">
            <v>0</v>
          </cell>
        </row>
        <row r="97">
          <cell r="D97">
            <v>53</v>
          </cell>
          <cell r="E97">
            <v>31</v>
          </cell>
          <cell r="F97">
            <v>15</v>
          </cell>
          <cell r="G97">
            <v>3</v>
          </cell>
        </row>
        <row r="101">
          <cell r="D101">
            <v>189</v>
          </cell>
          <cell r="E101">
            <v>4</v>
          </cell>
          <cell r="F101">
            <v>379</v>
          </cell>
          <cell r="G101">
            <v>47</v>
          </cell>
        </row>
        <row r="105">
          <cell r="D105">
            <v>17</v>
          </cell>
          <cell r="E105">
            <v>8</v>
          </cell>
          <cell r="F105">
            <v>30</v>
          </cell>
          <cell r="G105">
            <v>4</v>
          </cell>
        </row>
        <row r="106">
          <cell r="D106">
            <v>2</v>
          </cell>
          <cell r="E106">
            <v>8</v>
          </cell>
          <cell r="F106">
            <v>5</v>
          </cell>
          <cell r="G106">
            <v>1</v>
          </cell>
        </row>
        <row r="107">
          <cell r="D107">
            <v>8</v>
          </cell>
          <cell r="E107">
            <v>2</v>
          </cell>
          <cell r="F107">
            <v>5</v>
          </cell>
          <cell r="G107">
            <v>1</v>
          </cell>
        </row>
        <row r="109">
          <cell r="D109">
            <v>5</v>
          </cell>
          <cell r="E109">
            <v>9</v>
          </cell>
          <cell r="F109">
            <v>21</v>
          </cell>
          <cell r="G109">
            <v>1</v>
          </cell>
        </row>
        <row r="112">
          <cell r="D112">
            <v>18</v>
          </cell>
          <cell r="E112">
            <v>0</v>
          </cell>
          <cell r="F112">
            <v>0</v>
          </cell>
          <cell r="G112">
            <v>0</v>
          </cell>
        </row>
        <row r="115">
          <cell r="D115">
            <v>5</v>
          </cell>
          <cell r="E115">
            <v>0</v>
          </cell>
          <cell r="F115">
            <v>0</v>
          </cell>
          <cell r="G115">
            <v>0</v>
          </cell>
        </row>
        <row r="120">
          <cell r="D120">
            <v>1</v>
          </cell>
          <cell r="E120">
            <v>7</v>
          </cell>
          <cell r="F120">
            <v>0</v>
          </cell>
          <cell r="G120">
            <v>0</v>
          </cell>
        </row>
        <row r="122">
          <cell r="D122">
            <v>60</v>
          </cell>
          <cell r="E122">
            <v>26</v>
          </cell>
          <cell r="F122">
            <v>30</v>
          </cell>
          <cell r="G122">
            <v>6</v>
          </cell>
        </row>
        <row r="123">
          <cell r="D123">
            <v>6</v>
          </cell>
          <cell r="E123">
            <v>5</v>
          </cell>
          <cell r="F123">
            <v>5</v>
          </cell>
          <cell r="G123">
            <v>1</v>
          </cell>
        </row>
        <row r="126">
          <cell r="D126">
            <v>10</v>
          </cell>
          <cell r="E126">
            <v>5</v>
          </cell>
          <cell r="F126">
            <v>5</v>
          </cell>
          <cell r="G126">
            <v>1</v>
          </cell>
        </row>
        <row r="127">
          <cell r="D127">
            <v>47</v>
          </cell>
          <cell r="E127">
            <v>11</v>
          </cell>
          <cell r="F127">
            <v>5</v>
          </cell>
          <cell r="G127">
            <v>1</v>
          </cell>
        </row>
        <row r="128">
          <cell r="D128">
            <v>20</v>
          </cell>
          <cell r="E128">
            <v>13</v>
          </cell>
          <cell r="F128">
            <v>45</v>
          </cell>
          <cell r="G128">
            <v>9</v>
          </cell>
        </row>
        <row r="129">
          <cell r="D129">
            <v>16</v>
          </cell>
          <cell r="E129">
            <v>20</v>
          </cell>
          <cell r="F129">
            <v>0</v>
          </cell>
          <cell r="G129">
            <v>0</v>
          </cell>
        </row>
        <row r="134">
          <cell r="D134">
            <v>50</v>
          </cell>
          <cell r="E134">
            <v>2</v>
          </cell>
          <cell r="F134">
            <v>25</v>
          </cell>
          <cell r="G134">
            <v>5</v>
          </cell>
        </row>
        <row r="137">
          <cell r="D137">
            <v>8</v>
          </cell>
          <cell r="E137">
            <v>0</v>
          </cell>
          <cell r="F137">
            <v>0</v>
          </cell>
          <cell r="G137">
            <v>0</v>
          </cell>
        </row>
        <row r="140">
          <cell r="D140">
            <v>4</v>
          </cell>
          <cell r="E140">
            <v>6</v>
          </cell>
          <cell r="F140">
            <v>0</v>
          </cell>
          <cell r="G140">
            <v>0</v>
          </cell>
        </row>
        <row r="141">
          <cell r="D141">
            <v>22</v>
          </cell>
          <cell r="E141">
            <v>20</v>
          </cell>
          <cell r="F141">
            <v>5</v>
          </cell>
          <cell r="G141">
            <v>1</v>
          </cell>
        </row>
        <row r="142">
          <cell r="D142">
            <v>6</v>
          </cell>
          <cell r="E142">
            <v>0</v>
          </cell>
          <cell r="F142">
            <v>5</v>
          </cell>
          <cell r="G142">
            <v>1</v>
          </cell>
        </row>
        <row r="146">
          <cell r="D146">
            <v>56</v>
          </cell>
          <cell r="E146">
            <v>14</v>
          </cell>
          <cell r="F146">
            <v>0</v>
          </cell>
          <cell r="G146">
            <v>0</v>
          </cell>
        </row>
        <row r="148">
          <cell r="D148">
            <v>0</v>
          </cell>
          <cell r="E148">
            <v>2</v>
          </cell>
          <cell r="F148">
            <v>0</v>
          </cell>
          <cell r="G148">
            <v>0</v>
          </cell>
        </row>
        <row r="150">
          <cell r="D150">
            <v>92</v>
          </cell>
          <cell r="E150">
            <v>2</v>
          </cell>
          <cell r="F150">
            <v>165</v>
          </cell>
          <cell r="G150">
            <v>33</v>
          </cell>
        </row>
        <row r="152">
          <cell r="D152">
            <v>64</v>
          </cell>
          <cell r="E152">
            <v>20</v>
          </cell>
          <cell r="F152">
            <v>25</v>
          </cell>
          <cell r="G152">
            <v>5</v>
          </cell>
        </row>
        <row r="155">
          <cell r="D155">
            <v>56</v>
          </cell>
          <cell r="E155">
            <v>7</v>
          </cell>
          <cell r="F155">
            <v>15</v>
          </cell>
          <cell r="G155">
            <v>3</v>
          </cell>
        </row>
        <row r="156">
          <cell r="D156">
            <v>51</v>
          </cell>
          <cell r="E156">
            <v>5</v>
          </cell>
          <cell r="F156">
            <v>65</v>
          </cell>
          <cell r="G156">
            <v>13</v>
          </cell>
        </row>
        <row r="157">
          <cell r="D157">
            <v>0</v>
          </cell>
          <cell r="E157">
            <v>1</v>
          </cell>
          <cell r="F157">
            <v>0</v>
          </cell>
          <cell r="G157">
            <v>0</v>
          </cell>
        </row>
        <row r="158">
          <cell r="D158">
            <v>73</v>
          </cell>
          <cell r="E158">
            <v>74</v>
          </cell>
          <cell r="F158">
            <v>25</v>
          </cell>
          <cell r="G158">
            <v>5</v>
          </cell>
        </row>
        <row r="161">
          <cell r="D161">
            <v>2</v>
          </cell>
          <cell r="E161">
            <v>11</v>
          </cell>
          <cell r="F161">
            <v>0</v>
          </cell>
          <cell r="G161">
            <v>0</v>
          </cell>
        </row>
        <row r="162">
          <cell r="D162">
            <v>5</v>
          </cell>
          <cell r="E162">
            <v>4</v>
          </cell>
          <cell r="F162">
            <v>0</v>
          </cell>
          <cell r="G162">
            <v>0</v>
          </cell>
        </row>
        <row r="163">
          <cell r="D163">
            <v>48</v>
          </cell>
          <cell r="E163">
            <v>4</v>
          </cell>
          <cell r="F163">
            <v>15</v>
          </cell>
          <cell r="G163">
            <v>3</v>
          </cell>
        </row>
        <row r="166">
          <cell r="D166">
            <v>6</v>
          </cell>
          <cell r="E166">
            <v>0</v>
          </cell>
          <cell r="F166">
            <v>0</v>
          </cell>
          <cell r="G166">
            <v>0</v>
          </cell>
        </row>
        <row r="168">
          <cell r="D168">
            <v>16</v>
          </cell>
          <cell r="E168">
            <v>3</v>
          </cell>
          <cell r="F168">
            <v>0</v>
          </cell>
          <cell r="G168">
            <v>0</v>
          </cell>
        </row>
        <row r="170">
          <cell r="D170">
            <v>20</v>
          </cell>
          <cell r="E170">
            <v>8</v>
          </cell>
          <cell r="F170">
            <v>15</v>
          </cell>
          <cell r="G170">
            <v>3</v>
          </cell>
        </row>
        <row r="171">
          <cell r="D171">
            <v>51</v>
          </cell>
          <cell r="E171">
            <v>20</v>
          </cell>
          <cell r="F171">
            <v>15</v>
          </cell>
          <cell r="G171">
            <v>3</v>
          </cell>
        </row>
        <row r="173">
          <cell r="D173">
            <v>84</v>
          </cell>
          <cell r="E173">
            <v>24</v>
          </cell>
          <cell r="F173">
            <v>60</v>
          </cell>
          <cell r="G173">
            <v>12</v>
          </cell>
        </row>
        <row r="174">
          <cell r="D174">
            <v>74</v>
          </cell>
          <cell r="E174">
            <v>13</v>
          </cell>
          <cell r="F174">
            <v>497</v>
          </cell>
          <cell r="G174">
            <v>12</v>
          </cell>
        </row>
        <row r="175">
          <cell r="D175">
            <v>0</v>
          </cell>
          <cell r="E175">
            <v>6</v>
          </cell>
          <cell r="F175">
            <v>5</v>
          </cell>
          <cell r="G175">
            <v>1</v>
          </cell>
        </row>
        <row r="177">
          <cell r="D177">
            <v>119</v>
          </cell>
          <cell r="E177">
            <v>68</v>
          </cell>
          <cell r="F177">
            <v>20</v>
          </cell>
          <cell r="G177">
            <v>4</v>
          </cell>
        </row>
        <row r="179">
          <cell r="D179">
            <v>35</v>
          </cell>
          <cell r="E179">
            <v>13</v>
          </cell>
          <cell r="F179">
            <v>0</v>
          </cell>
          <cell r="G179">
            <v>0</v>
          </cell>
        </row>
        <row r="180">
          <cell r="D180">
            <v>6</v>
          </cell>
          <cell r="E180">
            <v>10</v>
          </cell>
          <cell r="F180">
            <v>0</v>
          </cell>
          <cell r="G180">
            <v>0</v>
          </cell>
        </row>
        <row r="181">
          <cell r="F181">
            <v>1489</v>
          </cell>
        </row>
        <row r="183">
          <cell r="D183">
            <v>24</v>
          </cell>
          <cell r="E183">
            <v>3</v>
          </cell>
          <cell r="F183">
            <v>30</v>
          </cell>
          <cell r="G183">
            <v>6</v>
          </cell>
        </row>
        <row r="185">
          <cell r="D185">
            <v>20</v>
          </cell>
          <cell r="E185">
            <v>12</v>
          </cell>
          <cell r="F185">
            <v>5</v>
          </cell>
          <cell r="G185">
            <v>1</v>
          </cell>
        </row>
        <row r="186">
          <cell r="D186">
            <v>57</v>
          </cell>
          <cell r="E186">
            <v>27</v>
          </cell>
          <cell r="F186">
            <v>35</v>
          </cell>
          <cell r="G186">
            <v>7</v>
          </cell>
        </row>
        <row r="187">
          <cell r="D187">
            <v>22</v>
          </cell>
          <cell r="E187">
            <v>33</v>
          </cell>
          <cell r="F187">
            <v>5</v>
          </cell>
          <cell r="G187">
            <v>1</v>
          </cell>
        </row>
        <row r="188">
          <cell r="D188">
            <v>16</v>
          </cell>
          <cell r="E188">
            <v>14</v>
          </cell>
          <cell r="F188">
            <v>5</v>
          </cell>
          <cell r="G188">
            <v>1</v>
          </cell>
        </row>
        <row r="191">
          <cell r="D191">
            <v>43</v>
          </cell>
          <cell r="E191">
            <v>9</v>
          </cell>
          <cell r="F191">
            <v>20</v>
          </cell>
          <cell r="G191">
            <v>4</v>
          </cell>
        </row>
        <row r="193">
          <cell r="D193">
            <v>45</v>
          </cell>
          <cell r="E193">
            <v>11</v>
          </cell>
          <cell r="F193">
            <v>25</v>
          </cell>
          <cell r="G193">
            <v>5</v>
          </cell>
        </row>
      </sheetData>
      <sheetData sheetId="10">
        <row r="5">
          <cell r="D5">
            <v>20</v>
          </cell>
          <cell r="E5">
            <v>14</v>
          </cell>
          <cell r="F5">
            <v>15</v>
          </cell>
          <cell r="G5">
            <v>3</v>
          </cell>
        </row>
        <row r="6">
          <cell r="D6">
            <v>6</v>
          </cell>
          <cell r="E6">
            <v>4</v>
          </cell>
          <cell r="F6">
            <v>5</v>
          </cell>
          <cell r="G6">
            <v>1</v>
          </cell>
        </row>
        <row r="7">
          <cell r="D7">
            <v>8</v>
          </cell>
          <cell r="E7">
            <v>0</v>
          </cell>
          <cell r="F7">
            <v>10</v>
          </cell>
          <cell r="G7">
            <v>2</v>
          </cell>
        </row>
        <row r="8">
          <cell r="D8">
            <v>46</v>
          </cell>
          <cell r="E8">
            <v>0</v>
          </cell>
          <cell r="F8">
            <v>150</v>
          </cell>
          <cell r="G8">
            <v>30</v>
          </cell>
        </row>
        <row r="16">
          <cell r="D16">
            <v>27</v>
          </cell>
          <cell r="E16">
            <v>8</v>
          </cell>
          <cell r="F16">
            <v>5</v>
          </cell>
          <cell r="G16">
            <v>1</v>
          </cell>
        </row>
        <row r="28">
          <cell r="D28">
            <v>27</v>
          </cell>
          <cell r="E28">
            <v>2</v>
          </cell>
          <cell r="F28">
            <v>15</v>
          </cell>
          <cell r="G28">
            <v>3</v>
          </cell>
        </row>
        <row r="29">
          <cell r="D29">
            <v>41</v>
          </cell>
          <cell r="E29">
            <v>44</v>
          </cell>
          <cell r="F29">
            <v>15</v>
          </cell>
          <cell r="G29">
            <v>3</v>
          </cell>
        </row>
        <row r="30">
          <cell r="D30">
            <v>0</v>
          </cell>
          <cell r="E30">
            <v>1</v>
          </cell>
          <cell r="F30">
            <v>0</v>
          </cell>
          <cell r="G30">
            <v>0</v>
          </cell>
        </row>
        <row r="31">
          <cell r="D31">
            <v>2</v>
          </cell>
          <cell r="E31">
            <v>1</v>
          </cell>
          <cell r="F31">
            <v>0</v>
          </cell>
          <cell r="G31">
            <v>0</v>
          </cell>
        </row>
        <row r="33">
          <cell r="D33">
            <v>7</v>
          </cell>
          <cell r="E33">
            <v>0</v>
          </cell>
          <cell r="F33">
            <v>5</v>
          </cell>
          <cell r="G33">
            <v>1</v>
          </cell>
        </row>
        <row r="35">
          <cell r="D35">
            <v>27</v>
          </cell>
          <cell r="E35">
            <v>8</v>
          </cell>
          <cell r="F35">
            <v>0</v>
          </cell>
          <cell r="G35">
            <v>0</v>
          </cell>
        </row>
        <row r="37">
          <cell r="D37">
            <v>94</v>
          </cell>
          <cell r="E37">
            <v>7</v>
          </cell>
          <cell r="F37">
            <v>100</v>
          </cell>
          <cell r="G37">
            <v>20</v>
          </cell>
        </row>
        <row r="39">
          <cell r="D39">
            <v>136</v>
          </cell>
          <cell r="E39">
            <v>11</v>
          </cell>
          <cell r="F39">
            <v>250</v>
          </cell>
          <cell r="G39">
            <v>50</v>
          </cell>
        </row>
        <row r="40">
          <cell r="D40">
            <v>4</v>
          </cell>
          <cell r="E40">
            <v>6</v>
          </cell>
          <cell r="F40">
            <v>5</v>
          </cell>
          <cell r="G40">
            <v>1</v>
          </cell>
        </row>
        <row r="42">
          <cell r="D42">
            <v>1</v>
          </cell>
          <cell r="E42">
            <v>4</v>
          </cell>
          <cell r="F42">
            <v>5</v>
          </cell>
          <cell r="G42">
            <v>1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46">
          <cell r="D46">
            <v>40</v>
          </cell>
          <cell r="E46">
            <v>13</v>
          </cell>
          <cell r="F46">
            <v>5</v>
          </cell>
          <cell r="G46">
            <v>1</v>
          </cell>
        </row>
        <row r="47">
          <cell r="D47">
            <v>1</v>
          </cell>
          <cell r="E47">
            <v>15</v>
          </cell>
          <cell r="F47">
            <v>0</v>
          </cell>
          <cell r="G47">
            <v>0</v>
          </cell>
        </row>
        <row r="48">
          <cell r="D48">
            <v>64</v>
          </cell>
          <cell r="E48">
            <v>5</v>
          </cell>
          <cell r="F48">
            <v>30</v>
          </cell>
          <cell r="G48">
            <v>6</v>
          </cell>
        </row>
        <row r="49">
          <cell r="D49">
            <v>67</v>
          </cell>
          <cell r="E49">
            <v>6</v>
          </cell>
          <cell r="F49">
            <v>110</v>
          </cell>
          <cell r="G49">
            <v>22</v>
          </cell>
        </row>
        <row r="50">
          <cell r="D50">
            <v>10</v>
          </cell>
          <cell r="E50">
            <v>7</v>
          </cell>
          <cell r="F50">
            <v>0</v>
          </cell>
          <cell r="G50">
            <v>0</v>
          </cell>
        </row>
        <row r="51">
          <cell r="D51">
            <v>75</v>
          </cell>
          <cell r="E51">
            <v>2</v>
          </cell>
          <cell r="F51">
            <v>25</v>
          </cell>
          <cell r="G51">
            <v>5</v>
          </cell>
        </row>
        <row r="52">
          <cell r="D52">
            <v>55</v>
          </cell>
          <cell r="E52">
            <v>3</v>
          </cell>
          <cell r="F52">
            <v>55</v>
          </cell>
          <cell r="G52">
            <v>11</v>
          </cell>
        </row>
        <row r="54">
          <cell r="D54">
            <v>4</v>
          </cell>
          <cell r="E54">
            <v>11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31</v>
          </cell>
          <cell r="F55">
            <v>15</v>
          </cell>
          <cell r="G55">
            <v>3</v>
          </cell>
        </row>
        <row r="56">
          <cell r="D56">
            <v>6</v>
          </cell>
          <cell r="E56">
            <v>1</v>
          </cell>
          <cell r="F56">
            <v>15</v>
          </cell>
          <cell r="G56">
            <v>3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</row>
        <row r="60">
          <cell r="D60">
            <v>4</v>
          </cell>
          <cell r="E60">
            <v>6</v>
          </cell>
          <cell r="F60">
            <v>33</v>
          </cell>
          <cell r="G60">
            <v>0</v>
          </cell>
        </row>
        <row r="61">
          <cell r="D61">
            <v>29</v>
          </cell>
          <cell r="E61">
            <v>6</v>
          </cell>
          <cell r="F61">
            <v>0</v>
          </cell>
          <cell r="G61">
            <v>0</v>
          </cell>
        </row>
        <row r="66">
          <cell r="D66">
            <v>17</v>
          </cell>
          <cell r="E66">
            <v>22</v>
          </cell>
          <cell r="F66">
            <v>162</v>
          </cell>
          <cell r="G66">
            <v>1</v>
          </cell>
        </row>
        <row r="68">
          <cell r="D68">
            <v>0</v>
          </cell>
          <cell r="E68">
            <v>1</v>
          </cell>
          <cell r="F68">
            <v>0</v>
          </cell>
          <cell r="G68">
            <v>0</v>
          </cell>
        </row>
        <row r="70">
          <cell r="D70">
            <v>0</v>
          </cell>
          <cell r="E70">
            <v>4</v>
          </cell>
          <cell r="F70">
            <v>0</v>
          </cell>
          <cell r="G70">
            <v>0</v>
          </cell>
        </row>
        <row r="73">
          <cell r="D73">
            <v>2</v>
          </cell>
          <cell r="E73">
            <v>6</v>
          </cell>
          <cell r="F73">
            <v>0</v>
          </cell>
          <cell r="G73">
            <v>0</v>
          </cell>
        </row>
        <row r="80">
          <cell r="D80">
            <v>60</v>
          </cell>
          <cell r="E80">
            <v>15</v>
          </cell>
          <cell r="F80">
            <v>30</v>
          </cell>
          <cell r="G80">
            <v>6</v>
          </cell>
        </row>
        <row r="81">
          <cell r="D81">
            <v>2</v>
          </cell>
          <cell r="E81">
            <v>10</v>
          </cell>
          <cell r="F81">
            <v>0</v>
          </cell>
          <cell r="G81">
            <v>0</v>
          </cell>
        </row>
        <row r="85">
          <cell r="D85">
            <v>9</v>
          </cell>
          <cell r="E85">
            <v>10</v>
          </cell>
          <cell r="F85">
            <v>0</v>
          </cell>
          <cell r="G85">
            <v>0</v>
          </cell>
        </row>
        <row r="94">
          <cell r="D94">
            <v>1</v>
          </cell>
          <cell r="E94">
            <v>5</v>
          </cell>
          <cell r="F94">
            <v>0</v>
          </cell>
          <cell r="G94">
            <v>0</v>
          </cell>
        </row>
        <row r="99">
          <cell r="D99">
            <v>33</v>
          </cell>
          <cell r="E99">
            <v>2</v>
          </cell>
          <cell r="F99">
            <v>15</v>
          </cell>
          <cell r="G99">
            <v>3</v>
          </cell>
        </row>
        <row r="104">
          <cell r="D104">
            <v>10</v>
          </cell>
          <cell r="E104">
            <v>6</v>
          </cell>
          <cell r="F104">
            <v>126</v>
          </cell>
          <cell r="G104">
            <v>0</v>
          </cell>
        </row>
        <row r="106">
          <cell r="D106">
            <v>45</v>
          </cell>
          <cell r="E106">
            <v>11</v>
          </cell>
          <cell r="F106">
            <v>5</v>
          </cell>
          <cell r="G106">
            <v>1</v>
          </cell>
        </row>
        <row r="109">
          <cell r="D109">
            <v>5</v>
          </cell>
          <cell r="E109">
            <v>15</v>
          </cell>
          <cell r="F109">
            <v>0</v>
          </cell>
          <cell r="G109">
            <v>0</v>
          </cell>
        </row>
        <row r="115">
          <cell r="D115">
            <v>13</v>
          </cell>
          <cell r="E115">
            <v>4</v>
          </cell>
          <cell r="F115">
            <v>0</v>
          </cell>
          <cell r="G115">
            <v>0</v>
          </cell>
        </row>
        <row r="117">
          <cell r="D117">
            <v>7</v>
          </cell>
          <cell r="E117">
            <v>8</v>
          </cell>
          <cell r="F117">
            <v>20</v>
          </cell>
          <cell r="G117">
            <v>4</v>
          </cell>
        </row>
        <row r="118">
          <cell r="D118">
            <v>6</v>
          </cell>
          <cell r="E118">
            <v>17</v>
          </cell>
          <cell r="F118">
            <v>0</v>
          </cell>
          <cell r="G118">
            <v>0</v>
          </cell>
        </row>
        <row r="119">
          <cell r="D119">
            <v>0</v>
          </cell>
          <cell r="E119">
            <v>1</v>
          </cell>
          <cell r="F119">
            <v>0</v>
          </cell>
          <cell r="G119">
            <v>0</v>
          </cell>
        </row>
        <row r="122">
          <cell r="D122">
            <v>2</v>
          </cell>
          <cell r="E122">
            <v>21</v>
          </cell>
          <cell r="F122">
            <v>0</v>
          </cell>
          <cell r="G122">
            <v>0</v>
          </cell>
        </row>
        <row r="127">
          <cell r="D127">
            <v>0</v>
          </cell>
          <cell r="E127">
            <v>1</v>
          </cell>
          <cell r="F127">
            <v>0</v>
          </cell>
          <cell r="G127">
            <v>0</v>
          </cell>
        </row>
        <row r="129">
          <cell r="D129">
            <v>0</v>
          </cell>
          <cell r="E129">
            <v>4</v>
          </cell>
          <cell r="F129">
            <v>0</v>
          </cell>
          <cell r="G129">
            <v>0</v>
          </cell>
        </row>
        <row r="130">
          <cell r="D130">
            <v>39</v>
          </cell>
          <cell r="E130">
            <v>14</v>
          </cell>
          <cell r="F130">
            <v>25</v>
          </cell>
          <cell r="G130">
            <v>5</v>
          </cell>
        </row>
        <row r="131">
          <cell r="D131">
            <v>23</v>
          </cell>
          <cell r="E131">
            <v>6</v>
          </cell>
          <cell r="F131">
            <v>5</v>
          </cell>
          <cell r="G131">
            <v>1</v>
          </cell>
        </row>
        <row r="132">
          <cell r="D132">
            <v>60</v>
          </cell>
          <cell r="E132">
            <v>22</v>
          </cell>
          <cell r="F132">
            <v>593</v>
          </cell>
          <cell r="G132">
            <v>2</v>
          </cell>
        </row>
        <row r="137">
          <cell r="D137">
            <v>5</v>
          </cell>
          <cell r="E137">
            <v>4</v>
          </cell>
          <cell r="F137">
            <v>5</v>
          </cell>
          <cell r="G137">
            <v>1</v>
          </cell>
        </row>
        <row r="138">
          <cell r="D138">
            <v>1</v>
          </cell>
          <cell r="E138">
            <v>3</v>
          </cell>
          <cell r="F138">
            <v>0</v>
          </cell>
          <cell r="G138">
            <v>0</v>
          </cell>
        </row>
        <row r="143">
          <cell r="D143">
            <v>9</v>
          </cell>
          <cell r="E143">
            <v>1</v>
          </cell>
          <cell r="F143">
            <v>10</v>
          </cell>
          <cell r="G143">
            <v>2</v>
          </cell>
        </row>
        <row r="145">
          <cell r="D145">
            <v>5</v>
          </cell>
          <cell r="E145">
            <v>6</v>
          </cell>
          <cell r="F145">
            <v>0</v>
          </cell>
          <cell r="G145">
            <v>0</v>
          </cell>
        </row>
        <row r="149">
          <cell r="D149">
            <v>140</v>
          </cell>
          <cell r="E149">
            <v>7</v>
          </cell>
          <cell r="F149">
            <v>528</v>
          </cell>
          <cell r="G149">
            <v>30</v>
          </cell>
        </row>
        <row r="152">
          <cell r="D152">
            <v>22</v>
          </cell>
          <cell r="E152">
            <v>7</v>
          </cell>
          <cell r="F152">
            <v>30</v>
          </cell>
          <cell r="G152">
            <v>6</v>
          </cell>
        </row>
        <row r="153">
          <cell r="D153">
            <v>8</v>
          </cell>
          <cell r="E153">
            <v>8</v>
          </cell>
          <cell r="F153">
            <v>5</v>
          </cell>
          <cell r="G153">
            <v>1</v>
          </cell>
        </row>
        <row r="156">
          <cell r="D156">
            <v>25</v>
          </cell>
          <cell r="E156">
            <v>8</v>
          </cell>
          <cell r="F156">
            <v>20</v>
          </cell>
          <cell r="G156">
            <v>4</v>
          </cell>
        </row>
        <row r="159">
          <cell r="D159">
            <v>28</v>
          </cell>
          <cell r="E159">
            <v>18</v>
          </cell>
          <cell r="F159">
            <v>0</v>
          </cell>
          <cell r="G159">
            <v>0</v>
          </cell>
        </row>
        <row r="167">
          <cell r="D167">
            <v>15</v>
          </cell>
          <cell r="E167">
            <v>19</v>
          </cell>
          <cell r="F167">
            <v>0</v>
          </cell>
          <cell r="G167">
            <v>0</v>
          </cell>
        </row>
        <row r="173">
          <cell r="D173">
            <v>18</v>
          </cell>
          <cell r="E173">
            <v>15</v>
          </cell>
          <cell r="F173">
            <v>10</v>
          </cell>
          <cell r="G173">
            <v>2</v>
          </cell>
        </row>
        <row r="175">
          <cell r="D175">
            <v>8</v>
          </cell>
          <cell r="E175">
            <v>1</v>
          </cell>
          <cell r="F175">
            <v>0</v>
          </cell>
          <cell r="G175">
            <v>0</v>
          </cell>
        </row>
        <row r="176">
          <cell r="D176">
            <v>95</v>
          </cell>
          <cell r="E176">
            <v>30</v>
          </cell>
          <cell r="F176">
            <v>80</v>
          </cell>
          <cell r="G176">
            <v>16</v>
          </cell>
        </row>
        <row r="179">
          <cell r="D179">
            <v>71</v>
          </cell>
          <cell r="E179">
            <v>20</v>
          </cell>
          <cell r="F179">
            <v>60</v>
          </cell>
          <cell r="G179">
            <v>12</v>
          </cell>
        </row>
        <row r="180">
          <cell r="D180">
            <v>11</v>
          </cell>
          <cell r="E180">
            <v>1</v>
          </cell>
          <cell r="F180">
            <v>25</v>
          </cell>
          <cell r="G180">
            <v>5</v>
          </cell>
        </row>
        <row r="186">
          <cell r="D186">
            <v>3</v>
          </cell>
          <cell r="E186">
            <v>1</v>
          </cell>
          <cell r="F186">
            <v>0</v>
          </cell>
          <cell r="G186">
            <v>0</v>
          </cell>
        </row>
        <row r="190">
          <cell r="D190">
            <v>4</v>
          </cell>
          <cell r="E190">
            <v>24</v>
          </cell>
          <cell r="F190">
            <v>5</v>
          </cell>
          <cell r="G190">
            <v>1</v>
          </cell>
        </row>
        <row r="193">
          <cell r="D193">
            <v>66</v>
          </cell>
          <cell r="E193">
            <v>6</v>
          </cell>
          <cell r="F193">
            <v>25</v>
          </cell>
          <cell r="G193">
            <v>5</v>
          </cell>
        </row>
        <row r="194">
          <cell r="D194">
            <v>18</v>
          </cell>
          <cell r="E194">
            <v>3</v>
          </cell>
          <cell r="F194">
            <v>10</v>
          </cell>
          <cell r="G194">
            <v>2</v>
          </cell>
        </row>
        <row r="196">
          <cell r="D196">
            <v>2</v>
          </cell>
          <cell r="E196">
            <v>1</v>
          </cell>
          <cell r="F196">
            <v>0</v>
          </cell>
          <cell r="G196">
            <v>0</v>
          </cell>
        </row>
      </sheetData>
      <sheetData sheetId="11">
        <row r="2">
          <cell r="D2">
            <v>11</v>
          </cell>
          <cell r="E2">
            <v>4</v>
          </cell>
          <cell r="F2">
            <v>10</v>
          </cell>
          <cell r="G2">
            <v>2</v>
          </cell>
        </row>
        <row r="3">
          <cell r="D3">
            <v>1</v>
          </cell>
          <cell r="E3">
            <v>4</v>
          </cell>
          <cell r="F3">
            <v>0</v>
          </cell>
          <cell r="G3">
            <v>0</v>
          </cell>
        </row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11">
          <cell r="D11">
            <v>68</v>
          </cell>
          <cell r="E11">
            <v>26</v>
          </cell>
          <cell r="F11">
            <v>75</v>
          </cell>
          <cell r="G11">
            <v>15</v>
          </cell>
        </row>
        <row r="12">
          <cell r="D12">
            <v>54</v>
          </cell>
          <cell r="E12">
            <v>24</v>
          </cell>
          <cell r="F12">
            <v>20</v>
          </cell>
          <cell r="G12">
            <v>4</v>
          </cell>
        </row>
        <row r="14">
          <cell r="D14">
            <v>6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18</v>
          </cell>
          <cell r="E15">
            <v>21</v>
          </cell>
          <cell r="F15">
            <v>10</v>
          </cell>
          <cell r="G15">
            <v>2</v>
          </cell>
        </row>
        <row r="18">
          <cell r="D18">
            <v>3</v>
          </cell>
          <cell r="E18">
            <v>0</v>
          </cell>
          <cell r="F18">
            <v>5</v>
          </cell>
          <cell r="G18">
            <v>1</v>
          </cell>
        </row>
        <row r="24">
          <cell r="D24">
            <v>22</v>
          </cell>
          <cell r="E24">
            <v>2</v>
          </cell>
          <cell r="F24">
            <v>15</v>
          </cell>
          <cell r="G24">
            <v>3</v>
          </cell>
        </row>
        <row r="27">
          <cell r="D27">
            <v>50</v>
          </cell>
          <cell r="E27">
            <v>30</v>
          </cell>
          <cell r="F27">
            <v>25</v>
          </cell>
          <cell r="G27">
            <v>5</v>
          </cell>
        </row>
        <row r="28">
          <cell r="D28">
            <v>2</v>
          </cell>
          <cell r="E28">
            <v>3</v>
          </cell>
          <cell r="F28">
            <v>0</v>
          </cell>
          <cell r="G28">
            <v>0</v>
          </cell>
        </row>
        <row r="30">
          <cell r="D30">
            <v>4</v>
          </cell>
          <cell r="E30">
            <v>5</v>
          </cell>
          <cell r="F30">
            <v>5</v>
          </cell>
          <cell r="G30">
            <v>1</v>
          </cell>
        </row>
        <row r="31">
          <cell r="D31">
            <v>0</v>
          </cell>
          <cell r="E31">
            <v>1</v>
          </cell>
          <cell r="F31">
            <v>5</v>
          </cell>
          <cell r="G31">
            <v>1</v>
          </cell>
        </row>
        <row r="33">
          <cell r="D33">
            <v>10</v>
          </cell>
          <cell r="E33">
            <v>8</v>
          </cell>
          <cell r="F33">
            <v>20</v>
          </cell>
          <cell r="G33">
            <v>4</v>
          </cell>
        </row>
        <row r="37">
          <cell r="D37">
            <v>10</v>
          </cell>
          <cell r="E37">
            <v>13</v>
          </cell>
          <cell r="F37">
            <v>5</v>
          </cell>
          <cell r="G37">
            <v>1</v>
          </cell>
        </row>
        <row r="38">
          <cell r="D38">
            <v>4</v>
          </cell>
          <cell r="E38">
            <v>9</v>
          </cell>
          <cell r="F38">
            <v>5</v>
          </cell>
          <cell r="G38">
            <v>1</v>
          </cell>
        </row>
        <row r="39">
          <cell r="D39">
            <v>21</v>
          </cell>
          <cell r="E39">
            <v>9</v>
          </cell>
          <cell r="F39">
            <v>0</v>
          </cell>
          <cell r="G39">
            <v>0</v>
          </cell>
        </row>
        <row r="40">
          <cell r="D40">
            <v>37</v>
          </cell>
          <cell r="E40">
            <v>0</v>
          </cell>
          <cell r="F40">
            <v>40</v>
          </cell>
          <cell r="G40">
            <v>8</v>
          </cell>
        </row>
        <row r="43">
          <cell r="D43">
            <v>34</v>
          </cell>
          <cell r="E43">
            <v>30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0</v>
          </cell>
          <cell r="F44">
            <v>5</v>
          </cell>
          <cell r="G44">
            <v>1</v>
          </cell>
        </row>
        <row r="45">
          <cell r="D45">
            <v>3</v>
          </cell>
          <cell r="E45">
            <v>13</v>
          </cell>
          <cell r="F45">
            <v>0</v>
          </cell>
          <cell r="G45">
            <v>0</v>
          </cell>
        </row>
        <row r="46">
          <cell r="D46">
            <v>157</v>
          </cell>
          <cell r="E46">
            <v>4</v>
          </cell>
          <cell r="F46">
            <v>365</v>
          </cell>
          <cell r="G46">
            <v>73</v>
          </cell>
        </row>
        <row r="48">
          <cell r="D48">
            <v>0</v>
          </cell>
          <cell r="E48">
            <v>1</v>
          </cell>
          <cell r="F48">
            <v>0</v>
          </cell>
          <cell r="G48">
            <v>0</v>
          </cell>
        </row>
        <row r="51">
          <cell r="D51">
            <v>33</v>
          </cell>
          <cell r="E51">
            <v>33</v>
          </cell>
          <cell r="F51">
            <v>0</v>
          </cell>
          <cell r="G51">
            <v>0</v>
          </cell>
        </row>
        <row r="56">
          <cell r="D56">
            <v>3</v>
          </cell>
          <cell r="E56">
            <v>8</v>
          </cell>
          <cell r="F56">
            <v>0</v>
          </cell>
          <cell r="G56">
            <v>0</v>
          </cell>
        </row>
        <row r="57">
          <cell r="D57">
            <v>6</v>
          </cell>
          <cell r="E57">
            <v>1</v>
          </cell>
          <cell r="F57">
            <v>0</v>
          </cell>
          <cell r="G57">
            <v>0</v>
          </cell>
        </row>
        <row r="61">
          <cell r="D61">
            <v>7</v>
          </cell>
          <cell r="E61">
            <v>7</v>
          </cell>
          <cell r="F61">
            <v>10</v>
          </cell>
          <cell r="G61">
            <v>2</v>
          </cell>
        </row>
        <row r="67">
          <cell r="D67">
            <v>29</v>
          </cell>
          <cell r="E67">
            <v>8</v>
          </cell>
          <cell r="F67">
            <v>5</v>
          </cell>
          <cell r="G67">
            <v>1</v>
          </cell>
        </row>
        <row r="68">
          <cell r="D68">
            <v>23</v>
          </cell>
          <cell r="E68">
            <v>9</v>
          </cell>
          <cell r="F68">
            <v>15</v>
          </cell>
          <cell r="G68">
            <v>3</v>
          </cell>
        </row>
        <row r="73">
          <cell r="D73">
            <v>13</v>
          </cell>
          <cell r="E73">
            <v>11</v>
          </cell>
          <cell r="F73">
            <v>0</v>
          </cell>
          <cell r="G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</row>
        <row r="77">
          <cell r="D77">
            <v>42</v>
          </cell>
          <cell r="E77">
            <v>6</v>
          </cell>
          <cell r="F77">
            <v>20</v>
          </cell>
          <cell r="G77">
            <v>4</v>
          </cell>
        </row>
        <row r="83">
          <cell r="D83">
            <v>3</v>
          </cell>
          <cell r="E83">
            <v>8</v>
          </cell>
          <cell r="F83">
            <v>0</v>
          </cell>
          <cell r="G83">
            <v>0</v>
          </cell>
        </row>
        <row r="86">
          <cell r="D86">
            <v>0</v>
          </cell>
          <cell r="E86">
            <v>1</v>
          </cell>
          <cell r="F86">
            <v>0</v>
          </cell>
          <cell r="G86">
            <v>0</v>
          </cell>
        </row>
        <row r="90">
          <cell r="D90">
            <v>4</v>
          </cell>
          <cell r="E90">
            <v>2</v>
          </cell>
          <cell r="F90">
            <v>0</v>
          </cell>
          <cell r="G90">
            <v>0</v>
          </cell>
        </row>
        <row r="92">
          <cell r="D92">
            <v>158</v>
          </cell>
          <cell r="E92">
            <v>4</v>
          </cell>
          <cell r="F92">
            <v>1870</v>
          </cell>
          <cell r="G92">
            <v>28</v>
          </cell>
        </row>
        <row r="93">
          <cell r="D93">
            <v>0</v>
          </cell>
          <cell r="E93">
            <v>2</v>
          </cell>
          <cell r="F93">
            <v>0</v>
          </cell>
          <cell r="G93">
            <v>0</v>
          </cell>
        </row>
        <row r="99">
          <cell r="D99">
            <v>5</v>
          </cell>
          <cell r="E99">
            <v>2</v>
          </cell>
          <cell r="F99">
            <v>0</v>
          </cell>
          <cell r="G99">
            <v>0</v>
          </cell>
        </row>
        <row r="100">
          <cell r="D100">
            <v>1</v>
          </cell>
          <cell r="E100">
            <v>3</v>
          </cell>
          <cell r="F100">
            <v>0</v>
          </cell>
          <cell r="G100">
            <v>0</v>
          </cell>
        </row>
        <row r="101">
          <cell r="D101">
            <v>12</v>
          </cell>
          <cell r="E101">
            <v>8</v>
          </cell>
          <cell r="F101">
            <v>5</v>
          </cell>
          <cell r="G101">
            <v>1</v>
          </cell>
        </row>
        <row r="102">
          <cell r="D102">
            <v>151</v>
          </cell>
          <cell r="E102">
            <v>15</v>
          </cell>
          <cell r="F102">
            <v>90</v>
          </cell>
          <cell r="G102">
            <v>18</v>
          </cell>
        </row>
        <row r="103">
          <cell r="D103">
            <v>36</v>
          </cell>
          <cell r="E103">
            <v>25</v>
          </cell>
          <cell r="F103">
            <v>5</v>
          </cell>
          <cell r="G103">
            <v>1</v>
          </cell>
        </row>
        <row r="107">
          <cell r="D107">
            <v>0</v>
          </cell>
          <cell r="E107">
            <v>2</v>
          </cell>
          <cell r="F107">
            <v>0</v>
          </cell>
          <cell r="G107">
            <v>0</v>
          </cell>
        </row>
        <row r="108">
          <cell r="D108">
            <v>5</v>
          </cell>
          <cell r="E108">
            <v>7</v>
          </cell>
          <cell r="F108">
            <v>0</v>
          </cell>
          <cell r="G108">
            <v>0</v>
          </cell>
        </row>
        <row r="110">
          <cell r="D110">
            <v>5</v>
          </cell>
          <cell r="E110">
            <v>7</v>
          </cell>
          <cell r="F110">
            <v>5</v>
          </cell>
          <cell r="G110">
            <v>1</v>
          </cell>
        </row>
        <row r="113">
          <cell r="D113">
            <v>35</v>
          </cell>
          <cell r="E113">
            <v>1</v>
          </cell>
          <cell r="F113">
            <v>25</v>
          </cell>
          <cell r="G113">
            <v>5</v>
          </cell>
        </row>
        <row r="118">
          <cell r="D118">
            <v>0</v>
          </cell>
          <cell r="E118">
            <v>2</v>
          </cell>
          <cell r="F118">
            <v>0</v>
          </cell>
          <cell r="G118">
            <v>0</v>
          </cell>
        </row>
        <row r="119">
          <cell r="D119">
            <v>1</v>
          </cell>
          <cell r="E119">
            <v>3</v>
          </cell>
          <cell r="F119">
            <v>0</v>
          </cell>
          <cell r="G119">
            <v>0</v>
          </cell>
        </row>
        <row r="120">
          <cell r="D120">
            <v>2</v>
          </cell>
          <cell r="E120">
            <v>10</v>
          </cell>
          <cell r="F120">
            <v>0</v>
          </cell>
          <cell r="G120">
            <v>0</v>
          </cell>
        </row>
        <row r="121">
          <cell r="D121">
            <v>11</v>
          </cell>
          <cell r="E121">
            <v>0</v>
          </cell>
          <cell r="F121">
            <v>5</v>
          </cell>
          <cell r="G121">
            <v>1</v>
          </cell>
        </row>
        <row r="122">
          <cell r="D122">
            <v>13</v>
          </cell>
          <cell r="E122">
            <v>3</v>
          </cell>
          <cell r="F122">
            <v>25</v>
          </cell>
          <cell r="G122">
            <v>5</v>
          </cell>
        </row>
        <row r="124">
          <cell r="D124">
            <v>25</v>
          </cell>
          <cell r="E124">
            <v>10</v>
          </cell>
          <cell r="F124">
            <v>273</v>
          </cell>
          <cell r="G124">
            <v>2</v>
          </cell>
        </row>
        <row r="128">
          <cell r="D128">
            <v>57</v>
          </cell>
          <cell r="E128">
            <v>5</v>
          </cell>
          <cell r="F128">
            <v>289</v>
          </cell>
          <cell r="G128">
            <v>1</v>
          </cell>
        </row>
        <row r="135">
          <cell r="D135">
            <v>1</v>
          </cell>
          <cell r="E135">
            <v>3</v>
          </cell>
          <cell r="F135">
            <v>0</v>
          </cell>
          <cell r="G135">
            <v>0</v>
          </cell>
        </row>
        <row r="136">
          <cell r="D136">
            <v>41</v>
          </cell>
          <cell r="E136">
            <v>26</v>
          </cell>
          <cell r="F136">
            <v>55</v>
          </cell>
          <cell r="G136">
            <v>11</v>
          </cell>
        </row>
        <row r="138">
          <cell r="D138">
            <v>1</v>
          </cell>
          <cell r="E138">
            <v>1</v>
          </cell>
          <cell r="F138">
            <v>0</v>
          </cell>
          <cell r="G138">
            <v>0</v>
          </cell>
        </row>
        <row r="139">
          <cell r="D139">
            <v>12</v>
          </cell>
          <cell r="E139">
            <v>0</v>
          </cell>
          <cell r="F139">
            <v>10</v>
          </cell>
          <cell r="G139">
            <v>2</v>
          </cell>
        </row>
        <row r="140">
          <cell r="D140">
            <v>5</v>
          </cell>
          <cell r="E140">
            <v>9</v>
          </cell>
          <cell r="F140">
            <v>5</v>
          </cell>
          <cell r="G140">
            <v>1</v>
          </cell>
        </row>
        <row r="141">
          <cell r="D141">
            <v>20</v>
          </cell>
          <cell r="E141">
            <v>8</v>
          </cell>
          <cell r="F141">
            <v>37</v>
          </cell>
          <cell r="G141">
            <v>6</v>
          </cell>
        </row>
        <row r="147">
          <cell r="D147">
            <v>12</v>
          </cell>
          <cell r="E147">
            <v>4</v>
          </cell>
          <cell r="F147">
            <v>0</v>
          </cell>
          <cell r="G147">
            <v>0</v>
          </cell>
        </row>
        <row r="152">
          <cell r="D152">
            <v>20</v>
          </cell>
          <cell r="E152">
            <v>6</v>
          </cell>
          <cell r="F152">
            <v>20</v>
          </cell>
          <cell r="G152">
            <v>4</v>
          </cell>
        </row>
        <row r="153">
          <cell r="D153">
            <v>4</v>
          </cell>
          <cell r="E153">
            <v>0</v>
          </cell>
          <cell r="F153">
            <v>0</v>
          </cell>
          <cell r="G153">
            <v>0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6">
          <cell r="D156">
            <v>45</v>
          </cell>
          <cell r="E156">
            <v>9</v>
          </cell>
          <cell r="F156">
            <v>28</v>
          </cell>
          <cell r="G156">
            <v>5</v>
          </cell>
        </row>
        <row r="160">
          <cell r="D160">
            <v>9</v>
          </cell>
          <cell r="E160">
            <v>1</v>
          </cell>
          <cell r="F160">
            <v>5</v>
          </cell>
          <cell r="G160">
            <v>1</v>
          </cell>
        </row>
        <row r="165">
          <cell r="D165">
            <v>56</v>
          </cell>
          <cell r="E165">
            <v>9</v>
          </cell>
          <cell r="F165">
            <v>70</v>
          </cell>
          <cell r="G165">
            <v>14</v>
          </cell>
        </row>
        <row r="166">
          <cell r="D166">
            <v>1</v>
          </cell>
          <cell r="E166">
            <v>4</v>
          </cell>
          <cell r="F166">
            <v>0</v>
          </cell>
          <cell r="G166">
            <v>0</v>
          </cell>
        </row>
        <row r="167">
          <cell r="D167">
            <v>57</v>
          </cell>
          <cell r="E167">
            <v>19</v>
          </cell>
          <cell r="F167">
            <v>15</v>
          </cell>
          <cell r="G167">
            <v>3</v>
          </cell>
        </row>
        <row r="170">
          <cell r="D170">
            <v>9</v>
          </cell>
          <cell r="E170">
            <v>5</v>
          </cell>
          <cell r="F170">
            <v>0</v>
          </cell>
          <cell r="G170">
            <v>0</v>
          </cell>
        </row>
        <row r="173">
          <cell r="D173">
            <v>32</v>
          </cell>
          <cell r="E173">
            <v>5</v>
          </cell>
          <cell r="F173">
            <v>35</v>
          </cell>
          <cell r="G173">
            <v>7</v>
          </cell>
        </row>
        <row r="175">
          <cell r="D175">
            <v>141</v>
          </cell>
          <cell r="E175">
            <v>21</v>
          </cell>
          <cell r="F175">
            <v>70</v>
          </cell>
          <cell r="G175">
            <v>14</v>
          </cell>
        </row>
        <row r="176">
          <cell r="D176">
            <v>4</v>
          </cell>
          <cell r="E176">
            <v>8</v>
          </cell>
          <cell r="F176">
            <v>0</v>
          </cell>
          <cell r="G176">
            <v>0</v>
          </cell>
        </row>
        <row r="177">
          <cell r="D177">
            <v>28</v>
          </cell>
          <cell r="E177">
            <v>2</v>
          </cell>
          <cell r="F177">
            <v>15</v>
          </cell>
          <cell r="G177">
            <v>3</v>
          </cell>
        </row>
        <row r="178">
          <cell r="D178">
            <v>37</v>
          </cell>
          <cell r="E178">
            <v>6</v>
          </cell>
          <cell r="F178">
            <v>20</v>
          </cell>
          <cell r="G178">
            <v>4</v>
          </cell>
        </row>
        <row r="189">
          <cell r="D189">
            <v>0</v>
          </cell>
          <cell r="E189">
            <v>2</v>
          </cell>
          <cell r="F189">
            <v>0</v>
          </cell>
          <cell r="G189">
            <v>0</v>
          </cell>
        </row>
        <row r="192">
          <cell r="D192">
            <v>30</v>
          </cell>
          <cell r="E192">
            <v>6</v>
          </cell>
          <cell r="F192">
            <v>20</v>
          </cell>
          <cell r="G192">
            <v>4</v>
          </cell>
        </row>
        <row r="195">
          <cell r="D195">
            <v>1</v>
          </cell>
          <cell r="E195">
            <v>1</v>
          </cell>
          <cell r="F195">
            <v>0</v>
          </cell>
          <cell r="G195">
            <v>0</v>
          </cell>
        </row>
        <row r="199">
          <cell r="D199">
            <v>19</v>
          </cell>
          <cell r="E199">
            <v>7</v>
          </cell>
          <cell r="F199">
            <v>10</v>
          </cell>
          <cell r="G199">
            <v>2</v>
          </cell>
        </row>
        <row r="200">
          <cell r="D200">
            <v>44</v>
          </cell>
          <cell r="E200">
            <v>10</v>
          </cell>
          <cell r="F200">
            <v>177</v>
          </cell>
          <cell r="G200">
            <v>7</v>
          </cell>
        </row>
        <row r="201">
          <cell r="D201">
            <v>3</v>
          </cell>
          <cell r="E201">
            <v>4</v>
          </cell>
          <cell r="F201">
            <v>0</v>
          </cell>
          <cell r="G201">
            <v>0</v>
          </cell>
        </row>
        <row r="204">
          <cell r="D204">
            <v>83</v>
          </cell>
          <cell r="E204">
            <v>41</v>
          </cell>
          <cell r="F204">
            <v>35</v>
          </cell>
          <cell r="G204">
            <v>7</v>
          </cell>
        </row>
        <row r="206">
          <cell r="D206">
            <v>10</v>
          </cell>
          <cell r="E206">
            <v>4</v>
          </cell>
          <cell r="F206">
            <v>5</v>
          </cell>
          <cell r="G206">
            <v>1</v>
          </cell>
        </row>
        <row r="207">
          <cell r="D207">
            <v>10</v>
          </cell>
          <cell r="E207">
            <v>2</v>
          </cell>
          <cell r="F207">
            <v>5</v>
          </cell>
          <cell r="G207">
            <v>1</v>
          </cell>
        </row>
        <row r="208">
          <cell r="D208">
            <v>13</v>
          </cell>
          <cell r="E208">
            <v>1</v>
          </cell>
          <cell r="F208">
            <v>15</v>
          </cell>
          <cell r="G208">
            <v>3</v>
          </cell>
        </row>
        <row r="209">
          <cell r="D209">
            <v>20</v>
          </cell>
          <cell r="E209">
            <v>8</v>
          </cell>
          <cell r="F209">
            <v>5</v>
          </cell>
          <cell r="G209">
            <v>1</v>
          </cell>
        </row>
        <row r="212">
          <cell r="D212">
            <v>15</v>
          </cell>
          <cell r="E212">
            <v>0</v>
          </cell>
          <cell r="F212">
            <v>5</v>
          </cell>
          <cell r="G212">
            <v>1</v>
          </cell>
        </row>
        <row r="214">
          <cell r="D214">
            <v>6</v>
          </cell>
          <cell r="E214">
            <v>3</v>
          </cell>
          <cell r="F214">
            <v>0</v>
          </cell>
          <cell r="G214">
            <v>0</v>
          </cell>
        </row>
        <row r="220">
          <cell r="D220">
            <v>2</v>
          </cell>
          <cell r="E220">
            <v>6</v>
          </cell>
          <cell r="F220">
            <v>0</v>
          </cell>
          <cell r="G220">
            <v>0</v>
          </cell>
        </row>
        <row r="223">
          <cell r="D223">
            <v>72</v>
          </cell>
          <cell r="E223">
            <v>41</v>
          </cell>
          <cell r="F223">
            <v>65</v>
          </cell>
          <cell r="G223">
            <v>6</v>
          </cell>
        </row>
        <row r="224">
          <cell r="D224">
            <v>11</v>
          </cell>
          <cell r="E224">
            <v>0</v>
          </cell>
          <cell r="F224">
            <v>0</v>
          </cell>
          <cell r="G224">
            <v>0</v>
          </cell>
        </row>
        <row r="226">
          <cell r="D226">
            <v>13</v>
          </cell>
          <cell r="E226">
            <v>1</v>
          </cell>
          <cell r="F226">
            <v>21</v>
          </cell>
          <cell r="G226">
            <v>2</v>
          </cell>
        </row>
        <row r="228">
          <cell r="D228">
            <v>0</v>
          </cell>
          <cell r="E228">
            <v>8</v>
          </cell>
          <cell r="F228">
            <v>0</v>
          </cell>
          <cell r="G228">
            <v>0</v>
          </cell>
        </row>
      </sheetData>
      <sheetData sheetId="12">
        <row r="1">
          <cell r="D1">
            <v>26</v>
          </cell>
          <cell r="E1">
            <v>6</v>
          </cell>
          <cell r="F1">
            <v>5</v>
          </cell>
          <cell r="G1">
            <v>1</v>
          </cell>
        </row>
        <row r="2">
          <cell r="D2">
            <v>0</v>
          </cell>
          <cell r="E2">
            <v>1</v>
          </cell>
          <cell r="F2">
            <v>0</v>
          </cell>
          <cell r="G2">
            <v>0</v>
          </cell>
        </row>
        <row r="4">
          <cell r="D4">
            <v>2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0</v>
          </cell>
          <cell r="E6">
            <v>1</v>
          </cell>
          <cell r="F6">
            <v>0</v>
          </cell>
          <cell r="G6">
            <v>0</v>
          </cell>
        </row>
        <row r="8">
          <cell r="D8">
            <v>1</v>
          </cell>
          <cell r="E8">
            <v>4</v>
          </cell>
          <cell r="F8">
            <v>0</v>
          </cell>
          <cell r="G8">
            <v>0</v>
          </cell>
        </row>
        <row r="9">
          <cell r="D9">
            <v>61</v>
          </cell>
          <cell r="E9">
            <v>9</v>
          </cell>
          <cell r="F9">
            <v>48</v>
          </cell>
          <cell r="G9">
            <v>9</v>
          </cell>
        </row>
        <row r="15">
          <cell r="D15">
            <v>54</v>
          </cell>
          <cell r="E15">
            <v>2</v>
          </cell>
          <cell r="F15">
            <v>10</v>
          </cell>
          <cell r="G15">
            <v>2</v>
          </cell>
        </row>
        <row r="16">
          <cell r="D16">
            <v>34</v>
          </cell>
          <cell r="E16">
            <v>19</v>
          </cell>
          <cell r="F16">
            <v>0</v>
          </cell>
          <cell r="G16">
            <v>0</v>
          </cell>
        </row>
        <row r="19">
          <cell r="D19">
            <v>50</v>
          </cell>
          <cell r="E19">
            <v>10</v>
          </cell>
          <cell r="F19">
            <v>65</v>
          </cell>
          <cell r="G19">
            <v>13</v>
          </cell>
        </row>
        <row r="20">
          <cell r="D20">
            <v>23</v>
          </cell>
          <cell r="E20">
            <v>19</v>
          </cell>
          <cell r="F20">
            <v>10</v>
          </cell>
          <cell r="G20">
            <v>2</v>
          </cell>
        </row>
        <row r="21">
          <cell r="D21">
            <v>0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18</v>
          </cell>
          <cell r="E22">
            <v>6</v>
          </cell>
          <cell r="F22">
            <v>0</v>
          </cell>
          <cell r="G22">
            <v>0</v>
          </cell>
        </row>
        <row r="23">
          <cell r="D23">
            <v>25</v>
          </cell>
          <cell r="E23">
            <v>7</v>
          </cell>
          <cell r="F23">
            <v>0</v>
          </cell>
          <cell r="G23">
            <v>0</v>
          </cell>
        </row>
        <row r="25">
          <cell r="D25">
            <v>82</v>
          </cell>
          <cell r="E25">
            <v>73</v>
          </cell>
          <cell r="F25">
            <v>40</v>
          </cell>
          <cell r="G25">
            <v>8</v>
          </cell>
        </row>
        <row r="27">
          <cell r="D27">
            <v>14</v>
          </cell>
          <cell r="E27">
            <v>8</v>
          </cell>
          <cell r="F27">
            <v>5</v>
          </cell>
          <cell r="G27">
            <v>1</v>
          </cell>
        </row>
        <row r="29">
          <cell r="D29">
            <v>26</v>
          </cell>
          <cell r="E29">
            <v>14</v>
          </cell>
          <cell r="F29">
            <v>50</v>
          </cell>
          <cell r="G29">
            <v>10</v>
          </cell>
        </row>
        <row r="32">
          <cell r="D32">
            <v>154</v>
          </cell>
          <cell r="E32">
            <v>51</v>
          </cell>
        </row>
        <row r="33">
          <cell r="D33">
            <v>60</v>
          </cell>
          <cell r="E33">
            <v>8</v>
          </cell>
          <cell r="F33">
            <v>35</v>
          </cell>
          <cell r="G33">
            <v>7</v>
          </cell>
        </row>
        <row r="39">
          <cell r="D39">
            <v>0</v>
          </cell>
          <cell r="E39">
            <v>5</v>
          </cell>
          <cell r="F39">
            <v>0</v>
          </cell>
          <cell r="G39">
            <v>0</v>
          </cell>
        </row>
        <row r="45">
          <cell r="D45">
            <v>86</v>
          </cell>
          <cell r="E45">
            <v>12</v>
          </cell>
          <cell r="F45">
            <v>35</v>
          </cell>
          <cell r="G45">
            <v>7</v>
          </cell>
        </row>
        <row r="47">
          <cell r="D47">
            <v>16</v>
          </cell>
          <cell r="E47">
            <v>14</v>
          </cell>
          <cell r="F47">
            <v>0</v>
          </cell>
          <cell r="G47">
            <v>0</v>
          </cell>
        </row>
        <row r="51">
          <cell r="D51">
            <v>0</v>
          </cell>
          <cell r="E51">
            <v>1</v>
          </cell>
          <cell r="F51">
            <v>0</v>
          </cell>
          <cell r="G51">
            <v>0</v>
          </cell>
        </row>
        <row r="53">
          <cell r="D53">
            <v>29</v>
          </cell>
          <cell r="E53">
            <v>1</v>
          </cell>
          <cell r="F53">
            <v>258</v>
          </cell>
          <cell r="G53">
            <v>3</v>
          </cell>
        </row>
        <row r="54">
          <cell r="D54">
            <v>57</v>
          </cell>
          <cell r="E54">
            <v>16</v>
          </cell>
          <cell r="F54">
            <v>25</v>
          </cell>
          <cell r="G54">
            <v>5</v>
          </cell>
        </row>
        <row r="55">
          <cell r="D55">
            <v>3</v>
          </cell>
          <cell r="E55">
            <v>4</v>
          </cell>
          <cell r="F55">
            <v>0</v>
          </cell>
          <cell r="G55">
            <v>0</v>
          </cell>
        </row>
        <row r="58">
          <cell r="D58">
            <v>5</v>
          </cell>
          <cell r="E58">
            <v>20</v>
          </cell>
          <cell r="F58">
            <v>5</v>
          </cell>
          <cell r="G58">
            <v>1</v>
          </cell>
        </row>
        <row r="59">
          <cell r="D59">
            <v>27</v>
          </cell>
          <cell r="E59">
            <v>28</v>
          </cell>
          <cell r="F59">
            <v>5</v>
          </cell>
          <cell r="G59">
            <v>1</v>
          </cell>
        </row>
        <row r="60">
          <cell r="D60">
            <v>72</v>
          </cell>
          <cell r="E60">
            <v>1</v>
          </cell>
          <cell r="F60">
            <v>221</v>
          </cell>
          <cell r="G60">
            <v>4</v>
          </cell>
        </row>
        <row r="61">
          <cell r="D61">
            <v>25</v>
          </cell>
          <cell r="E61">
            <v>5</v>
          </cell>
          <cell r="F61">
            <v>319</v>
          </cell>
          <cell r="G61">
            <v>6</v>
          </cell>
        </row>
        <row r="63">
          <cell r="D63">
            <v>60</v>
          </cell>
          <cell r="E63">
            <v>3</v>
          </cell>
          <cell r="F63">
            <v>25</v>
          </cell>
          <cell r="G63">
            <v>5</v>
          </cell>
        </row>
        <row r="70">
          <cell r="D70">
            <v>99</v>
          </cell>
          <cell r="E70">
            <v>18</v>
          </cell>
          <cell r="F70">
            <v>170</v>
          </cell>
          <cell r="G70">
            <v>34</v>
          </cell>
        </row>
        <row r="71">
          <cell r="D71">
            <v>1</v>
          </cell>
          <cell r="E71">
            <v>2</v>
          </cell>
          <cell r="F71">
            <v>0</v>
          </cell>
          <cell r="G71">
            <v>0</v>
          </cell>
        </row>
        <row r="73">
          <cell r="D73">
            <v>9</v>
          </cell>
          <cell r="E73">
            <v>2</v>
          </cell>
          <cell r="F73">
            <v>74</v>
          </cell>
          <cell r="G73">
            <v>2</v>
          </cell>
        </row>
        <row r="75">
          <cell r="D75">
            <v>17</v>
          </cell>
          <cell r="E75">
            <v>12</v>
          </cell>
          <cell r="F75">
            <v>5</v>
          </cell>
          <cell r="G75">
            <v>1</v>
          </cell>
        </row>
        <row r="77">
          <cell r="D77">
            <v>14</v>
          </cell>
          <cell r="E77">
            <v>10</v>
          </cell>
          <cell r="F77">
            <v>192</v>
          </cell>
          <cell r="G77">
            <v>1</v>
          </cell>
        </row>
        <row r="81">
          <cell r="D81">
            <v>102</v>
          </cell>
          <cell r="E81">
            <v>10</v>
          </cell>
          <cell r="F81">
            <v>1192</v>
          </cell>
          <cell r="G81">
            <v>13</v>
          </cell>
        </row>
        <row r="82">
          <cell r="D82">
            <v>2</v>
          </cell>
          <cell r="E82">
            <v>1</v>
          </cell>
          <cell r="F82">
            <v>0</v>
          </cell>
          <cell r="G82">
            <v>0</v>
          </cell>
        </row>
        <row r="88">
          <cell r="D88">
            <v>58</v>
          </cell>
          <cell r="E88">
            <v>2</v>
          </cell>
          <cell r="F88">
            <v>55</v>
          </cell>
          <cell r="G88">
            <v>11</v>
          </cell>
        </row>
        <row r="91">
          <cell r="D91">
            <v>8</v>
          </cell>
          <cell r="E91">
            <v>10</v>
          </cell>
          <cell r="F91">
            <v>0</v>
          </cell>
          <cell r="G91">
            <v>0</v>
          </cell>
        </row>
        <row r="98">
          <cell r="D98">
            <v>2</v>
          </cell>
          <cell r="E98">
            <v>3</v>
          </cell>
          <cell r="F98">
            <v>0</v>
          </cell>
          <cell r="G98">
            <v>0</v>
          </cell>
        </row>
        <row r="104">
          <cell r="D104">
            <v>14</v>
          </cell>
          <cell r="E104">
            <v>15</v>
          </cell>
          <cell r="F104">
            <v>152</v>
          </cell>
          <cell r="G104">
            <v>2</v>
          </cell>
        </row>
        <row r="108">
          <cell r="D108">
            <v>4</v>
          </cell>
          <cell r="E108">
            <v>4</v>
          </cell>
          <cell r="F108">
            <v>5</v>
          </cell>
          <cell r="G108">
            <v>1</v>
          </cell>
        </row>
        <row r="111">
          <cell r="D111">
            <v>14</v>
          </cell>
          <cell r="E111">
            <v>12</v>
          </cell>
          <cell r="F111">
            <v>3</v>
          </cell>
          <cell r="G111">
            <v>0</v>
          </cell>
        </row>
        <row r="117">
          <cell r="D117">
            <v>23</v>
          </cell>
          <cell r="E117">
            <v>18</v>
          </cell>
          <cell r="F117">
            <v>5</v>
          </cell>
          <cell r="G117">
            <v>1</v>
          </cell>
        </row>
        <row r="118">
          <cell r="D118">
            <v>9</v>
          </cell>
          <cell r="E118">
            <v>20</v>
          </cell>
          <cell r="F118">
            <v>0</v>
          </cell>
          <cell r="G118">
            <v>0</v>
          </cell>
        </row>
        <row r="121">
          <cell r="D121">
            <v>8</v>
          </cell>
          <cell r="E121">
            <v>2</v>
          </cell>
          <cell r="F121">
            <v>0</v>
          </cell>
          <cell r="G121">
            <v>0</v>
          </cell>
        </row>
        <row r="123">
          <cell r="D123">
            <v>49</v>
          </cell>
          <cell r="E123">
            <v>4</v>
          </cell>
          <cell r="F123">
            <v>0</v>
          </cell>
          <cell r="G123">
            <v>0</v>
          </cell>
        </row>
        <row r="131">
          <cell r="D131">
            <v>0</v>
          </cell>
          <cell r="E131">
            <v>5</v>
          </cell>
          <cell r="F131">
            <v>0</v>
          </cell>
          <cell r="G131">
            <v>0</v>
          </cell>
        </row>
        <row r="134">
          <cell r="D134">
            <v>43</v>
          </cell>
          <cell r="E134">
            <v>25</v>
          </cell>
          <cell r="F134">
            <v>60</v>
          </cell>
          <cell r="G134">
            <v>12</v>
          </cell>
        </row>
        <row r="135">
          <cell r="D135">
            <v>3</v>
          </cell>
          <cell r="E135">
            <v>1</v>
          </cell>
          <cell r="F135">
            <v>0</v>
          </cell>
          <cell r="G135">
            <v>0</v>
          </cell>
        </row>
        <row r="138">
          <cell r="D138">
            <v>59</v>
          </cell>
          <cell r="E138">
            <v>31</v>
          </cell>
          <cell r="F138">
            <v>60</v>
          </cell>
          <cell r="G138">
            <v>12</v>
          </cell>
        </row>
        <row r="143">
          <cell r="D143">
            <v>66</v>
          </cell>
          <cell r="E143">
            <v>6</v>
          </cell>
          <cell r="F143">
            <v>90</v>
          </cell>
          <cell r="G143">
            <v>18</v>
          </cell>
        </row>
        <row r="147">
          <cell r="D147">
            <v>6</v>
          </cell>
          <cell r="E147">
            <v>7</v>
          </cell>
          <cell r="F147">
            <v>0</v>
          </cell>
          <cell r="G147">
            <v>0</v>
          </cell>
        </row>
        <row r="148">
          <cell r="D148">
            <v>16</v>
          </cell>
          <cell r="E148">
            <v>20</v>
          </cell>
          <cell r="F148">
            <v>0</v>
          </cell>
          <cell r="G148">
            <v>0</v>
          </cell>
        </row>
        <row r="156">
          <cell r="D156">
            <v>41</v>
          </cell>
          <cell r="E156">
            <v>27</v>
          </cell>
          <cell r="F156">
            <v>5</v>
          </cell>
          <cell r="G156">
            <v>1</v>
          </cell>
        </row>
        <row r="158">
          <cell r="D158">
            <v>57</v>
          </cell>
          <cell r="E158">
            <v>15</v>
          </cell>
          <cell r="F158">
            <v>35</v>
          </cell>
          <cell r="G158">
            <v>7</v>
          </cell>
        </row>
        <row r="159">
          <cell r="D159">
            <v>0</v>
          </cell>
          <cell r="E159">
            <v>4</v>
          </cell>
          <cell r="F159">
            <v>5</v>
          </cell>
          <cell r="G159">
            <v>1</v>
          </cell>
        </row>
        <row r="162">
          <cell r="D162">
            <v>45</v>
          </cell>
          <cell r="E162">
            <v>29</v>
          </cell>
          <cell r="F162">
            <v>5</v>
          </cell>
          <cell r="G162">
            <v>1</v>
          </cell>
        </row>
        <row r="164">
          <cell r="D164">
            <v>0</v>
          </cell>
          <cell r="E164">
            <v>1</v>
          </cell>
          <cell r="F164">
            <v>0</v>
          </cell>
          <cell r="G164">
            <v>0</v>
          </cell>
        </row>
        <row r="165">
          <cell r="D165">
            <v>26</v>
          </cell>
          <cell r="E165">
            <v>7</v>
          </cell>
          <cell r="F165">
            <v>45</v>
          </cell>
          <cell r="G165">
            <v>9</v>
          </cell>
        </row>
        <row r="167">
          <cell r="D167">
            <v>70</v>
          </cell>
          <cell r="E167">
            <v>29</v>
          </cell>
          <cell r="F167">
            <v>55</v>
          </cell>
          <cell r="G167">
            <v>11</v>
          </cell>
        </row>
        <row r="168">
          <cell r="D168">
            <v>5</v>
          </cell>
          <cell r="E168">
            <v>15</v>
          </cell>
          <cell r="F168">
            <v>0</v>
          </cell>
          <cell r="G168">
            <v>0</v>
          </cell>
        </row>
        <row r="169">
          <cell r="D169">
            <v>6</v>
          </cell>
          <cell r="E169">
            <v>3</v>
          </cell>
          <cell r="F169">
            <v>0</v>
          </cell>
          <cell r="G169">
            <v>0</v>
          </cell>
        </row>
        <row r="170">
          <cell r="D170">
            <v>15</v>
          </cell>
          <cell r="E170">
            <v>7</v>
          </cell>
          <cell r="F170">
            <v>0</v>
          </cell>
          <cell r="G170">
            <v>0</v>
          </cell>
        </row>
        <row r="172">
          <cell r="D172">
            <v>180</v>
          </cell>
          <cell r="E172">
            <v>15</v>
          </cell>
        </row>
        <row r="175">
          <cell r="D175">
            <v>3</v>
          </cell>
          <cell r="E175">
            <v>9</v>
          </cell>
          <cell r="F175">
            <v>0</v>
          </cell>
          <cell r="G175">
            <v>0</v>
          </cell>
        </row>
        <row r="177">
          <cell r="D177">
            <v>0</v>
          </cell>
          <cell r="E177">
            <v>2</v>
          </cell>
          <cell r="F177">
            <v>0</v>
          </cell>
          <cell r="G177">
            <v>0</v>
          </cell>
        </row>
        <row r="178">
          <cell r="D178">
            <v>10</v>
          </cell>
          <cell r="E178">
            <v>10</v>
          </cell>
          <cell r="F178">
            <v>15</v>
          </cell>
          <cell r="G178">
            <v>3</v>
          </cell>
        </row>
        <row r="180">
          <cell r="D180">
            <v>29</v>
          </cell>
          <cell r="E180">
            <v>4</v>
          </cell>
          <cell r="F180">
            <v>35</v>
          </cell>
          <cell r="G180">
            <v>7</v>
          </cell>
        </row>
        <row r="181">
          <cell r="D181">
            <v>4</v>
          </cell>
          <cell r="E181">
            <v>2</v>
          </cell>
          <cell r="F181">
            <v>0</v>
          </cell>
          <cell r="G181">
            <v>0</v>
          </cell>
        </row>
        <row r="183">
          <cell r="D183">
            <v>20</v>
          </cell>
          <cell r="E183">
            <v>8</v>
          </cell>
          <cell r="F183">
            <v>15</v>
          </cell>
          <cell r="G183">
            <v>3</v>
          </cell>
        </row>
        <row r="185">
          <cell r="D185">
            <v>3</v>
          </cell>
          <cell r="E185">
            <v>3</v>
          </cell>
          <cell r="F185">
            <v>0</v>
          </cell>
          <cell r="G185">
            <v>0</v>
          </cell>
        </row>
        <row r="186">
          <cell r="D186">
            <v>0</v>
          </cell>
          <cell r="E186">
            <v>1</v>
          </cell>
          <cell r="F186">
            <v>0</v>
          </cell>
          <cell r="G186">
            <v>0</v>
          </cell>
        </row>
        <row r="187">
          <cell r="D187">
            <v>1</v>
          </cell>
          <cell r="E187">
            <v>1</v>
          </cell>
          <cell r="F187">
            <v>0</v>
          </cell>
          <cell r="G187">
            <v>0</v>
          </cell>
        </row>
        <row r="192">
          <cell r="D192">
            <v>1</v>
          </cell>
          <cell r="E192">
            <v>2</v>
          </cell>
          <cell r="F192">
            <v>0</v>
          </cell>
          <cell r="G192">
            <v>0</v>
          </cell>
        </row>
        <row r="196">
          <cell r="D196">
            <v>28</v>
          </cell>
          <cell r="E196">
            <v>1</v>
          </cell>
          <cell r="F196">
            <v>15</v>
          </cell>
          <cell r="G196">
            <v>3</v>
          </cell>
        </row>
        <row r="198">
          <cell r="D198">
            <v>0</v>
          </cell>
          <cell r="E198">
            <v>4</v>
          </cell>
          <cell r="F198">
            <v>0</v>
          </cell>
          <cell r="G198">
            <v>0</v>
          </cell>
        </row>
        <row r="199">
          <cell r="D199">
            <v>107</v>
          </cell>
          <cell r="E199">
            <v>28</v>
          </cell>
          <cell r="F199">
            <v>40</v>
          </cell>
          <cell r="G199">
            <v>8</v>
          </cell>
        </row>
        <row r="200">
          <cell r="D200">
            <v>3</v>
          </cell>
          <cell r="E200">
            <v>1</v>
          </cell>
          <cell r="F200">
            <v>5</v>
          </cell>
          <cell r="G200">
            <v>1</v>
          </cell>
        </row>
        <row r="204">
          <cell r="D204">
            <v>32</v>
          </cell>
          <cell r="E204">
            <v>4</v>
          </cell>
          <cell r="F204">
            <v>15</v>
          </cell>
          <cell r="G204">
            <v>3</v>
          </cell>
        </row>
        <row r="205">
          <cell r="D205">
            <v>13</v>
          </cell>
          <cell r="E205">
            <v>11</v>
          </cell>
          <cell r="F205">
            <v>23</v>
          </cell>
          <cell r="G205">
            <v>2</v>
          </cell>
        </row>
        <row r="209">
          <cell r="D209">
            <v>10</v>
          </cell>
          <cell r="E209">
            <v>6</v>
          </cell>
          <cell r="F209">
            <v>0</v>
          </cell>
          <cell r="G209">
            <v>0</v>
          </cell>
        </row>
        <row r="210">
          <cell r="D210">
            <v>55</v>
          </cell>
          <cell r="E210">
            <v>6</v>
          </cell>
          <cell r="F210">
            <v>50</v>
          </cell>
          <cell r="G210">
            <v>10</v>
          </cell>
        </row>
      </sheetData>
      <sheetData sheetId="13">
        <row r="2">
          <cell r="D2">
            <v>16</v>
          </cell>
          <cell r="E2">
            <v>26</v>
          </cell>
          <cell r="F2">
            <v>5</v>
          </cell>
          <cell r="G2">
            <v>1</v>
          </cell>
        </row>
        <row r="3">
          <cell r="D3">
            <v>1</v>
          </cell>
          <cell r="E3">
            <v>1</v>
          </cell>
          <cell r="F3">
            <v>5</v>
          </cell>
          <cell r="G3">
            <v>1</v>
          </cell>
        </row>
        <row r="5">
          <cell r="D5">
            <v>0</v>
          </cell>
          <cell r="E5">
            <v>2</v>
          </cell>
          <cell r="F5">
            <v>0</v>
          </cell>
          <cell r="G5">
            <v>0</v>
          </cell>
        </row>
        <row r="6">
          <cell r="D6">
            <v>60</v>
          </cell>
          <cell r="E6">
            <v>6</v>
          </cell>
          <cell r="F6">
            <v>90</v>
          </cell>
          <cell r="G6">
            <v>18</v>
          </cell>
        </row>
        <row r="8">
          <cell r="D8">
            <v>8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10</v>
          </cell>
          <cell r="E9">
            <v>1</v>
          </cell>
          <cell r="F9">
            <v>0</v>
          </cell>
          <cell r="G9">
            <v>0</v>
          </cell>
        </row>
        <row r="10">
          <cell r="D10">
            <v>13</v>
          </cell>
          <cell r="E10">
            <v>7</v>
          </cell>
          <cell r="F10">
            <v>0</v>
          </cell>
          <cell r="G10">
            <v>0</v>
          </cell>
        </row>
        <row r="13">
          <cell r="D13">
            <v>17</v>
          </cell>
          <cell r="E13">
            <v>24</v>
          </cell>
          <cell r="F13">
            <v>10</v>
          </cell>
          <cell r="G13">
            <v>2</v>
          </cell>
        </row>
        <row r="15">
          <cell r="D15">
            <v>15</v>
          </cell>
          <cell r="E15">
            <v>6</v>
          </cell>
          <cell r="F15">
            <v>91</v>
          </cell>
          <cell r="G15">
            <v>1</v>
          </cell>
        </row>
        <row r="16">
          <cell r="D16">
            <v>11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6</v>
          </cell>
          <cell r="E19">
            <v>7</v>
          </cell>
          <cell r="F19">
            <v>0</v>
          </cell>
          <cell r="G19">
            <v>0</v>
          </cell>
        </row>
        <row r="20">
          <cell r="D20">
            <v>4</v>
          </cell>
          <cell r="E20">
            <v>0</v>
          </cell>
          <cell r="F20">
            <v>0</v>
          </cell>
          <cell r="G20">
            <v>0</v>
          </cell>
        </row>
        <row r="21">
          <cell r="D21">
            <v>1</v>
          </cell>
          <cell r="E21">
            <v>6</v>
          </cell>
          <cell r="F21">
            <v>5</v>
          </cell>
          <cell r="G21">
            <v>1</v>
          </cell>
        </row>
        <row r="22">
          <cell r="D22">
            <v>2</v>
          </cell>
          <cell r="E22">
            <v>6</v>
          </cell>
          <cell r="F22">
            <v>0</v>
          </cell>
          <cell r="G22">
            <v>0</v>
          </cell>
        </row>
        <row r="24">
          <cell r="D24">
            <v>1</v>
          </cell>
          <cell r="E24">
            <v>0</v>
          </cell>
          <cell r="F24">
            <v>0</v>
          </cell>
          <cell r="G24">
            <v>0</v>
          </cell>
        </row>
        <row r="29">
          <cell r="D29">
            <v>2</v>
          </cell>
          <cell r="E29">
            <v>5</v>
          </cell>
          <cell r="F29">
            <v>0</v>
          </cell>
          <cell r="G29">
            <v>0</v>
          </cell>
        </row>
        <row r="31">
          <cell r="D31">
            <v>0</v>
          </cell>
          <cell r="E31">
            <v>4</v>
          </cell>
          <cell r="F31">
            <v>0</v>
          </cell>
          <cell r="G31">
            <v>0</v>
          </cell>
        </row>
        <row r="34">
          <cell r="D34">
            <v>51</v>
          </cell>
          <cell r="E34">
            <v>40</v>
          </cell>
        </row>
        <row r="36">
          <cell r="D36">
            <v>1</v>
          </cell>
          <cell r="E36">
            <v>2</v>
          </cell>
          <cell r="F36">
            <v>0</v>
          </cell>
          <cell r="G36">
            <v>0</v>
          </cell>
        </row>
        <row r="38">
          <cell r="D38">
            <v>61</v>
          </cell>
          <cell r="E38">
            <v>4</v>
          </cell>
          <cell r="F38">
            <v>65</v>
          </cell>
          <cell r="G38">
            <v>13</v>
          </cell>
        </row>
        <row r="39">
          <cell r="D39">
            <v>33</v>
          </cell>
          <cell r="E39">
            <v>9</v>
          </cell>
          <cell r="F39">
            <v>30</v>
          </cell>
          <cell r="G39">
            <v>6</v>
          </cell>
        </row>
        <row r="40">
          <cell r="D40">
            <v>1</v>
          </cell>
          <cell r="E40">
            <v>4</v>
          </cell>
          <cell r="F40">
            <v>0</v>
          </cell>
          <cell r="G40">
            <v>0</v>
          </cell>
        </row>
        <row r="41">
          <cell r="D41">
            <v>123</v>
          </cell>
          <cell r="E41">
            <v>10</v>
          </cell>
          <cell r="F41">
            <v>0</v>
          </cell>
          <cell r="G41">
            <v>0</v>
          </cell>
        </row>
        <row r="43">
          <cell r="D43">
            <v>13</v>
          </cell>
          <cell r="E43">
            <v>5</v>
          </cell>
          <cell r="F43">
            <v>5</v>
          </cell>
          <cell r="G43">
            <v>1</v>
          </cell>
        </row>
        <row r="44">
          <cell r="D44">
            <v>9</v>
          </cell>
          <cell r="E44">
            <v>6</v>
          </cell>
          <cell r="F44">
            <v>94</v>
          </cell>
          <cell r="G44">
            <v>1</v>
          </cell>
        </row>
        <row r="46">
          <cell r="D46">
            <v>1</v>
          </cell>
          <cell r="E46">
            <v>3</v>
          </cell>
          <cell r="F46">
            <v>14</v>
          </cell>
          <cell r="G46">
            <v>0</v>
          </cell>
        </row>
        <row r="48">
          <cell r="D48">
            <v>36</v>
          </cell>
          <cell r="E48">
            <v>7</v>
          </cell>
          <cell r="F48">
            <v>40</v>
          </cell>
          <cell r="G48">
            <v>8</v>
          </cell>
        </row>
        <row r="49">
          <cell r="D49">
            <v>0</v>
          </cell>
          <cell r="E49">
            <v>3</v>
          </cell>
          <cell r="F49">
            <v>0</v>
          </cell>
          <cell r="G49">
            <v>0</v>
          </cell>
        </row>
        <row r="60">
          <cell r="D60">
            <v>92</v>
          </cell>
          <cell r="E60">
            <v>10</v>
          </cell>
          <cell r="F60">
            <v>40</v>
          </cell>
          <cell r="G60">
            <v>8</v>
          </cell>
        </row>
        <row r="62">
          <cell r="D62">
            <v>0</v>
          </cell>
          <cell r="E62">
            <v>4</v>
          </cell>
          <cell r="F62">
            <v>0</v>
          </cell>
          <cell r="G62">
            <v>0</v>
          </cell>
        </row>
        <row r="63">
          <cell r="D63">
            <v>0</v>
          </cell>
          <cell r="E63">
            <v>3</v>
          </cell>
          <cell r="F63">
            <v>0</v>
          </cell>
          <cell r="G63">
            <v>0</v>
          </cell>
        </row>
        <row r="64">
          <cell r="D64">
            <v>14</v>
          </cell>
          <cell r="E64">
            <v>2</v>
          </cell>
          <cell r="F64">
            <v>0</v>
          </cell>
          <cell r="G64">
            <v>0</v>
          </cell>
        </row>
        <row r="65">
          <cell r="D65">
            <v>9</v>
          </cell>
          <cell r="E65">
            <v>10</v>
          </cell>
          <cell r="F65">
            <v>55</v>
          </cell>
          <cell r="G65">
            <v>1</v>
          </cell>
        </row>
        <row r="69">
          <cell r="D69">
            <v>8</v>
          </cell>
          <cell r="E69">
            <v>17</v>
          </cell>
          <cell r="F69">
            <v>0</v>
          </cell>
          <cell r="G69">
            <v>0</v>
          </cell>
        </row>
        <row r="70">
          <cell r="D70">
            <v>5</v>
          </cell>
          <cell r="E70">
            <v>7</v>
          </cell>
          <cell r="F70">
            <v>0</v>
          </cell>
          <cell r="G70">
            <v>0</v>
          </cell>
        </row>
        <row r="71">
          <cell r="D71">
            <v>35</v>
          </cell>
          <cell r="E71">
            <v>0</v>
          </cell>
          <cell r="F71">
            <v>20</v>
          </cell>
          <cell r="G71">
            <v>4</v>
          </cell>
        </row>
        <row r="75">
          <cell r="D75">
            <v>57</v>
          </cell>
          <cell r="E75">
            <v>28</v>
          </cell>
          <cell r="F75">
            <v>40</v>
          </cell>
          <cell r="G75">
            <v>8</v>
          </cell>
        </row>
        <row r="77">
          <cell r="D77">
            <v>1</v>
          </cell>
          <cell r="E77">
            <v>1</v>
          </cell>
          <cell r="F77">
            <v>0</v>
          </cell>
          <cell r="G77">
            <v>0</v>
          </cell>
        </row>
        <row r="78">
          <cell r="D78">
            <v>1</v>
          </cell>
          <cell r="E78">
            <v>4</v>
          </cell>
          <cell r="F78">
            <v>0</v>
          </cell>
          <cell r="G78">
            <v>0</v>
          </cell>
        </row>
        <row r="80">
          <cell r="D80">
            <v>1</v>
          </cell>
          <cell r="E80">
            <v>1</v>
          </cell>
          <cell r="F80">
            <v>0</v>
          </cell>
          <cell r="G80">
            <v>0</v>
          </cell>
        </row>
        <row r="83">
          <cell r="D83">
            <v>26</v>
          </cell>
          <cell r="E83">
            <v>17</v>
          </cell>
          <cell r="F83">
            <v>0</v>
          </cell>
          <cell r="G83">
            <v>0</v>
          </cell>
        </row>
        <row r="84">
          <cell r="D84">
            <v>42</v>
          </cell>
          <cell r="E84">
            <v>17</v>
          </cell>
          <cell r="F84">
            <v>10</v>
          </cell>
          <cell r="G84">
            <v>2</v>
          </cell>
        </row>
        <row r="87">
          <cell r="D87">
            <v>1</v>
          </cell>
          <cell r="E87">
            <v>8</v>
          </cell>
          <cell r="F87">
            <v>0</v>
          </cell>
          <cell r="G87">
            <v>0</v>
          </cell>
        </row>
        <row r="89">
          <cell r="D89">
            <v>3</v>
          </cell>
          <cell r="E89">
            <v>0</v>
          </cell>
          <cell r="F89">
            <v>0</v>
          </cell>
          <cell r="G89">
            <v>0</v>
          </cell>
        </row>
        <row r="92">
          <cell r="D92">
            <v>28</v>
          </cell>
          <cell r="E92">
            <v>10</v>
          </cell>
          <cell r="F92">
            <v>22</v>
          </cell>
          <cell r="G92">
            <v>2</v>
          </cell>
        </row>
        <row r="93">
          <cell r="D93">
            <v>14</v>
          </cell>
          <cell r="E93">
            <v>1</v>
          </cell>
          <cell r="F93">
            <v>0</v>
          </cell>
          <cell r="G93">
            <v>0</v>
          </cell>
        </row>
        <row r="94">
          <cell r="D94">
            <v>13</v>
          </cell>
          <cell r="E94">
            <v>2</v>
          </cell>
          <cell r="F94">
            <v>5</v>
          </cell>
          <cell r="G94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8">
          <cell r="D98">
            <v>34</v>
          </cell>
          <cell r="E98">
            <v>18</v>
          </cell>
          <cell r="F98">
            <v>5</v>
          </cell>
          <cell r="G98">
            <v>1</v>
          </cell>
        </row>
        <row r="100">
          <cell r="D100">
            <v>122</v>
          </cell>
          <cell r="E100">
            <v>5</v>
          </cell>
          <cell r="F100">
            <v>50</v>
          </cell>
          <cell r="G100">
            <v>10</v>
          </cell>
        </row>
        <row r="103">
          <cell r="D103">
            <v>4</v>
          </cell>
          <cell r="E103">
            <v>3</v>
          </cell>
          <cell r="F103">
            <v>5</v>
          </cell>
          <cell r="G103">
            <v>1</v>
          </cell>
        </row>
        <row r="104">
          <cell r="D104">
            <v>1</v>
          </cell>
          <cell r="E104">
            <v>9</v>
          </cell>
          <cell r="F104">
            <v>5</v>
          </cell>
          <cell r="G104">
            <v>1</v>
          </cell>
        </row>
        <row r="106">
          <cell r="D106">
            <v>104</v>
          </cell>
          <cell r="E106">
            <v>0</v>
          </cell>
          <cell r="F106">
            <v>55</v>
          </cell>
          <cell r="G106">
            <v>11</v>
          </cell>
        </row>
        <row r="107">
          <cell r="D107">
            <v>8</v>
          </cell>
          <cell r="E107">
            <v>7</v>
          </cell>
          <cell r="F107">
            <v>0</v>
          </cell>
          <cell r="G107">
            <v>0</v>
          </cell>
        </row>
        <row r="108">
          <cell r="D108">
            <v>0</v>
          </cell>
          <cell r="E108">
            <v>2</v>
          </cell>
          <cell r="F108">
            <v>0</v>
          </cell>
          <cell r="G108">
            <v>0</v>
          </cell>
        </row>
        <row r="109">
          <cell r="D109">
            <v>1</v>
          </cell>
          <cell r="E109">
            <v>1</v>
          </cell>
          <cell r="F109">
            <v>0</v>
          </cell>
          <cell r="G109">
            <v>0</v>
          </cell>
        </row>
        <row r="110">
          <cell r="D110">
            <v>3</v>
          </cell>
          <cell r="E110">
            <v>11</v>
          </cell>
          <cell r="F110">
            <v>0</v>
          </cell>
          <cell r="G110">
            <v>0</v>
          </cell>
        </row>
        <row r="113">
          <cell r="D113">
            <v>23</v>
          </cell>
          <cell r="E113">
            <v>13</v>
          </cell>
          <cell r="F113">
            <v>15</v>
          </cell>
          <cell r="G113">
            <v>3</v>
          </cell>
        </row>
        <row r="114">
          <cell r="D114">
            <v>90</v>
          </cell>
          <cell r="E114">
            <v>19</v>
          </cell>
          <cell r="F114">
            <v>5</v>
          </cell>
          <cell r="G114">
            <v>1</v>
          </cell>
        </row>
        <row r="115">
          <cell r="D115">
            <v>1</v>
          </cell>
          <cell r="E115">
            <v>0</v>
          </cell>
          <cell r="F115">
            <v>0</v>
          </cell>
          <cell r="G115">
            <v>0</v>
          </cell>
        </row>
        <row r="116">
          <cell r="D116">
            <v>1</v>
          </cell>
          <cell r="E116">
            <v>3</v>
          </cell>
          <cell r="F116">
            <v>0</v>
          </cell>
          <cell r="G116">
            <v>0</v>
          </cell>
        </row>
        <row r="120">
          <cell r="D120">
            <v>39</v>
          </cell>
          <cell r="E120">
            <v>0</v>
          </cell>
          <cell r="F120">
            <v>25</v>
          </cell>
          <cell r="G120">
            <v>5</v>
          </cell>
        </row>
        <row r="123">
          <cell r="D123">
            <v>28</v>
          </cell>
          <cell r="E123">
            <v>2</v>
          </cell>
          <cell r="F123">
            <v>261</v>
          </cell>
          <cell r="G123">
            <v>2</v>
          </cell>
        </row>
        <row r="127">
          <cell r="D127">
            <v>44</v>
          </cell>
          <cell r="E127">
            <v>4</v>
          </cell>
          <cell r="F127">
            <v>10</v>
          </cell>
          <cell r="G127">
            <v>2</v>
          </cell>
        </row>
      </sheetData>
      <sheetData sheetId="14">
        <row r="10">
          <cell r="D10">
            <v>14</v>
          </cell>
          <cell r="E10">
            <v>3</v>
          </cell>
          <cell r="F10">
            <v>5</v>
          </cell>
          <cell r="G10">
            <v>1</v>
          </cell>
        </row>
        <row r="39">
          <cell r="D39">
            <v>20</v>
          </cell>
          <cell r="E39">
            <v>0</v>
          </cell>
          <cell r="F39">
            <v>70</v>
          </cell>
          <cell r="G39">
            <v>3</v>
          </cell>
        </row>
        <row r="65">
          <cell r="D65">
            <v>14</v>
          </cell>
          <cell r="E65">
            <v>3</v>
          </cell>
          <cell r="F65">
            <v>40</v>
          </cell>
          <cell r="G65">
            <v>8</v>
          </cell>
        </row>
      </sheetData>
      <sheetData sheetId="15">
        <row r="10">
          <cell r="D10">
            <v>37</v>
          </cell>
          <cell r="E10">
            <v>2</v>
          </cell>
          <cell r="F10">
            <v>20</v>
          </cell>
          <cell r="G10">
            <v>4</v>
          </cell>
        </row>
        <row r="11">
          <cell r="D11">
            <v>28</v>
          </cell>
          <cell r="E11">
            <v>1</v>
          </cell>
          <cell r="F11">
            <v>49</v>
          </cell>
          <cell r="G11">
            <v>8</v>
          </cell>
        </row>
        <row r="13">
          <cell r="D13">
            <v>2</v>
          </cell>
          <cell r="E13">
            <v>7</v>
          </cell>
          <cell r="F13">
            <v>0</v>
          </cell>
          <cell r="G13">
            <v>0</v>
          </cell>
        </row>
        <row r="32">
          <cell r="D32">
            <v>60</v>
          </cell>
          <cell r="E32">
            <v>4</v>
          </cell>
        </row>
        <row r="43">
          <cell r="D43">
            <v>4</v>
          </cell>
          <cell r="E43">
            <v>0</v>
          </cell>
        </row>
        <row r="46">
          <cell r="D46">
            <v>0</v>
          </cell>
          <cell r="E46">
            <v>6</v>
          </cell>
          <cell r="F46">
            <v>0</v>
          </cell>
          <cell r="G46">
            <v>0</v>
          </cell>
        </row>
        <row r="70">
          <cell r="D70">
            <v>12</v>
          </cell>
          <cell r="E70">
            <v>8</v>
          </cell>
          <cell r="F70">
            <v>25</v>
          </cell>
          <cell r="G70">
            <v>5</v>
          </cell>
        </row>
        <row r="78">
          <cell r="D78">
            <v>4</v>
          </cell>
          <cell r="E78">
            <v>10</v>
          </cell>
          <cell r="F78">
            <v>49</v>
          </cell>
          <cell r="G78">
            <v>0</v>
          </cell>
        </row>
        <row r="83">
          <cell r="D83">
            <v>23</v>
          </cell>
          <cell r="E83">
            <v>3</v>
          </cell>
          <cell r="F83">
            <v>25</v>
          </cell>
          <cell r="G83">
            <v>5</v>
          </cell>
        </row>
        <row r="87">
          <cell r="D87">
            <v>17</v>
          </cell>
          <cell r="E87">
            <v>9</v>
          </cell>
          <cell r="F87">
            <v>5</v>
          </cell>
          <cell r="G87">
            <v>1</v>
          </cell>
        </row>
        <row r="89">
          <cell r="D89">
            <v>0</v>
          </cell>
          <cell r="E89">
            <v>1</v>
          </cell>
          <cell r="F89">
            <v>0</v>
          </cell>
          <cell r="G89">
            <v>0</v>
          </cell>
        </row>
        <row r="91">
          <cell r="D91">
            <v>20</v>
          </cell>
          <cell r="E91">
            <v>6</v>
          </cell>
          <cell r="F91">
            <v>0</v>
          </cell>
          <cell r="G91">
            <v>0</v>
          </cell>
        </row>
        <row r="96">
          <cell r="D96">
            <v>9</v>
          </cell>
          <cell r="E96">
            <v>2</v>
          </cell>
          <cell r="F96">
            <v>39</v>
          </cell>
          <cell r="G96">
            <v>0</v>
          </cell>
        </row>
        <row r="104">
          <cell r="D104">
            <v>65</v>
          </cell>
          <cell r="E104">
            <v>2</v>
          </cell>
          <cell r="F104">
            <v>168</v>
          </cell>
          <cell r="G104">
            <v>33</v>
          </cell>
        </row>
        <row r="107">
          <cell r="D107">
            <v>15</v>
          </cell>
          <cell r="E107">
            <v>2</v>
          </cell>
          <cell r="F107">
            <v>36</v>
          </cell>
          <cell r="G107">
            <v>5</v>
          </cell>
        </row>
        <row r="133">
          <cell r="D133">
            <v>13</v>
          </cell>
          <cell r="E133">
            <v>4</v>
          </cell>
          <cell r="F133">
            <v>0</v>
          </cell>
          <cell r="G133">
            <v>0</v>
          </cell>
        </row>
        <row r="135">
          <cell r="D135">
            <v>2</v>
          </cell>
          <cell r="E135">
            <v>2</v>
          </cell>
          <cell r="F135">
            <v>0</v>
          </cell>
          <cell r="G135">
            <v>0</v>
          </cell>
        </row>
        <row r="138">
          <cell r="D138">
            <v>8</v>
          </cell>
          <cell r="E138">
            <v>11</v>
          </cell>
          <cell r="F138">
            <v>0</v>
          </cell>
          <cell r="G138">
            <v>0</v>
          </cell>
        </row>
        <row r="139">
          <cell r="D139">
            <v>54</v>
          </cell>
          <cell r="E139">
            <v>3</v>
          </cell>
          <cell r="F139">
            <v>50</v>
          </cell>
          <cell r="G139">
            <v>10</v>
          </cell>
        </row>
        <row r="140">
          <cell r="D140">
            <v>1</v>
          </cell>
          <cell r="E140">
            <v>4</v>
          </cell>
          <cell r="F140">
            <v>5</v>
          </cell>
          <cell r="G140">
            <v>1</v>
          </cell>
        </row>
        <row r="152">
          <cell r="D152">
            <v>56</v>
          </cell>
          <cell r="E152">
            <v>4</v>
          </cell>
          <cell r="F152">
            <v>85</v>
          </cell>
          <cell r="G152">
            <v>17</v>
          </cell>
        </row>
        <row r="168">
          <cell r="D168">
            <v>2</v>
          </cell>
          <cell r="E168">
            <v>4</v>
          </cell>
          <cell r="F168">
            <v>0</v>
          </cell>
          <cell r="G168">
            <v>0</v>
          </cell>
        </row>
        <row r="177">
          <cell r="D177">
            <v>4</v>
          </cell>
          <cell r="E177">
            <v>15</v>
          </cell>
          <cell r="F177">
            <v>5</v>
          </cell>
          <cell r="G177">
            <v>1</v>
          </cell>
        </row>
        <row r="180">
          <cell r="D180">
            <v>34</v>
          </cell>
          <cell r="E180">
            <v>16</v>
          </cell>
          <cell r="F180">
            <v>10</v>
          </cell>
          <cell r="G180">
            <v>2</v>
          </cell>
        </row>
        <row r="187">
          <cell r="D187">
            <v>55</v>
          </cell>
          <cell r="E187">
            <v>10</v>
          </cell>
          <cell r="F187">
            <v>30</v>
          </cell>
          <cell r="G187">
            <v>6</v>
          </cell>
        </row>
        <row r="189">
          <cell r="D189">
            <v>26</v>
          </cell>
          <cell r="E189">
            <v>1</v>
          </cell>
          <cell r="F189">
            <v>5</v>
          </cell>
          <cell r="G189">
            <v>1</v>
          </cell>
        </row>
      </sheetData>
      <sheetData sheetId="16" refreshError="1"/>
      <sheetData sheetId="17">
        <row r="28">
          <cell r="D28">
            <v>46</v>
          </cell>
          <cell r="E28">
            <v>0</v>
          </cell>
          <cell r="F28">
            <v>5</v>
          </cell>
          <cell r="G28">
            <v>1</v>
          </cell>
        </row>
      </sheetData>
      <sheetData sheetId="18"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38">
          <cell r="D38">
            <v>6</v>
          </cell>
          <cell r="E38">
            <v>4</v>
          </cell>
          <cell r="F38">
            <v>5</v>
          </cell>
          <cell r="G38">
            <v>1</v>
          </cell>
        </row>
        <row r="50">
          <cell r="D50">
            <v>1</v>
          </cell>
          <cell r="E50">
            <v>2</v>
          </cell>
          <cell r="F50">
            <v>0</v>
          </cell>
          <cell r="G50">
            <v>0</v>
          </cell>
        </row>
        <row r="67">
          <cell r="D67">
            <v>1</v>
          </cell>
          <cell r="E67">
            <v>1</v>
          </cell>
          <cell r="F67">
            <v>0</v>
          </cell>
          <cell r="G67">
            <v>0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20"/>
  <sheetViews>
    <sheetView tabSelected="1" workbookViewId="0">
      <pane xSplit="9" ySplit="3" topLeftCell="W4" activePane="bottomRight" state="frozen"/>
      <selection pane="topRight" activeCell="J1" sqref="J1"/>
      <selection pane="bottomLeft" activeCell="A4" sqref="A4"/>
      <selection pane="bottomRight" activeCell="AI43" sqref="AI43"/>
    </sheetView>
  </sheetViews>
  <sheetFormatPr defaultColWidth="8.875" defaultRowHeight="14.3"/>
  <cols>
    <col min="1" max="1" width="46.75" bestFit="1" customWidth="1"/>
    <col min="2" max="9" width="5.625" customWidth="1"/>
    <col min="10" max="36" width="9.875" customWidth="1"/>
  </cols>
  <sheetData>
    <row r="1" spans="1:50" ht="17" thickBot="1">
      <c r="A1" s="876" t="s">
        <v>509</v>
      </c>
      <c r="B1" s="879" t="s">
        <v>347</v>
      </c>
      <c r="C1" s="880"/>
      <c r="D1" s="880"/>
      <c r="E1" s="880"/>
      <c r="F1" s="880"/>
      <c r="G1" s="880"/>
      <c r="H1" s="880"/>
      <c r="I1" s="881"/>
      <c r="J1" s="22" t="s">
        <v>9</v>
      </c>
      <c r="K1" s="22" t="s">
        <v>529</v>
      </c>
      <c r="L1" s="22" t="s">
        <v>562</v>
      </c>
      <c r="M1" s="22" t="s">
        <v>563</v>
      </c>
      <c r="N1" s="22" t="s">
        <v>564</v>
      </c>
      <c r="O1" s="22" t="s">
        <v>565</v>
      </c>
      <c r="P1" s="22" t="s">
        <v>566</v>
      </c>
      <c r="Q1" s="22" t="s">
        <v>435</v>
      </c>
      <c r="R1" s="22" t="s">
        <v>9</v>
      </c>
      <c r="S1" s="22" t="s">
        <v>436</v>
      </c>
      <c r="T1" s="22" t="s">
        <v>536</v>
      </c>
      <c r="U1" s="22" t="s">
        <v>537</v>
      </c>
      <c r="V1" s="22" t="s">
        <v>474</v>
      </c>
      <c r="W1" s="1" t="s">
        <v>475</v>
      </c>
      <c r="X1" s="22" t="s">
        <v>538</v>
      </c>
      <c r="Y1" s="22" t="s">
        <v>539</v>
      </c>
      <c r="Z1" s="22" t="s">
        <v>540</v>
      </c>
      <c r="AA1" s="1" t="s">
        <v>472</v>
      </c>
      <c r="AB1" s="1" t="s">
        <v>473</v>
      </c>
      <c r="AC1" s="22" t="s">
        <v>541</v>
      </c>
      <c r="AD1" s="22" t="s">
        <v>9</v>
      </c>
      <c r="AE1" s="22" t="s">
        <v>542</v>
      </c>
      <c r="AF1" s="22" t="s">
        <v>543</v>
      </c>
      <c r="AG1" s="22" t="s">
        <v>544</v>
      </c>
      <c r="AH1" s="22" t="s">
        <v>545</v>
      </c>
      <c r="AI1" s="22" t="s">
        <v>304</v>
      </c>
      <c r="AJ1" s="22" t="s">
        <v>9</v>
      </c>
      <c r="AK1" s="22" t="s">
        <v>547</v>
      </c>
      <c r="AL1" s="22" t="s">
        <v>548</v>
      </c>
      <c r="AM1" s="1" t="s">
        <v>549</v>
      </c>
      <c r="AN1" s="1" t="s">
        <v>550</v>
      </c>
      <c r="AO1" s="22" t="s">
        <v>551</v>
      </c>
      <c r="AP1" s="22" t="s">
        <v>552</v>
      </c>
      <c r="AQ1" s="1" t="s">
        <v>553</v>
      </c>
      <c r="AR1" s="22" t="s">
        <v>554</v>
      </c>
      <c r="AS1" s="22" t="s">
        <v>555</v>
      </c>
      <c r="AT1" s="1" t="s">
        <v>556</v>
      </c>
      <c r="AU1" s="22" t="s">
        <v>557</v>
      </c>
      <c r="AV1" s="22" t="s">
        <v>558</v>
      </c>
      <c r="AW1" s="22" t="s">
        <v>559</v>
      </c>
      <c r="AX1" s="22" t="s">
        <v>560</v>
      </c>
    </row>
    <row r="2" spans="1:50">
      <c r="A2" s="877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868" t="s">
        <v>873</v>
      </c>
      <c r="I2" s="869"/>
      <c r="J2" s="56">
        <v>41518</v>
      </c>
      <c r="K2" s="42">
        <v>44075</v>
      </c>
      <c r="L2" s="4">
        <v>46266</v>
      </c>
      <c r="M2" s="4">
        <v>37895</v>
      </c>
      <c r="N2" s="5">
        <v>40817</v>
      </c>
      <c r="O2" s="5">
        <v>43374</v>
      </c>
      <c r="P2" s="5">
        <v>45931</v>
      </c>
      <c r="Q2" s="42">
        <v>48122</v>
      </c>
      <c r="R2" s="56">
        <v>39753</v>
      </c>
      <c r="S2" s="41">
        <v>41944</v>
      </c>
      <c r="T2" s="41">
        <v>44866</v>
      </c>
      <c r="U2" s="4">
        <v>47788</v>
      </c>
      <c r="V2" s="38">
        <v>39052</v>
      </c>
      <c r="W2" s="38">
        <v>41974</v>
      </c>
      <c r="X2" s="4">
        <v>44531</v>
      </c>
      <c r="Y2" s="4">
        <v>10197</v>
      </c>
      <c r="Z2" s="5">
        <v>37622</v>
      </c>
      <c r="AA2" s="38">
        <v>39814</v>
      </c>
      <c r="AB2" s="38">
        <v>42370</v>
      </c>
      <c r="AC2" s="4">
        <v>45292</v>
      </c>
      <c r="AD2" s="56">
        <v>11324</v>
      </c>
      <c r="AE2" s="41">
        <v>39479</v>
      </c>
      <c r="AF2" s="41">
        <v>41671</v>
      </c>
      <c r="AG2" s="41">
        <v>44228</v>
      </c>
      <c r="AH2" s="41">
        <v>46784</v>
      </c>
      <c r="AI2" s="41">
        <v>39508</v>
      </c>
      <c r="AJ2" s="56">
        <v>42064</v>
      </c>
      <c r="AK2" s="4">
        <v>44621</v>
      </c>
      <c r="AL2" s="4">
        <v>46813</v>
      </c>
      <c r="AM2" s="4">
        <v>38443</v>
      </c>
      <c r="AN2" s="4">
        <v>41000</v>
      </c>
      <c r="AO2" s="4">
        <v>43556</v>
      </c>
      <c r="AP2" s="4">
        <v>9588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878"/>
      <c r="B3" s="59" t="s">
        <v>348</v>
      </c>
      <c r="C3" s="64" t="s">
        <v>349</v>
      </c>
      <c r="D3" s="60" t="s">
        <v>348</v>
      </c>
      <c r="E3" s="61" t="s">
        <v>349</v>
      </c>
      <c r="F3" s="60" t="s">
        <v>348</v>
      </c>
      <c r="G3" s="70" t="s">
        <v>349</v>
      </c>
      <c r="H3" s="60" t="s">
        <v>348</v>
      </c>
      <c r="I3" s="681" t="s">
        <v>349</v>
      </c>
      <c r="J3" s="532"/>
      <c r="K3" s="6" t="s">
        <v>397</v>
      </c>
      <c r="L3" s="545" t="s">
        <v>395</v>
      </c>
      <c r="M3" s="73" t="s">
        <v>706</v>
      </c>
      <c r="N3" s="24" t="s">
        <v>680</v>
      </c>
      <c r="O3" s="577" t="s">
        <v>403</v>
      </c>
      <c r="P3" s="24" t="s">
        <v>380</v>
      </c>
      <c r="Q3" s="8" t="s">
        <v>700</v>
      </c>
      <c r="R3" s="7"/>
      <c r="S3" s="10" t="s">
        <v>390</v>
      </c>
      <c r="T3" s="9" t="s">
        <v>706</v>
      </c>
      <c r="U3" s="11" t="s">
        <v>396</v>
      </c>
      <c r="V3" s="9" t="s">
        <v>857</v>
      </c>
      <c r="W3" s="664" t="s">
        <v>883</v>
      </c>
      <c r="X3" s="11" t="s">
        <v>593</v>
      </c>
      <c r="Y3" s="21" t="s">
        <v>639</v>
      </c>
      <c r="Z3" s="9" t="s">
        <v>922</v>
      </c>
      <c r="AA3" s="11" t="s">
        <v>929</v>
      </c>
      <c r="AB3" s="9" t="s">
        <v>951</v>
      </c>
      <c r="AC3" s="11" t="s">
        <v>390</v>
      </c>
      <c r="AD3" s="9"/>
      <c r="AE3" s="11" t="s">
        <v>392</v>
      </c>
      <c r="AF3" s="9" t="s">
        <v>380</v>
      </c>
      <c r="AG3" s="10" t="s">
        <v>722</v>
      </c>
      <c r="AH3" s="9" t="s">
        <v>680</v>
      </c>
      <c r="AI3" s="10" t="s">
        <v>403</v>
      </c>
      <c r="AJ3" s="9"/>
      <c r="AK3" s="6"/>
      <c r="AL3" s="11"/>
      <c r="AM3" s="55"/>
      <c r="AN3" s="54"/>
      <c r="AO3" s="7"/>
      <c r="AP3" s="11"/>
      <c r="AQ3" s="55"/>
      <c r="AR3" s="9"/>
      <c r="AS3" s="9"/>
      <c r="AT3" s="465"/>
      <c r="AU3" s="11"/>
      <c r="AV3" s="9"/>
      <c r="AW3" s="785"/>
      <c r="AX3" s="465"/>
    </row>
    <row r="4" spans="1:50" ht="21.1">
      <c r="A4" s="82" t="s">
        <v>55</v>
      </c>
      <c r="B4" s="260"/>
      <c r="C4" s="214"/>
      <c r="D4" s="133"/>
      <c r="E4" s="134"/>
      <c r="F4" s="135"/>
      <c r="G4" s="136"/>
      <c r="H4" s="682"/>
      <c r="I4" s="676"/>
      <c r="J4" s="534"/>
      <c r="K4" s="96"/>
      <c r="L4" s="104">
        <v>15</v>
      </c>
      <c r="M4" s="75">
        <v>15</v>
      </c>
      <c r="N4" s="75" t="s">
        <v>379</v>
      </c>
      <c r="O4" s="75">
        <v>14</v>
      </c>
      <c r="P4" s="75"/>
      <c r="Q4" s="97" t="s">
        <v>384</v>
      </c>
      <c r="R4" s="163"/>
      <c r="S4" s="109"/>
      <c r="T4" s="109">
        <v>15</v>
      </c>
      <c r="U4" s="102" t="s">
        <v>379</v>
      </c>
      <c r="V4" s="101" t="s">
        <v>379</v>
      </c>
      <c r="W4" s="101"/>
      <c r="X4" s="102">
        <v>15</v>
      </c>
      <c r="Y4" s="102" t="s">
        <v>379</v>
      </c>
      <c r="Z4" s="102" t="s">
        <v>339</v>
      </c>
      <c r="AA4" s="101" t="s">
        <v>339</v>
      </c>
      <c r="AB4" s="101" t="s">
        <v>379</v>
      </c>
      <c r="AC4" s="102"/>
      <c r="AD4" s="98"/>
      <c r="AE4" s="99"/>
      <c r="AF4" s="99"/>
      <c r="AG4" s="99">
        <v>15</v>
      </c>
      <c r="AH4" s="99" t="s">
        <v>379</v>
      </c>
      <c r="AI4" s="99"/>
      <c r="AJ4" s="98"/>
      <c r="AK4" s="102"/>
      <c r="AL4" s="138"/>
      <c r="AM4" s="138"/>
      <c r="AN4" s="102"/>
      <c r="AO4" s="102"/>
      <c r="AP4" s="138"/>
      <c r="AQ4" s="102"/>
      <c r="AR4" s="102"/>
      <c r="AS4" s="138"/>
      <c r="AT4" s="102"/>
      <c r="AU4" s="102"/>
      <c r="AV4" s="102"/>
    </row>
    <row r="5" spans="1:50" ht="16.3">
      <c r="A5" s="246" t="s">
        <v>1</v>
      </c>
      <c r="B5" s="261">
        <f>SUM(L5+M5+N5+O5+P5+U5+X5+Y5+Z5+AC5+AK5+AL5+AK5+AO5+AR5+AS5+AU5+AV5+AW5+AX5+AP5)+66</f>
        <v>73</v>
      </c>
      <c r="C5" s="215">
        <f>B5</f>
        <v>73</v>
      </c>
      <c r="D5" s="139"/>
      <c r="E5" s="140"/>
      <c r="F5" s="135"/>
      <c r="G5" s="136"/>
      <c r="H5" s="683"/>
      <c r="I5" s="676"/>
      <c r="J5" s="534"/>
      <c r="K5" s="96"/>
      <c r="L5" s="104">
        <v>1</v>
      </c>
      <c r="M5" s="75">
        <v>1</v>
      </c>
      <c r="N5" s="75">
        <v>1</v>
      </c>
      <c r="O5" s="75">
        <v>1</v>
      </c>
      <c r="P5" s="75"/>
      <c r="Q5" s="96">
        <v>1</v>
      </c>
      <c r="R5" s="105"/>
      <c r="S5" s="96"/>
      <c r="T5" s="96">
        <v>1</v>
      </c>
      <c r="U5" s="75">
        <v>1</v>
      </c>
      <c r="V5" s="106">
        <v>1</v>
      </c>
      <c r="W5" s="106"/>
      <c r="X5" s="75">
        <v>1</v>
      </c>
      <c r="Y5" s="75">
        <v>1</v>
      </c>
      <c r="Z5" s="75"/>
      <c r="AA5" s="106"/>
      <c r="AB5" s="106">
        <v>1</v>
      </c>
      <c r="AC5" s="75"/>
      <c r="AD5" s="105"/>
      <c r="AE5" s="96"/>
      <c r="AF5" s="96"/>
      <c r="AG5" s="96">
        <v>1</v>
      </c>
      <c r="AH5" s="96">
        <v>1</v>
      </c>
      <c r="AI5" s="96"/>
      <c r="AJ5" s="105"/>
      <c r="AK5" s="75"/>
      <c r="AL5" s="141"/>
      <c r="AM5" s="141"/>
      <c r="AN5" s="75"/>
      <c r="AO5" s="75"/>
      <c r="AP5" s="141"/>
      <c r="AQ5" s="75"/>
      <c r="AR5" s="75"/>
      <c r="AS5" s="141"/>
      <c r="AT5" s="75"/>
      <c r="AU5" s="75"/>
      <c r="AV5" s="75"/>
    </row>
    <row r="6" spans="1:50" ht="16.3">
      <c r="A6" s="246" t="s">
        <v>2</v>
      </c>
      <c r="B6" s="261">
        <f>SUM(L6+M6+N6+O6+P6+U6+X6+Y6+Z6+AC6+AK6+AL6+AK6+AO6+AR6+AS6+AU6+AV6+AW6+AX6)+9</f>
        <v>9</v>
      </c>
      <c r="C6" s="215">
        <f t="shared" ref="C6:C13" si="0">B6</f>
        <v>9</v>
      </c>
      <c r="D6" s="139"/>
      <c r="E6" s="140"/>
      <c r="F6" s="135"/>
      <c r="G6" s="136"/>
      <c r="H6" s="683"/>
      <c r="I6" s="676"/>
      <c r="J6" s="534"/>
      <c r="K6" s="96"/>
      <c r="L6" s="104"/>
      <c r="M6" s="75"/>
      <c r="N6" s="75"/>
      <c r="O6" s="75"/>
      <c r="P6" s="75"/>
      <c r="Q6" s="97"/>
      <c r="R6" s="163"/>
      <c r="S6" s="109"/>
      <c r="T6" s="109"/>
      <c r="U6" s="100"/>
      <c r="V6" s="110"/>
      <c r="W6" s="110"/>
      <c r="X6" s="100"/>
      <c r="Y6" s="100"/>
      <c r="Z6" s="100"/>
      <c r="AA6" s="110"/>
      <c r="AB6" s="110"/>
      <c r="AC6" s="100"/>
      <c r="AD6" s="108"/>
      <c r="AE6" s="109"/>
      <c r="AF6" s="109"/>
      <c r="AG6" s="109"/>
      <c r="AH6" s="109"/>
      <c r="AI6" s="109"/>
      <c r="AJ6" s="108"/>
      <c r="AK6" s="100"/>
      <c r="AL6" s="142"/>
      <c r="AM6" s="142"/>
      <c r="AN6" s="100"/>
      <c r="AO6" s="100"/>
      <c r="AP6" s="142"/>
      <c r="AQ6" s="100"/>
      <c r="AR6" s="100"/>
      <c r="AS6" s="142"/>
      <c r="AT6" s="100"/>
      <c r="AU6" s="100"/>
      <c r="AV6" s="100"/>
    </row>
    <row r="7" spans="1:50" ht="16.3">
      <c r="A7" s="87" t="s">
        <v>363</v>
      </c>
      <c r="B7" s="260">
        <f>SUM(B5+B6)</f>
        <v>82</v>
      </c>
      <c r="C7" s="215">
        <f t="shared" si="0"/>
        <v>82</v>
      </c>
      <c r="D7" s="133"/>
      <c r="E7" s="134"/>
      <c r="F7" s="135"/>
      <c r="G7" s="136"/>
      <c r="H7" s="683"/>
      <c r="I7" s="676"/>
      <c r="J7" s="534"/>
      <c r="K7" s="96"/>
      <c r="L7" s="104"/>
      <c r="M7" s="75"/>
      <c r="N7" s="75"/>
      <c r="O7" s="75"/>
      <c r="P7" s="75"/>
      <c r="Q7" s="97"/>
      <c r="R7" s="163"/>
      <c r="S7" s="109"/>
      <c r="T7" s="109"/>
      <c r="U7" s="100"/>
      <c r="V7" s="110"/>
      <c r="W7" s="110"/>
      <c r="X7" s="100"/>
      <c r="Y7" s="100"/>
      <c r="Z7" s="100"/>
      <c r="AA7" s="110"/>
      <c r="AB7" s="110"/>
      <c r="AC7" s="100"/>
      <c r="AD7" s="108"/>
      <c r="AE7" s="109"/>
      <c r="AF7" s="109"/>
      <c r="AG7" s="109"/>
      <c r="AH7" s="109"/>
      <c r="AI7" s="109"/>
      <c r="AJ7" s="108"/>
      <c r="AK7" s="100"/>
      <c r="AL7" s="142"/>
      <c r="AM7" s="142"/>
      <c r="AN7" s="100"/>
      <c r="AO7" s="100"/>
      <c r="AP7" s="142"/>
      <c r="AQ7" s="100"/>
      <c r="AR7" s="100"/>
      <c r="AS7" s="142"/>
      <c r="AT7" s="100"/>
      <c r="AU7" s="100"/>
      <c r="AV7" s="100"/>
    </row>
    <row r="8" spans="1:50" ht="16.3">
      <c r="A8" s="246" t="s">
        <v>362</v>
      </c>
      <c r="B8" s="261">
        <f>SUM(L8+M8+N8+O8+P8+U8+X8+Y8+Z8+AC8+AK8+AL8+AK8+AO8+AR8+AS8+AU8+AV8+AW8+AX8+AP8)+1</f>
        <v>1</v>
      </c>
      <c r="C8" s="215">
        <f t="shared" si="0"/>
        <v>1</v>
      </c>
      <c r="D8" s="139"/>
      <c r="E8" s="140"/>
      <c r="F8" s="135"/>
      <c r="G8" s="136"/>
      <c r="H8" s="683"/>
      <c r="I8" s="676"/>
      <c r="J8" s="534"/>
      <c r="K8" s="96"/>
      <c r="L8" s="104"/>
      <c r="M8" s="75"/>
      <c r="N8" s="75"/>
      <c r="O8" s="75"/>
      <c r="P8" s="75"/>
      <c r="Q8" s="97"/>
      <c r="R8" s="163"/>
      <c r="S8" s="109"/>
      <c r="T8" s="109"/>
      <c r="U8" s="100"/>
      <c r="V8" s="110"/>
      <c r="W8" s="110"/>
      <c r="X8" s="100"/>
      <c r="Y8" s="100"/>
      <c r="Z8" s="100"/>
      <c r="AA8" s="110"/>
      <c r="AB8" s="110"/>
      <c r="AC8" s="100"/>
      <c r="AD8" s="108"/>
      <c r="AE8" s="109"/>
      <c r="AF8" s="109"/>
      <c r="AG8" s="109"/>
      <c r="AH8" s="109"/>
      <c r="AI8" s="109"/>
      <c r="AJ8" s="108"/>
      <c r="AK8" s="100"/>
      <c r="AL8" s="142"/>
      <c r="AM8" s="142"/>
      <c r="AN8" s="100"/>
      <c r="AO8" s="100"/>
      <c r="AP8" s="142"/>
      <c r="AQ8" s="100"/>
      <c r="AR8" s="100"/>
      <c r="AS8" s="142"/>
      <c r="AT8" s="100"/>
      <c r="AU8" s="100"/>
      <c r="AV8" s="100"/>
    </row>
    <row r="9" spans="1:50" ht="16.3">
      <c r="A9" s="246" t="s">
        <v>5</v>
      </c>
      <c r="B9" s="261">
        <f>SUM(L9+M9+N9+O9+P9+U9+X9+Y9+Z9+AC9+AK9+AL9+AK9+AO9+AR9+AS9+AU9+AV9+AW9+AX9+AP9)+2</f>
        <v>3</v>
      </c>
      <c r="C9" s="215">
        <f t="shared" si="0"/>
        <v>3</v>
      </c>
      <c r="D9" s="139"/>
      <c r="E9" s="140"/>
      <c r="F9" s="135"/>
      <c r="G9" s="136"/>
      <c r="H9" s="683"/>
      <c r="I9" s="676"/>
      <c r="J9" s="534"/>
      <c r="K9" s="96"/>
      <c r="L9" s="104">
        <v>1</v>
      </c>
      <c r="M9" s="75"/>
      <c r="N9" s="75"/>
      <c r="O9" s="75"/>
      <c r="P9" s="75"/>
      <c r="Q9" s="97">
        <v>7</v>
      </c>
      <c r="R9" s="163"/>
      <c r="S9" s="109"/>
      <c r="T9" s="109">
        <v>0</v>
      </c>
      <c r="U9" s="100"/>
      <c r="V9" s="110"/>
      <c r="W9" s="110"/>
      <c r="X9" s="100"/>
      <c r="Y9" s="100"/>
      <c r="Z9" s="100"/>
      <c r="AA9" s="110"/>
      <c r="AB9" s="110"/>
      <c r="AC9" s="100"/>
      <c r="AD9" s="108"/>
      <c r="AE9" s="109"/>
      <c r="AF9" s="109"/>
      <c r="AG9" s="109"/>
      <c r="AH9" s="109">
        <v>4</v>
      </c>
      <c r="AI9" s="109"/>
      <c r="AJ9" s="108"/>
      <c r="AK9" s="100"/>
      <c r="AL9" s="142"/>
      <c r="AM9" s="142"/>
      <c r="AN9" s="100"/>
      <c r="AO9" s="100"/>
      <c r="AP9" s="142"/>
      <c r="AQ9" s="100"/>
      <c r="AR9" s="100"/>
      <c r="AS9" s="142"/>
      <c r="AT9" s="100"/>
      <c r="AU9" s="100"/>
      <c r="AV9" s="100"/>
    </row>
    <row r="10" spans="1:50" ht="16.3">
      <c r="A10" s="246" t="s">
        <v>6</v>
      </c>
      <c r="B10" s="261">
        <f>SUM(L10+M10+N10+O10+P10+U10+X10+Y10+Z10+AC10+AK10+AL10+AK10+AO10+AR10+AS10+AU10+AV10+AW10+AX10+AP10)+3</f>
        <v>4</v>
      </c>
      <c r="C10" s="215">
        <f t="shared" si="0"/>
        <v>4</v>
      </c>
      <c r="D10" s="139"/>
      <c r="E10" s="140"/>
      <c r="F10" s="135"/>
      <c r="G10" s="136"/>
      <c r="H10" s="683"/>
      <c r="I10" s="676"/>
      <c r="J10" s="534"/>
      <c r="K10" s="96"/>
      <c r="L10" s="104">
        <v>1</v>
      </c>
      <c r="M10" s="75"/>
      <c r="N10" s="75"/>
      <c r="O10" s="75"/>
      <c r="P10" s="75"/>
      <c r="Q10" s="97">
        <v>7</v>
      </c>
      <c r="R10" s="163"/>
      <c r="S10" s="109"/>
      <c r="T10" s="109">
        <v>4</v>
      </c>
      <c r="U10" s="100"/>
      <c r="V10" s="110"/>
      <c r="W10" s="110"/>
      <c r="X10" s="100"/>
      <c r="Y10" s="100"/>
      <c r="Z10" s="100"/>
      <c r="AA10" s="110"/>
      <c r="AB10" s="110"/>
      <c r="AC10" s="100"/>
      <c r="AD10" s="108"/>
      <c r="AE10" s="109"/>
      <c r="AF10" s="109"/>
      <c r="AG10" s="109"/>
      <c r="AH10" s="109">
        <v>6</v>
      </c>
      <c r="AI10" s="109"/>
      <c r="AJ10" s="108"/>
      <c r="AK10" s="100"/>
      <c r="AL10" s="142"/>
      <c r="AM10" s="142"/>
      <c r="AN10" s="100"/>
      <c r="AO10" s="100"/>
      <c r="AP10" s="142"/>
      <c r="AQ10" s="100"/>
      <c r="AR10" s="100"/>
      <c r="AS10" s="142"/>
      <c r="AT10" s="100"/>
      <c r="AU10" s="100"/>
      <c r="AV10" s="100"/>
    </row>
    <row r="11" spans="1:50" ht="16.3">
      <c r="A11" s="246" t="s">
        <v>368</v>
      </c>
      <c r="B11" s="263">
        <f>SUM(B9/B10)*100</f>
        <v>75</v>
      </c>
      <c r="C11" s="215">
        <f t="shared" si="0"/>
        <v>75</v>
      </c>
      <c r="D11" s="139"/>
      <c r="E11" s="140"/>
      <c r="F11" s="135"/>
      <c r="G11" s="136"/>
      <c r="H11" s="683"/>
      <c r="I11" s="676"/>
      <c r="J11" s="534"/>
      <c r="K11" s="96"/>
      <c r="L11" s="104">
        <v>100</v>
      </c>
      <c r="M11" s="75"/>
      <c r="N11" s="75"/>
      <c r="O11" s="75"/>
      <c r="P11" s="75"/>
      <c r="Q11" s="97">
        <v>100</v>
      </c>
      <c r="R11" s="163"/>
      <c r="S11" s="109"/>
      <c r="T11" s="109">
        <v>0</v>
      </c>
      <c r="U11" s="100"/>
      <c r="V11" s="110"/>
      <c r="W11" s="110"/>
      <c r="X11" s="100"/>
      <c r="Y11" s="100"/>
      <c r="Z11" s="100"/>
      <c r="AA11" s="110"/>
      <c r="AB11" s="110"/>
      <c r="AC11" s="100"/>
      <c r="AD11" s="108"/>
      <c r="AE11" s="109"/>
      <c r="AF11" s="109"/>
      <c r="AG11" s="109"/>
      <c r="AH11" s="109">
        <v>67</v>
      </c>
      <c r="AI11" s="109"/>
      <c r="AJ11" s="108"/>
      <c r="AK11" s="100"/>
      <c r="AL11" s="142"/>
      <c r="AM11" s="142"/>
      <c r="AN11" s="100"/>
      <c r="AO11" s="100"/>
      <c r="AP11" s="142"/>
      <c r="AQ11" s="100"/>
      <c r="AR11" s="100"/>
      <c r="AS11" s="142"/>
      <c r="AT11" s="100"/>
      <c r="AU11" s="100"/>
      <c r="AV11" s="100"/>
    </row>
    <row r="12" spans="1:50" ht="16.3">
      <c r="A12" s="87" t="s">
        <v>3</v>
      </c>
      <c r="B12" s="260">
        <f>SUM(L12+M12+N12+O12+P12+U12+X12+Y12+Z12+AC12+AK12+AL12+AK12+AO12+AR12+AS12+AU12+AV12+AW12+AX12+AP12)+21</f>
        <v>23</v>
      </c>
      <c r="C12" s="215">
        <f t="shared" si="0"/>
        <v>23</v>
      </c>
      <c r="D12" s="139"/>
      <c r="E12" s="140"/>
      <c r="F12" s="135"/>
      <c r="G12" s="136"/>
      <c r="H12" s="683"/>
      <c r="I12" s="676"/>
      <c r="J12" s="534"/>
      <c r="K12" s="96"/>
      <c r="L12" s="104"/>
      <c r="M12" s="75"/>
      <c r="N12" s="75">
        <v>1</v>
      </c>
      <c r="O12" s="75"/>
      <c r="P12" s="75"/>
      <c r="Q12" s="97"/>
      <c r="R12" s="163"/>
      <c r="S12" s="109"/>
      <c r="T12" s="109">
        <v>1</v>
      </c>
      <c r="U12" s="100"/>
      <c r="V12" s="110"/>
      <c r="W12" s="110"/>
      <c r="X12" s="100">
        <v>1</v>
      </c>
      <c r="Y12" s="100"/>
      <c r="Z12" s="100"/>
      <c r="AA12" s="110"/>
      <c r="AB12" s="110"/>
      <c r="AC12" s="100"/>
      <c r="AD12" s="108"/>
      <c r="AE12" s="109"/>
      <c r="AF12" s="109"/>
      <c r="AG12" s="109"/>
      <c r="AH12" s="109"/>
      <c r="AI12" s="109"/>
      <c r="AJ12" s="108"/>
      <c r="AK12" s="100"/>
      <c r="AL12" s="142"/>
      <c r="AM12" s="142"/>
      <c r="AN12" s="100"/>
      <c r="AO12" s="100"/>
      <c r="AP12" s="142"/>
      <c r="AQ12" s="100"/>
      <c r="AR12" s="100"/>
      <c r="AS12" s="142"/>
      <c r="AT12" s="100"/>
      <c r="AU12" s="100"/>
      <c r="AV12" s="100"/>
    </row>
    <row r="13" spans="1:50" ht="17" thickBot="1">
      <c r="A13" s="88" t="s">
        <v>4</v>
      </c>
      <c r="B13" s="262">
        <f>SUM(L13+M13+N13+O13+P13+U13+X13+Y13+Z13+AC13+AK13+AL13+AK13+AO13+AR13+AS13+AU13+AV13+AW13+AX13+AP13)+109</f>
        <v>121</v>
      </c>
      <c r="C13" s="215">
        <f t="shared" si="0"/>
        <v>121</v>
      </c>
      <c r="D13" s="144"/>
      <c r="E13" s="145"/>
      <c r="F13" s="146"/>
      <c r="G13" s="147"/>
      <c r="H13" s="684"/>
      <c r="I13" s="677"/>
      <c r="J13" s="535"/>
      <c r="K13" s="114"/>
      <c r="L13" s="113">
        <v>2</v>
      </c>
      <c r="M13" s="112"/>
      <c r="N13" s="112">
        <v>5</v>
      </c>
      <c r="O13" s="112"/>
      <c r="P13" s="112"/>
      <c r="Q13" s="115">
        <v>14</v>
      </c>
      <c r="R13" s="164"/>
      <c r="S13" s="118"/>
      <c r="T13" s="114">
        <v>5</v>
      </c>
      <c r="U13" s="116"/>
      <c r="V13" s="120"/>
      <c r="W13" s="120"/>
      <c r="X13" s="116">
        <v>5</v>
      </c>
      <c r="Y13" s="116"/>
      <c r="Z13" s="116"/>
      <c r="AA13" s="120"/>
      <c r="AB13" s="120"/>
      <c r="AC13" s="116"/>
      <c r="AD13" s="117"/>
      <c r="AE13" s="118"/>
      <c r="AF13" s="118"/>
      <c r="AG13" s="118"/>
      <c r="AH13" s="118">
        <v>8</v>
      </c>
      <c r="AI13" s="118"/>
      <c r="AJ13" s="117"/>
      <c r="AK13" s="116"/>
      <c r="AL13" s="149"/>
      <c r="AM13" s="149"/>
      <c r="AN13" s="116"/>
      <c r="AO13" s="116"/>
      <c r="AP13" s="149"/>
      <c r="AQ13" s="116"/>
      <c r="AR13" s="116"/>
      <c r="AS13" s="149"/>
      <c r="AT13" s="116"/>
      <c r="AU13" s="116"/>
      <c r="AV13" s="116"/>
    </row>
    <row r="14" spans="1:50" ht="21.1">
      <c r="A14" s="82" t="s">
        <v>282</v>
      </c>
      <c r="B14" s="260"/>
      <c r="C14" s="214"/>
      <c r="D14" s="133"/>
      <c r="E14" s="134"/>
      <c r="F14" s="135"/>
      <c r="G14" s="136"/>
      <c r="H14" s="683"/>
      <c r="I14" s="676"/>
      <c r="J14" s="534"/>
      <c r="K14" s="96" t="s">
        <v>394</v>
      </c>
      <c r="L14" s="104" t="s">
        <v>394</v>
      </c>
      <c r="M14" s="75" t="s">
        <v>394</v>
      </c>
      <c r="N14" s="75" t="s">
        <v>375</v>
      </c>
      <c r="O14" s="75">
        <v>15</v>
      </c>
      <c r="P14" s="75">
        <v>15</v>
      </c>
      <c r="Q14" s="97"/>
      <c r="R14" s="163"/>
      <c r="S14" s="109" t="s">
        <v>394</v>
      </c>
      <c r="T14" s="109" t="s">
        <v>394</v>
      </c>
      <c r="U14" s="100"/>
      <c r="V14" s="101" t="s">
        <v>375</v>
      </c>
      <c r="W14" s="101">
        <v>15</v>
      </c>
      <c r="X14" s="102">
        <v>10</v>
      </c>
      <c r="Y14" s="102" t="s">
        <v>375</v>
      </c>
      <c r="Z14" s="102">
        <v>15</v>
      </c>
      <c r="AA14" s="101">
        <v>15</v>
      </c>
      <c r="AB14" s="101" t="s">
        <v>375</v>
      </c>
      <c r="AC14" s="102">
        <v>15</v>
      </c>
      <c r="AD14" s="98"/>
      <c r="AE14" s="99"/>
      <c r="AF14" s="99"/>
      <c r="AG14" s="99"/>
      <c r="AH14" s="99"/>
      <c r="AI14" s="99"/>
      <c r="AJ14" s="98"/>
      <c r="AK14" s="102"/>
      <c r="AL14" s="138"/>
      <c r="AM14" s="138"/>
      <c r="AN14" s="102"/>
      <c r="AO14" s="102"/>
      <c r="AP14" s="138"/>
      <c r="AQ14" s="102"/>
      <c r="AR14" s="102"/>
      <c r="AS14" s="138"/>
      <c r="AT14" s="102"/>
      <c r="AU14" s="102"/>
      <c r="AV14" s="102"/>
    </row>
    <row r="15" spans="1:50" ht="16.3">
      <c r="A15" s="246" t="s">
        <v>1</v>
      </c>
      <c r="B15" s="261">
        <f>SUM(L15+M15+N15+O15+P15+U15+X15+Y15+Z15+AC15+AK15+AL15+AK15+AO15+AR15+AS15+AU15+AV15+AW15+AX15+AP15)</f>
        <v>5</v>
      </c>
      <c r="C15" s="215">
        <f>SUM(L15+M15+N15+O15+P15+U15+Y15+Z15+X15+AC15+AL15+AK15+AL15+AP15+AS15+AO15+AV15+AW15+AX15+AY15+AR15+AU15)+66</f>
        <v>71</v>
      </c>
      <c r="D15" s="139"/>
      <c r="E15" s="140"/>
      <c r="F15" s="135"/>
      <c r="G15" s="136"/>
      <c r="H15" s="683"/>
      <c r="I15" s="676"/>
      <c r="J15" s="534"/>
      <c r="K15" s="96"/>
      <c r="L15" s="104"/>
      <c r="M15" s="75"/>
      <c r="N15" s="75"/>
      <c r="O15" s="75">
        <v>1</v>
      </c>
      <c r="P15" s="75">
        <v>1</v>
      </c>
      <c r="Q15" s="97"/>
      <c r="R15" s="163"/>
      <c r="S15" s="109"/>
      <c r="T15" s="109"/>
      <c r="U15" s="100"/>
      <c r="V15" s="110"/>
      <c r="W15" s="110">
        <v>1</v>
      </c>
      <c r="X15" s="100">
        <v>1</v>
      </c>
      <c r="Y15" s="100"/>
      <c r="Z15" s="100">
        <v>1</v>
      </c>
      <c r="AA15" s="110">
        <v>1</v>
      </c>
      <c r="AB15" s="110"/>
      <c r="AC15" s="100">
        <v>1</v>
      </c>
      <c r="AD15" s="108"/>
      <c r="AE15" s="109"/>
      <c r="AF15" s="109"/>
      <c r="AG15" s="109"/>
      <c r="AH15" s="109"/>
      <c r="AI15" s="109"/>
      <c r="AJ15" s="108"/>
      <c r="AK15" s="100"/>
      <c r="AL15" s="142"/>
      <c r="AM15" s="142"/>
      <c r="AN15" s="100"/>
      <c r="AO15" s="100"/>
      <c r="AP15" s="142"/>
      <c r="AQ15" s="100"/>
      <c r="AR15" s="100"/>
      <c r="AS15" s="142"/>
      <c r="AT15" s="100"/>
      <c r="AU15" s="100"/>
      <c r="AV15" s="100"/>
    </row>
    <row r="16" spans="1:50" ht="16.3">
      <c r="A16" s="246" t="s">
        <v>2</v>
      </c>
      <c r="B16" s="261">
        <f>SUM(L16+M16+N16+O16+P16+U16+X16+Y16+Z16+AC16+AK16+AL16+AK16+AO16+AR16+AS16+AU16+AV16+AW16+AX16+AP16)</f>
        <v>2</v>
      </c>
      <c r="C16" s="215">
        <f>SUM(L16+M16+N16+O16+P16+U16+Y16+Z16+X16+AC16+AL16+AK16+AL16+AP16+AS16+AO16+AV16+AW16+AX16+AY16+AR16+AU16)+3</f>
        <v>5</v>
      </c>
      <c r="D16" s="139"/>
      <c r="E16" s="140"/>
      <c r="F16" s="135"/>
      <c r="G16" s="136"/>
      <c r="H16" s="683"/>
      <c r="I16" s="676"/>
      <c r="J16" s="534"/>
      <c r="K16" s="96"/>
      <c r="L16" s="104"/>
      <c r="M16" s="75"/>
      <c r="N16" s="75">
        <v>1</v>
      </c>
      <c r="O16" s="75"/>
      <c r="P16" s="75"/>
      <c r="Q16" s="97"/>
      <c r="R16" s="163"/>
      <c r="S16" s="109"/>
      <c r="T16" s="109"/>
      <c r="U16" s="100"/>
      <c r="V16" s="110">
        <v>1</v>
      </c>
      <c r="W16" s="110"/>
      <c r="X16" s="100"/>
      <c r="Y16" s="100">
        <v>1</v>
      </c>
      <c r="Z16" s="100"/>
      <c r="AA16" s="110"/>
      <c r="AB16" s="110">
        <v>1</v>
      </c>
      <c r="AC16" s="100"/>
      <c r="AD16" s="108"/>
      <c r="AE16" s="109"/>
      <c r="AF16" s="109"/>
      <c r="AG16" s="109"/>
      <c r="AH16" s="109"/>
      <c r="AI16" s="109"/>
      <c r="AJ16" s="108"/>
      <c r="AK16" s="100"/>
      <c r="AL16" s="142"/>
      <c r="AM16" s="142"/>
      <c r="AN16" s="100"/>
      <c r="AO16" s="100"/>
      <c r="AP16" s="142"/>
      <c r="AQ16" s="100"/>
      <c r="AR16" s="100"/>
      <c r="AS16" s="142"/>
      <c r="AT16" s="100"/>
      <c r="AU16" s="100"/>
      <c r="AV16" s="100"/>
    </row>
    <row r="17" spans="1:48" ht="16.3">
      <c r="A17" s="87" t="s">
        <v>363</v>
      </c>
      <c r="B17" s="260">
        <f>SUM(B15+B16)</f>
        <v>7</v>
      </c>
      <c r="C17" s="214">
        <f>SUM(C15+C16)</f>
        <v>76</v>
      </c>
      <c r="D17" s="133"/>
      <c r="E17" s="134"/>
      <c r="F17" s="135"/>
      <c r="G17" s="136"/>
      <c r="H17" s="683"/>
      <c r="I17" s="676"/>
      <c r="J17" s="534"/>
      <c r="K17" s="96"/>
      <c r="L17" s="104"/>
      <c r="M17" s="75"/>
      <c r="N17" s="75"/>
      <c r="O17" s="75"/>
      <c r="P17" s="75"/>
      <c r="Q17" s="97"/>
      <c r="R17" s="163"/>
      <c r="S17" s="109"/>
      <c r="T17" s="109"/>
      <c r="U17" s="100"/>
      <c r="V17" s="110"/>
      <c r="W17" s="110"/>
      <c r="X17" s="100"/>
      <c r="Y17" s="100"/>
      <c r="Z17" s="100"/>
      <c r="AA17" s="110"/>
      <c r="AB17" s="110"/>
      <c r="AC17" s="100"/>
      <c r="AD17" s="108"/>
      <c r="AE17" s="109"/>
      <c r="AF17" s="109"/>
      <c r="AG17" s="109"/>
      <c r="AH17" s="109"/>
      <c r="AI17" s="109"/>
      <c r="AJ17" s="108"/>
      <c r="AK17" s="100"/>
      <c r="AL17" s="142"/>
      <c r="AM17" s="142"/>
      <c r="AN17" s="100"/>
      <c r="AO17" s="100"/>
      <c r="AP17" s="142"/>
      <c r="AQ17" s="100"/>
      <c r="AR17" s="100"/>
      <c r="AS17" s="142"/>
      <c r="AT17" s="100"/>
      <c r="AU17" s="100"/>
      <c r="AV17" s="100"/>
    </row>
    <row r="18" spans="1:48" ht="16.3">
      <c r="A18" s="246" t="s">
        <v>362</v>
      </c>
      <c r="B18" s="261">
        <f t="shared" ref="B18:B20" si="1">SUM(L18+M18+N18+O18+P18+U18+X18+Y18+Z18+AC18+AK18+AL18+AK18+AO18+AR18+AS18+AU18+AV18+AW18+AX18+AP18)</f>
        <v>0</v>
      </c>
      <c r="C18" s="215">
        <f>SUM(L18+M18+N18+O18+P18+U18+Y18+Z18+X18+AC18+AL18+AK18+AL18+AP18+AS18+AO18+AV18+AW18+AX18+AY18+AR18+AU18)+4</f>
        <v>4</v>
      </c>
      <c r="D18" s="133"/>
      <c r="E18" s="134"/>
      <c r="F18" s="135"/>
      <c r="G18" s="136"/>
      <c r="H18" s="683"/>
      <c r="I18" s="676"/>
      <c r="J18" s="534"/>
      <c r="K18" s="96"/>
      <c r="L18" s="104"/>
      <c r="M18" s="75"/>
      <c r="N18" s="75"/>
      <c r="O18" s="75"/>
      <c r="P18" s="75"/>
      <c r="Q18" s="97"/>
      <c r="R18" s="163"/>
      <c r="S18" s="109"/>
      <c r="T18" s="109"/>
      <c r="U18" s="100"/>
      <c r="V18" s="110"/>
      <c r="W18" s="110"/>
      <c r="X18" s="100"/>
      <c r="Y18" s="100"/>
      <c r="Z18" s="100"/>
      <c r="AA18" s="110"/>
      <c r="AB18" s="110"/>
      <c r="AC18" s="100"/>
      <c r="AD18" s="108"/>
      <c r="AE18" s="109"/>
      <c r="AF18" s="109"/>
      <c r="AG18" s="109"/>
      <c r="AH18" s="109"/>
      <c r="AI18" s="109"/>
      <c r="AJ18" s="108"/>
      <c r="AK18" s="100"/>
      <c r="AL18" s="142"/>
      <c r="AM18" s="142"/>
      <c r="AN18" s="100"/>
      <c r="AO18" s="100"/>
      <c r="AP18" s="142"/>
      <c r="AQ18" s="100"/>
      <c r="AR18" s="100"/>
      <c r="AS18" s="142"/>
      <c r="AT18" s="100"/>
      <c r="AU18" s="100"/>
      <c r="AV18" s="100"/>
    </row>
    <row r="19" spans="1:48" ht="16.3">
      <c r="A19" s="246" t="s">
        <v>5</v>
      </c>
      <c r="B19" s="261">
        <f t="shared" si="1"/>
        <v>5</v>
      </c>
      <c r="C19" s="215">
        <f>SUM(L19+M19+N19+O19+P19+U19+Y19+Z19+X19+AC19+AL19+AK19+AL19+AP19+AS19+AO19+AV19+AW19+AX19+AY19+AR19+AU19)+84</f>
        <v>89</v>
      </c>
      <c r="D19" s="139"/>
      <c r="E19" s="140"/>
      <c r="F19" s="135"/>
      <c r="G19" s="136"/>
      <c r="H19" s="683"/>
      <c r="I19" s="676"/>
      <c r="J19" s="534"/>
      <c r="K19" s="96"/>
      <c r="L19" s="104"/>
      <c r="M19" s="75"/>
      <c r="N19" s="75"/>
      <c r="O19" s="75"/>
      <c r="P19" s="75"/>
      <c r="Q19" s="97"/>
      <c r="R19" s="163"/>
      <c r="S19" s="109"/>
      <c r="T19" s="109"/>
      <c r="U19" s="100"/>
      <c r="V19" s="110"/>
      <c r="W19" s="110"/>
      <c r="X19" s="100">
        <v>5</v>
      </c>
      <c r="Y19" s="100"/>
      <c r="Z19" s="100"/>
      <c r="AA19" s="110"/>
      <c r="AB19" s="110"/>
      <c r="AC19" s="100"/>
      <c r="AD19" s="108"/>
      <c r="AE19" s="109"/>
      <c r="AF19" s="109"/>
      <c r="AG19" s="109"/>
      <c r="AH19" s="109"/>
      <c r="AI19" s="109"/>
      <c r="AJ19" s="108"/>
      <c r="AK19" s="100"/>
      <c r="AL19" s="142"/>
      <c r="AM19" s="142"/>
      <c r="AN19" s="100"/>
      <c r="AO19" s="100"/>
      <c r="AP19" s="142"/>
      <c r="AQ19" s="100"/>
      <c r="AR19" s="100"/>
      <c r="AS19" s="142"/>
      <c r="AT19" s="100"/>
      <c r="AU19" s="100"/>
      <c r="AV19" s="100"/>
    </row>
    <row r="20" spans="1:48" ht="16.3">
      <c r="A20" s="246" t="s">
        <v>6</v>
      </c>
      <c r="B20" s="261">
        <f t="shared" si="1"/>
        <v>8</v>
      </c>
      <c r="C20" s="215">
        <f>SUM(L20+M20+N20+O20+P20+U20+Y20+Z20+X20+AC20+AL20+AK20+AL20+AP20+AS20+AO20+AV20+AW20+AX20+AY20+AR20+AU20)+116</f>
        <v>124</v>
      </c>
      <c r="D20" s="139"/>
      <c r="E20" s="140"/>
      <c r="F20" s="135"/>
      <c r="G20" s="136"/>
      <c r="H20" s="683"/>
      <c r="I20" s="676"/>
      <c r="J20" s="534"/>
      <c r="K20" s="96"/>
      <c r="L20" s="104"/>
      <c r="M20" s="75"/>
      <c r="N20" s="75"/>
      <c r="O20" s="75"/>
      <c r="P20" s="75"/>
      <c r="Q20" s="97"/>
      <c r="R20" s="163"/>
      <c r="S20" s="109"/>
      <c r="T20" s="109"/>
      <c r="U20" s="100"/>
      <c r="V20" s="110"/>
      <c r="W20" s="110"/>
      <c r="X20" s="100">
        <v>8</v>
      </c>
      <c r="Y20" s="100"/>
      <c r="Z20" s="100"/>
      <c r="AA20" s="110"/>
      <c r="AB20" s="110"/>
      <c r="AC20" s="100"/>
      <c r="AD20" s="108"/>
      <c r="AE20" s="109"/>
      <c r="AF20" s="109"/>
      <c r="AG20" s="109"/>
      <c r="AH20" s="109"/>
      <c r="AI20" s="109"/>
      <c r="AJ20" s="108"/>
      <c r="AK20" s="100"/>
      <c r="AL20" s="142"/>
      <c r="AM20" s="142"/>
      <c r="AN20" s="100"/>
      <c r="AO20" s="100"/>
      <c r="AP20" s="142"/>
      <c r="AQ20" s="100"/>
      <c r="AR20" s="100"/>
      <c r="AS20" s="142"/>
      <c r="AT20" s="100"/>
      <c r="AU20" s="100"/>
      <c r="AV20" s="100"/>
    </row>
    <row r="21" spans="1:48" ht="16.3">
      <c r="A21" s="246" t="s">
        <v>368</v>
      </c>
      <c r="B21" s="261">
        <v>0</v>
      </c>
      <c r="C21" s="216">
        <f>SUM(C19/C20)*100</f>
        <v>71.774193548387103</v>
      </c>
      <c r="D21" s="139"/>
      <c r="E21" s="140"/>
      <c r="F21" s="135"/>
      <c r="G21" s="136"/>
      <c r="H21" s="683"/>
      <c r="I21" s="676"/>
      <c r="J21" s="534"/>
      <c r="K21" s="96"/>
      <c r="L21" s="104"/>
      <c r="M21" s="75"/>
      <c r="N21" s="75"/>
      <c r="O21" s="75"/>
      <c r="P21" s="75"/>
      <c r="Q21" s="97"/>
      <c r="R21" s="163"/>
      <c r="S21" s="109"/>
      <c r="T21" s="109"/>
      <c r="U21" s="100"/>
      <c r="V21" s="110"/>
      <c r="W21" s="110"/>
      <c r="X21" s="100">
        <v>63</v>
      </c>
      <c r="Y21" s="100"/>
      <c r="Z21" s="100"/>
      <c r="AA21" s="110"/>
      <c r="AB21" s="110"/>
      <c r="AC21" s="100"/>
      <c r="AD21" s="108"/>
      <c r="AE21" s="109"/>
      <c r="AF21" s="109"/>
      <c r="AG21" s="109"/>
      <c r="AH21" s="109"/>
      <c r="AI21" s="109"/>
      <c r="AJ21" s="108"/>
      <c r="AK21" s="100"/>
      <c r="AL21" s="142"/>
      <c r="AM21" s="142"/>
      <c r="AN21" s="100"/>
      <c r="AO21" s="100"/>
      <c r="AP21" s="142"/>
      <c r="AQ21" s="100"/>
      <c r="AR21" s="100"/>
      <c r="AS21" s="142"/>
      <c r="AT21" s="100"/>
      <c r="AU21" s="100"/>
      <c r="AV21" s="100"/>
    </row>
    <row r="22" spans="1:48" ht="16.3">
      <c r="A22" s="87" t="s">
        <v>3</v>
      </c>
      <c r="B22" s="260">
        <f t="shared" ref="B22:B23" si="2">SUM(L22+M22+N22+O22+P22+U22+X22+Y22+Z22+AC22+AK22+AL22+AK22+AO22+AR22+AS22+AU22+AV22+AW22+AX22+AP22)</f>
        <v>1</v>
      </c>
      <c r="C22" s="214">
        <f>SUM(L22+M22+N22+O22+P22+U22+Y22+Z22+X22+AC22+AL22+AK22+AL22+AP22+AS22+AO22+AV22+AW22+AX22+AY22+AR22+AU22)+23</f>
        <v>24</v>
      </c>
      <c r="D22" s="133"/>
      <c r="E22" s="134"/>
      <c r="F22" s="135"/>
      <c r="G22" s="136"/>
      <c r="H22" s="683"/>
      <c r="I22" s="676"/>
      <c r="J22" s="534"/>
      <c r="K22" s="96"/>
      <c r="L22" s="104"/>
      <c r="M22" s="75"/>
      <c r="N22" s="75"/>
      <c r="O22" s="75"/>
      <c r="P22" s="75"/>
      <c r="Q22" s="97"/>
      <c r="R22" s="163"/>
      <c r="S22" s="109"/>
      <c r="T22" s="109"/>
      <c r="U22" s="100"/>
      <c r="V22" s="110"/>
      <c r="W22" s="110">
        <v>1</v>
      </c>
      <c r="X22" s="100"/>
      <c r="Y22" s="100"/>
      <c r="Z22" s="100">
        <v>1</v>
      </c>
      <c r="AA22" s="110"/>
      <c r="AB22" s="110"/>
      <c r="AC22" s="100"/>
      <c r="AD22" s="108"/>
      <c r="AE22" s="109"/>
      <c r="AF22" s="109"/>
      <c r="AG22" s="109"/>
      <c r="AH22" s="109"/>
      <c r="AI22" s="109"/>
      <c r="AJ22" s="108"/>
      <c r="AK22" s="100"/>
      <c r="AL22" s="142"/>
      <c r="AM22" s="142"/>
      <c r="AN22" s="100"/>
      <c r="AO22" s="100"/>
      <c r="AP22" s="142"/>
      <c r="AQ22" s="100"/>
      <c r="AR22" s="100"/>
      <c r="AS22" s="142"/>
      <c r="AT22" s="100"/>
      <c r="AU22" s="100"/>
      <c r="AV22" s="100"/>
    </row>
    <row r="23" spans="1:48" ht="17" thickBot="1">
      <c r="A23" s="88" t="s">
        <v>4</v>
      </c>
      <c r="B23" s="262">
        <f t="shared" si="2"/>
        <v>15</v>
      </c>
      <c r="C23" s="217">
        <f>SUM(L23+M23+N23+O23+P23+U23+Y23+Z23+X23+AC23+AL23+AK23+AL23+AP23+AS23+AO23+AV23+AW23+AX23+AY23+AR23+AU23)+302</f>
        <v>317</v>
      </c>
      <c r="D23" s="144"/>
      <c r="E23" s="145"/>
      <c r="F23" s="146"/>
      <c r="G23" s="147"/>
      <c r="H23" s="684"/>
      <c r="I23" s="677"/>
      <c r="J23" s="535"/>
      <c r="K23" s="114"/>
      <c r="L23" s="113"/>
      <c r="M23" s="112"/>
      <c r="N23" s="112"/>
      <c r="O23" s="112"/>
      <c r="P23" s="112"/>
      <c r="Q23" s="115"/>
      <c r="R23" s="164"/>
      <c r="S23" s="118"/>
      <c r="T23" s="114"/>
      <c r="U23" s="116"/>
      <c r="V23" s="120"/>
      <c r="W23" s="120">
        <v>5</v>
      </c>
      <c r="X23" s="116">
        <v>10</v>
      </c>
      <c r="Y23" s="116"/>
      <c r="Z23" s="116">
        <v>5</v>
      </c>
      <c r="AA23" s="120"/>
      <c r="AB23" s="120"/>
      <c r="AC23" s="116"/>
      <c r="AD23" s="117"/>
      <c r="AE23" s="118"/>
      <c r="AF23" s="118"/>
      <c r="AG23" s="118"/>
      <c r="AH23" s="118"/>
      <c r="AI23" s="118"/>
      <c r="AJ23" s="117"/>
      <c r="AK23" s="116"/>
      <c r="AL23" s="149"/>
      <c r="AM23" s="149"/>
      <c r="AN23" s="116"/>
      <c r="AO23" s="116"/>
      <c r="AP23" s="149"/>
      <c r="AQ23" s="116"/>
      <c r="AR23" s="116"/>
      <c r="AS23" s="149"/>
      <c r="AT23" s="116"/>
      <c r="AU23" s="116"/>
      <c r="AV23" s="116"/>
    </row>
    <row r="24" spans="1:48" ht="21.1">
      <c r="A24" s="82" t="s">
        <v>414</v>
      </c>
      <c r="B24" s="260"/>
      <c r="C24" s="214"/>
      <c r="D24" s="133"/>
      <c r="E24" s="134"/>
      <c r="F24" s="135"/>
      <c r="G24" s="136"/>
      <c r="H24" s="683"/>
      <c r="I24" s="676"/>
      <c r="J24" s="534"/>
      <c r="K24" s="96">
        <v>15</v>
      </c>
      <c r="L24" s="104"/>
      <c r="M24" s="75"/>
      <c r="N24" s="75"/>
      <c r="O24" s="75"/>
      <c r="P24" s="75"/>
      <c r="Q24" s="97">
        <v>15</v>
      </c>
      <c r="R24" s="163"/>
      <c r="S24" s="109" t="s">
        <v>375</v>
      </c>
      <c r="T24" s="109"/>
      <c r="U24" s="100"/>
      <c r="V24" s="110"/>
      <c r="W24" s="110"/>
      <c r="X24" s="100"/>
      <c r="Y24" s="100"/>
      <c r="Z24" s="100"/>
      <c r="AA24" s="110"/>
      <c r="AB24" s="110"/>
      <c r="AC24" s="100"/>
      <c r="AD24" s="108"/>
      <c r="AE24" s="109"/>
      <c r="AF24" s="109"/>
      <c r="AG24" s="109"/>
      <c r="AH24" s="109"/>
      <c r="AI24" s="109"/>
      <c r="AJ24" s="108"/>
      <c r="AK24" s="100"/>
      <c r="AL24" s="142"/>
      <c r="AM24" s="142"/>
      <c r="AN24" s="100"/>
      <c r="AO24" s="100"/>
      <c r="AP24" s="142"/>
      <c r="AQ24" s="100"/>
      <c r="AR24" s="100"/>
      <c r="AS24" s="142"/>
      <c r="AT24" s="100"/>
      <c r="AU24" s="100"/>
      <c r="AV24" s="100"/>
    </row>
    <row r="25" spans="1:48" ht="16.3">
      <c r="A25" s="246" t="s">
        <v>1</v>
      </c>
      <c r="B25" s="261">
        <f>SUM(L25+M25+N25+O25+P25+U25+X25+Y25+Z25+AC25+AK25+AL25+AK25+AO25+AR25+AS25+AU25+AV25+AW25+AX25+AP25)+1</f>
        <v>1</v>
      </c>
      <c r="C25" s="215">
        <f>B25</f>
        <v>1</v>
      </c>
      <c r="D25" s="133"/>
      <c r="E25" s="134"/>
      <c r="F25" s="135"/>
      <c r="G25" s="136"/>
      <c r="H25" s="683"/>
      <c r="I25" s="676"/>
      <c r="J25" s="534"/>
      <c r="K25" s="96">
        <v>1</v>
      </c>
      <c r="L25" s="104"/>
      <c r="M25" s="75"/>
      <c r="N25" s="75"/>
      <c r="O25" s="75"/>
      <c r="P25" s="75"/>
      <c r="Q25" s="97">
        <v>1</v>
      </c>
      <c r="R25" s="163"/>
      <c r="S25" s="109"/>
      <c r="T25" s="109"/>
      <c r="U25" s="100"/>
      <c r="V25" s="110"/>
      <c r="W25" s="110"/>
      <c r="X25" s="100"/>
      <c r="Y25" s="100"/>
      <c r="Z25" s="100"/>
      <c r="AA25" s="110"/>
      <c r="AB25" s="110"/>
      <c r="AC25" s="100"/>
      <c r="AD25" s="108"/>
      <c r="AE25" s="109"/>
      <c r="AF25" s="109"/>
      <c r="AG25" s="109"/>
      <c r="AH25" s="109"/>
      <c r="AI25" s="109"/>
      <c r="AJ25" s="108"/>
      <c r="AK25" s="100"/>
      <c r="AL25" s="142"/>
      <c r="AM25" s="142"/>
      <c r="AN25" s="100"/>
      <c r="AO25" s="100"/>
      <c r="AP25" s="142"/>
      <c r="AQ25" s="100"/>
      <c r="AR25" s="100"/>
      <c r="AS25" s="142"/>
      <c r="AT25" s="100"/>
      <c r="AU25" s="100"/>
      <c r="AV25" s="100"/>
    </row>
    <row r="26" spans="1:48" ht="16.3">
      <c r="A26" s="246" t="s">
        <v>2</v>
      </c>
      <c r="B26" s="261">
        <f>SUM(L26+M26+N26+O26+P26+U26+X26+Y26+Z26+AC26+AK26+AL26+AK26+AO26+AR26+AS26+AU26+AV26+AW26+AX26)</f>
        <v>0</v>
      </c>
      <c r="C26" s="215">
        <f t="shared" ref="C26" si="3">B26</f>
        <v>0</v>
      </c>
      <c r="D26" s="133"/>
      <c r="E26" s="134"/>
      <c r="F26" s="135"/>
      <c r="G26" s="136"/>
      <c r="H26" s="683"/>
      <c r="I26" s="676"/>
      <c r="J26" s="534"/>
      <c r="K26" s="96"/>
      <c r="L26" s="104"/>
      <c r="M26" s="75"/>
      <c r="N26" s="75"/>
      <c r="O26" s="75"/>
      <c r="P26" s="75"/>
      <c r="Q26" s="97"/>
      <c r="R26" s="163"/>
      <c r="S26" s="109">
        <v>1</v>
      </c>
      <c r="T26" s="109"/>
      <c r="U26" s="100"/>
      <c r="V26" s="110"/>
      <c r="W26" s="110"/>
      <c r="X26" s="100"/>
      <c r="Y26" s="100"/>
      <c r="Z26" s="100"/>
      <c r="AA26" s="110"/>
      <c r="AB26" s="110"/>
      <c r="AC26" s="100"/>
      <c r="AD26" s="108"/>
      <c r="AE26" s="109"/>
      <c r="AF26" s="109"/>
      <c r="AG26" s="109"/>
      <c r="AH26" s="109"/>
      <c r="AI26" s="109"/>
      <c r="AJ26" s="108"/>
      <c r="AK26" s="100"/>
      <c r="AL26" s="142"/>
      <c r="AM26" s="142"/>
      <c r="AN26" s="100"/>
      <c r="AO26" s="100"/>
      <c r="AP26" s="142"/>
      <c r="AQ26" s="100"/>
      <c r="AR26" s="100"/>
      <c r="AS26" s="142"/>
      <c r="AT26" s="100"/>
      <c r="AU26" s="100"/>
      <c r="AV26" s="100"/>
    </row>
    <row r="27" spans="1:48" ht="16.3">
      <c r="A27" s="87" t="s">
        <v>363</v>
      </c>
      <c r="B27" s="260">
        <f>SUM(B25+B26)</f>
        <v>1</v>
      </c>
      <c r="C27" s="214">
        <f t="shared" ref="C27:C29" si="4">B27</f>
        <v>1</v>
      </c>
      <c r="D27" s="133"/>
      <c r="E27" s="134"/>
      <c r="F27" s="135"/>
      <c r="G27" s="136"/>
      <c r="H27" s="683"/>
      <c r="I27" s="676"/>
      <c r="J27" s="534"/>
      <c r="K27" s="96"/>
      <c r="L27" s="104"/>
      <c r="M27" s="75"/>
      <c r="N27" s="75"/>
      <c r="O27" s="75"/>
      <c r="P27" s="75"/>
      <c r="Q27" s="97"/>
      <c r="R27" s="163"/>
      <c r="S27" s="109"/>
      <c r="T27" s="109"/>
      <c r="U27" s="100"/>
      <c r="V27" s="110"/>
      <c r="W27" s="110"/>
      <c r="X27" s="100"/>
      <c r="Y27" s="100"/>
      <c r="Z27" s="100"/>
      <c r="AA27" s="110"/>
      <c r="AB27" s="110"/>
      <c r="AC27" s="100"/>
      <c r="AD27" s="108"/>
      <c r="AE27" s="109"/>
      <c r="AF27" s="109"/>
      <c r="AG27" s="109"/>
      <c r="AH27" s="109"/>
      <c r="AI27" s="109"/>
      <c r="AJ27" s="108"/>
      <c r="AK27" s="100"/>
      <c r="AL27" s="142"/>
      <c r="AM27" s="142"/>
      <c r="AN27" s="100"/>
      <c r="AO27" s="100"/>
      <c r="AP27" s="142"/>
      <c r="AQ27" s="100"/>
      <c r="AR27" s="100"/>
      <c r="AS27" s="142"/>
      <c r="AT27" s="100"/>
      <c r="AU27" s="100"/>
      <c r="AV27" s="100"/>
    </row>
    <row r="28" spans="1:48" ht="16.3">
      <c r="A28" s="87" t="s">
        <v>3</v>
      </c>
      <c r="B28" s="260">
        <f>SUM(L28+M28+N28+O28+P28+U28+X28+Y28+Z28+AC28+AK28+AL28+AK28+AO28+AR28+AS28+AU28+AV28+AW28+AX28+AP28)</f>
        <v>0</v>
      </c>
      <c r="C28" s="214">
        <f t="shared" si="4"/>
        <v>0</v>
      </c>
      <c r="D28" s="133"/>
      <c r="E28" s="134"/>
      <c r="F28" s="135"/>
      <c r="G28" s="136"/>
      <c r="H28" s="683"/>
      <c r="I28" s="676"/>
      <c r="J28" s="534"/>
      <c r="K28" s="96"/>
      <c r="L28" s="104"/>
      <c r="M28" s="75"/>
      <c r="N28" s="75"/>
      <c r="O28" s="75"/>
      <c r="P28" s="75"/>
      <c r="Q28" s="97"/>
      <c r="R28" s="163"/>
      <c r="S28" s="109"/>
      <c r="T28" s="109"/>
      <c r="U28" s="100"/>
      <c r="V28" s="110"/>
      <c r="W28" s="110"/>
      <c r="X28" s="100"/>
      <c r="Y28" s="100"/>
      <c r="Z28" s="100"/>
      <c r="AA28" s="110"/>
      <c r="AB28" s="110"/>
      <c r="AC28" s="100"/>
      <c r="AD28" s="108"/>
      <c r="AE28" s="109"/>
      <c r="AF28" s="109"/>
      <c r="AG28" s="109"/>
      <c r="AH28" s="109"/>
      <c r="AI28" s="109"/>
      <c r="AJ28" s="108"/>
      <c r="AK28" s="100"/>
      <c r="AL28" s="142"/>
      <c r="AM28" s="142"/>
      <c r="AN28" s="100"/>
      <c r="AO28" s="100"/>
      <c r="AP28" s="142"/>
      <c r="AQ28" s="100"/>
      <c r="AR28" s="100"/>
      <c r="AS28" s="142"/>
      <c r="AT28" s="100"/>
      <c r="AU28" s="100"/>
      <c r="AV28" s="100"/>
    </row>
    <row r="29" spans="1:48" ht="17" thickBot="1">
      <c r="A29" s="88" t="s">
        <v>4</v>
      </c>
      <c r="B29" s="262">
        <f>SUM(L29+M29+N29+O29+P29+U29+X29+Y29+Z29+AC29+AK29+AL29+AK29+AO29+AR29+AS29+AU29+AV29+AW29+AX29+AP29)</f>
        <v>0</v>
      </c>
      <c r="C29" s="217">
        <f t="shared" si="4"/>
        <v>0</v>
      </c>
      <c r="D29" s="144"/>
      <c r="E29" s="145"/>
      <c r="F29" s="146"/>
      <c r="G29" s="147"/>
      <c r="H29" s="684"/>
      <c r="I29" s="677"/>
      <c r="J29" s="535"/>
      <c r="K29" s="114"/>
      <c r="L29" s="113"/>
      <c r="M29" s="112"/>
      <c r="N29" s="112"/>
      <c r="O29" s="112"/>
      <c r="P29" s="112"/>
      <c r="Q29" s="115"/>
      <c r="R29" s="164"/>
      <c r="S29" s="118"/>
      <c r="T29" s="118"/>
      <c r="U29" s="112"/>
      <c r="V29" s="120"/>
      <c r="W29" s="120"/>
      <c r="X29" s="116"/>
      <c r="Y29" s="116"/>
      <c r="Z29" s="116"/>
      <c r="AA29" s="120"/>
      <c r="AB29" s="120"/>
      <c r="AC29" s="116"/>
      <c r="AD29" s="117"/>
      <c r="AE29" s="118"/>
      <c r="AF29" s="118"/>
      <c r="AG29" s="118"/>
      <c r="AH29" s="118"/>
      <c r="AI29" s="118"/>
      <c r="AJ29" s="117"/>
      <c r="AK29" s="116"/>
      <c r="AL29" s="149"/>
      <c r="AM29" s="149"/>
      <c r="AN29" s="116"/>
      <c r="AO29" s="116"/>
      <c r="AP29" s="149"/>
      <c r="AQ29" s="116"/>
      <c r="AR29" s="116"/>
      <c r="AS29" s="149"/>
      <c r="AT29" s="116"/>
      <c r="AU29" s="116"/>
      <c r="AV29" s="116"/>
    </row>
    <row r="30" spans="1:48" ht="21.1">
      <c r="A30" s="82" t="s">
        <v>777</v>
      </c>
      <c r="B30" s="260"/>
      <c r="C30" s="214"/>
      <c r="D30" s="133"/>
      <c r="E30" s="134"/>
      <c r="F30" s="135"/>
      <c r="G30" s="136"/>
      <c r="H30" s="683"/>
      <c r="I30" s="676"/>
      <c r="J30" s="534"/>
      <c r="K30" s="96"/>
      <c r="L30" s="104"/>
      <c r="M30" s="75"/>
      <c r="N30" s="75"/>
      <c r="O30" s="75"/>
      <c r="P30" s="75"/>
      <c r="Q30" s="97" t="s">
        <v>375</v>
      </c>
      <c r="R30" s="163"/>
      <c r="S30" s="109">
        <v>11</v>
      </c>
      <c r="T30" s="109">
        <v>14</v>
      </c>
      <c r="U30" s="100"/>
      <c r="V30" s="110"/>
      <c r="W30" s="110"/>
      <c r="X30" s="100"/>
      <c r="Y30" s="100"/>
      <c r="Z30" s="100"/>
      <c r="AA30" s="110"/>
      <c r="AB30" s="110" t="s">
        <v>984</v>
      </c>
      <c r="AC30" s="100" t="s">
        <v>984</v>
      </c>
      <c r="AD30" s="108"/>
      <c r="AE30" s="109" t="s">
        <v>984</v>
      </c>
      <c r="AF30" s="109" t="s">
        <v>984</v>
      </c>
      <c r="AG30" s="109">
        <v>11</v>
      </c>
      <c r="AH30" s="109"/>
      <c r="AI30" s="109">
        <v>15</v>
      </c>
      <c r="AJ30" s="108"/>
      <c r="AK30" s="100"/>
      <c r="AL30" s="142"/>
      <c r="AM30" s="142"/>
      <c r="AN30" s="100"/>
      <c r="AO30" s="100"/>
      <c r="AP30" s="142"/>
      <c r="AQ30" s="100"/>
      <c r="AR30" s="100"/>
      <c r="AS30" s="142"/>
      <c r="AT30" s="100"/>
      <c r="AU30" s="100"/>
      <c r="AV30" s="100"/>
    </row>
    <row r="31" spans="1:48" ht="16.3">
      <c r="A31" s="246" t="s">
        <v>1</v>
      </c>
      <c r="B31" s="261">
        <f>SUM(L31+M31+N31+O31+P31+U31+X31+Y31+Z31+AC31+AK31+AL31+AK31+AO31+AR31+AS31+AU31+AV31+AW31+AX31+AP31)</f>
        <v>0</v>
      </c>
      <c r="C31" s="215">
        <f>B31</f>
        <v>0</v>
      </c>
      <c r="D31" s="133"/>
      <c r="E31" s="134"/>
      <c r="F31" s="135"/>
      <c r="G31" s="136"/>
      <c r="H31" s="683"/>
      <c r="I31" s="676"/>
      <c r="J31" s="534"/>
      <c r="K31" s="96"/>
      <c r="L31" s="104"/>
      <c r="M31" s="75"/>
      <c r="N31" s="75"/>
      <c r="O31" s="75"/>
      <c r="P31" s="75"/>
      <c r="Q31" s="97"/>
      <c r="R31" s="163"/>
      <c r="S31" s="109">
        <v>1</v>
      </c>
      <c r="T31" s="109">
        <v>1</v>
      </c>
      <c r="U31" s="100"/>
      <c r="V31" s="110"/>
      <c r="W31" s="110"/>
      <c r="X31" s="100"/>
      <c r="Y31" s="100"/>
      <c r="Z31" s="100"/>
      <c r="AA31" s="110"/>
      <c r="AB31" s="110"/>
      <c r="AC31" s="100"/>
      <c r="AD31" s="108"/>
      <c r="AE31" s="109"/>
      <c r="AF31" s="109"/>
      <c r="AG31" s="109">
        <v>1</v>
      </c>
      <c r="AH31" s="109"/>
      <c r="AI31" s="109">
        <v>1</v>
      </c>
      <c r="AJ31" s="108"/>
      <c r="AK31" s="100"/>
      <c r="AL31" s="142"/>
      <c r="AM31" s="142"/>
      <c r="AN31" s="100"/>
      <c r="AO31" s="100"/>
      <c r="AP31" s="142"/>
      <c r="AQ31" s="100"/>
      <c r="AR31" s="100"/>
      <c r="AS31" s="142"/>
      <c r="AT31" s="100"/>
      <c r="AU31" s="100"/>
      <c r="AV31" s="100"/>
    </row>
    <row r="32" spans="1:48" ht="16.3">
      <c r="A32" s="246" t="s">
        <v>2</v>
      </c>
      <c r="B32" s="261">
        <f>SUM(L32+M32+N32+O32+P32+U32+X32+Y32+Z32+AC32+AK32+AL32+AK32+AO32+AR32+AS32+AU32+AV32+AW32+AX32)</f>
        <v>0</v>
      </c>
      <c r="C32" s="215">
        <f t="shared" ref="C32:C35" si="5">B32</f>
        <v>0</v>
      </c>
      <c r="D32" s="133"/>
      <c r="E32" s="134"/>
      <c r="F32" s="135"/>
      <c r="G32" s="136"/>
      <c r="H32" s="683"/>
      <c r="I32" s="676"/>
      <c r="J32" s="534"/>
      <c r="K32" s="96"/>
      <c r="L32" s="104"/>
      <c r="M32" s="75"/>
      <c r="N32" s="75"/>
      <c r="O32" s="75"/>
      <c r="P32" s="75"/>
      <c r="Q32" s="97">
        <v>1</v>
      </c>
      <c r="R32" s="163"/>
      <c r="S32" s="109"/>
      <c r="T32" s="109"/>
      <c r="U32" s="100"/>
      <c r="V32" s="110"/>
      <c r="W32" s="110"/>
      <c r="X32" s="100"/>
      <c r="Y32" s="100"/>
      <c r="Z32" s="100"/>
      <c r="AA32" s="110"/>
      <c r="AB32" s="110"/>
      <c r="AC32" s="100"/>
      <c r="AD32" s="108"/>
      <c r="AE32" s="109"/>
      <c r="AF32" s="109"/>
      <c r="AG32" s="109"/>
      <c r="AH32" s="109"/>
      <c r="AI32" s="109"/>
      <c r="AJ32" s="108"/>
      <c r="AK32" s="100"/>
      <c r="AL32" s="142"/>
      <c r="AM32" s="142"/>
      <c r="AN32" s="100"/>
      <c r="AO32" s="100"/>
      <c r="AP32" s="142"/>
      <c r="AQ32" s="100"/>
      <c r="AR32" s="100"/>
      <c r="AS32" s="142"/>
      <c r="AT32" s="100"/>
      <c r="AU32" s="100"/>
      <c r="AV32" s="100"/>
    </row>
    <row r="33" spans="1:48" ht="16.3">
      <c r="A33" s="83" t="s">
        <v>363</v>
      </c>
      <c r="B33" s="260">
        <f>SUM(B31+B32)</f>
        <v>0</v>
      </c>
      <c r="C33" s="214">
        <f t="shared" si="5"/>
        <v>0</v>
      </c>
      <c r="D33" s="133"/>
      <c r="E33" s="134"/>
      <c r="F33" s="135"/>
      <c r="G33" s="136"/>
      <c r="H33" s="683"/>
      <c r="I33" s="676"/>
      <c r="J33" s="534"/>
      <c r="K33" s="96"/>
      <c r="L33" s="104"/>
      <c r="M33" s="75"/>
      <c r="N33" s="75"/>
      <c r="O33" s="75"/>
      <c r="P33" s="75"/>
      <c r="Q33" s="97"/>
      <c r="R33" s="163"/>
      <c r="S33" s="109"/>
      <c r="T33" s="109"/>
      <c r="U33" s="100"/>
      <c r="V33" s="110"/>
      <c r="W33" s="110"/>
      <c r="X33" s="100"/>
      <c r="Y33" s="100"/>
      <c r="Z33" s="100"/>
      <c r="AA33" s="110"/>
      <c r="AB33" s="110"/>
      <c r="AC33" s="100"/>
      <c r="AD33" s="108"/>
      <c r="AE33" s="109"/>
      <c r="AF33" s="109"/>
      <c r="AG33" s="109"/>
      <c r="AH33" s="109"/>
      <c r="AI33" s="109"/>
      <c r="AJ33" s="108"/>
      <c r="AK33" s="100"/>
      <c r="AL33" s="142"/>
      <c r="AM33" s="142"/>
      <c r="AN33" s="100"/>
      <c r="AO33" s="100"/>
      <c r="AP33" s="142"/>
      <c r="AQ33" s="100"/>
      <c r="AR33" s="100"/>
      <c r="AS33" s="142"/>
      <c r="AT33" s="100"/>
      <c r="AU33" s="100"/>
      <c r="AV33" s="100"/>
    </row>
    <row r="34" spans="1:48" ht="16.3">
      <c r="A34" s="87" t="s">
        <v>3</v>
      </c>
      <c r="B34" s="260">
        <f>SUM(L34+M34+N34+O34+P34+U34+X34+Y34+Z34+AC34+AK34+AL34+AK34+AO34+AR34+AS34+AU34+AV34+AW34+AX34+AP34)</f>
        <v>0</v>
      </c>
      <c r="C34" s="214">
        <f t="shared" si="5"/>
        <v>0</v>
      </c>
      <c r="D34" s="133"/>
      <c r="E34" s="134"/>
      <c r="F34" s="135"/>
      <c r="G34" s="136"/>
      <c r="H34" s="683"/>
      <c r="I34" s="676"/>
      <c r="J34" s="534"/>
      <c r="K34" s="96"/>
      <c r="L34" s="104"/>
      <c r="M34" s="75"/>
      <c r="N34" s="75"/>
      <c r="O34" s="75"/>
      <c r="P34" s="75"/>
      <c r="Q34" s="97"/>
      <c r="R34" s="163"/>
      <c r="S34" s="109"/>
      <c r="T34" s="109"/>
      <c r="U34" s="100"/>
      <c r="V34" s="110"/>
      <c r="W34" s="110"/>
      <c r="X34" s="100"/>
      <c r="Y34" s="100"/>
      <c r="Z34" s="100"/>
      <c r="AA34" s="110"/>
      <c r="AB34" s="110"/>
      <c r="AC34" s="100"/>
      <c r="AD34" s="108"/>
      <c r="AE34" s="109"/>
      <c r="AF34" s="109"/>
      <c r="AG34" s="109">
        <v>1</v>
      </c>
      <c r="AH34" s="109"/>
      <c r="AI34" s="109"/>
      <c r="AJ34" s="108"/>
      <c r="AK34" s="100"/>
      <c r="AL34" s="142"/>
      <c r="AM34" s="142"/>
      <c r="AN34" s="100"/>
      <c r="AO34" s="100"/>
      <c r="AP34" s="142"/>
      <c r="AQ34" s="100"/>
      <c r="AR34" s="100"/>
      <c r="AS34" s="142"/>
      <c r="AT34" s="100"/>
      <c r="AU34" s="100"/>
      <c r="AV34" s="100"/>
    </row>
    <row r="35" spans="1:48" ht="17" thickBot="1">
      <c r="A35" s="88" t="s">
        <v>4</v>
      </c>
      <c r="B35" s="262">
        <f>SUM(L35+M35+N35+O35+P35+U35+X35+Y35+Z35+AC35+AK35+AL35+AK35+AO35+AR35+AS35+AU35+AV35+AW35+AX35+AP35)</f>
        <v>0</v>
      </c>
      <c r="C35" s="217">
        <f t="shared" si="5"/>
        <v>0</v>
      </c>
      <c r="D35" s="144"/>
      <c r="E35" s="145"/>
      <c r="F35" s="146"/>
      <c r="G35" s="147"/>
      <c r="H35" s="684"/>
      <c r="I35" s="677"/>
      <c r="J35" s="535"/>
      <c r="K35" s="114"/>
      <c r="L35" s="113"/>
      <c r="M35" s="112"/>
      <c r="N35" s="112"/>
      <c r="O35" s="112"/>
      <c r="P35" s="112"/>
      <c r="Q35" s="115"/>
      <c r="R35" s="164"/>
      <c r="S35" s="118"/>
      <c r="T35" s="118"/>
      <c r="U35" s="116"/>
      <c r="V35" s="119"/>
      <c r="W35" s="110"/>
      <c r="X35" s="100"/>
      <c r="Y35" s="100"/>
      <c r="Z35" s="100"/>
      <c r="AA35" s="110"/>
      <c r="AB35" s="110"/>
      <c r="AC35" s="100"/>
      <c r="AD35" s="108"/>
      <c r="AE35" s="109"/>
      <c r="AF35" s="109"/>
      <c r="AG35" s="109">
        <v>5</v>
      </c>
      <c r="AH35" s="109"/>
      <c r="AI35" s="109"/>
      <c r="AJ35" s="108"/>
      <c r="AK35" s="100"/>
      <c r="AL35" s="142"/>
      <c r="AM35" s="142"/>
      <c r="AN35" s="100"/>
      <c r="AO35" s="100"/>
      <c r="AP35" s="142"/>
      <c r="AQ35" s="100"/>
      <c r="AR35" s="100"/>
      <c r="AS35" s="142"/>
      <c r="AT35" s="100"/>
      <c r="AU35" s="100"/>
      <c r="AV35" s="100"/>
    </row>
    <row r="36" spans="1:48" ht="21.1">
      <c r="A36" s="82" t="s">
        <v>106</v>
      </c>
      <c r="B36" s="260"/>
      <c r="C36" s="214"/>
      <c r="D36" s="133"/>
      <c r="E36" s="134"/>
      <c r="F36" s="135"/>
      <c r="G36" s="136"/>
      <c r="H36" s="683"/>
      <c r="I36" s="676"/>
      <c r="J36" s="534"/>
      <c r="K36" s="96"/>
      <c r="L36" s="104">
        <v>14</v>
      </c>
      <c r="M36" s="75">
        <v>14</v>
      </c>
      <c r="N36" s="75">
        <v>14</v>
      </c>
      <c r="O36" s="75"/>
      <c r="P36" s="75">
        <v>14</v>
      </c>
      <c r="Q36" s="97"/>
      <c r="R36" s="163"/>
      <c r="S36" s="109"/>
      <c r="T36" s="109"/>
      <c r="U36" s="100">
        <v>14</v>
      </c>
      <c r="V36" s="110">
        <v>14</v>
      </c>
      <c r="W36" s="101">
        <v>14</v>
      </c>
      <c r="X36" s="102">
        <v>14</v>
      </c>
      <c r="Y36" s="102">
        <v>14</v>
      </c>
      <c r="Z36" s="102"/>
      <c r="AA36" s="101" t="s">
        <v>375</v>
      </c>
      <c r="AB36" s="101">
        <v>14</v>
      </c>
      <c r="AC36" s="102"/>
      <c r="AD36" s="98"/>
      <c r="AE36" s="99"/>
      <c r="AF36" s="99"/>
      <c r="AG36" s="99"/>
      <c r="AH36" s="99">
        <v>14</v>
      </c>
      <c r="AI36" s="99"/>
      <c r="AJ36" s="98"/>
      <c r="AK36" s="102"/>
      <c r="AL36" s="138"/>
      <c r="AM36" s="138"/>
      <c r="AN36" s="102"/>
      <c r="AO36" s="102"/>
      <c r="AP36" s="138"/>
      <c r="AQ36" s="102"/>
      <c r="AR36" s="102"/>
      <c r="AS36" s="138"/>
      <c r="AT36" s="102"/>
      <c r="AU36" s="102"/>
      <c r="AV36" s="102"/>
    </row>
    <row r="37" spans="1:48" ht="16.3">
      <c r="A37" s="246" t="s">
        <v>1</v>
      </c>
      <c r="B37" s="261">
        <f>SUM(L37+M37+N37+O37+P37+U37+X37+Y37+Z37+AC37+AK37+AL37+AK37+AO37+AR37+AS37+AU37+AV37+AW37+AX37+AP37)+73</f>
        <v>80</v>
      </c>
      <c r="C37" s="215">
        <f>SUM(L37+M37+N37+O37+P37+U37+Y37+Z37+X37+AC37+AL37+AK37+AL37+AP37+AS37+AO37+AV37+AW37+AX37+AY37+AR37+AU37)+89</f>
        <v>96</v>
      </c>
      <c r="D37" s="139"/>
      <c r="E37" s="140"/>
      <c r="F37" s="135"/>
      <c r="G37" s="136"/>
      <c r="H37" s="683"/>
      <c r="I37" s="676"/>
      <c r="J37" s="534"/>
      <c r="K37" s="96"/>
      <c r="L37" s="104">
        <v>1</v>
      </c>
      <c r="M37" s="75">
        <v>1</v>
      </c>
      <c r="N37" s="75">
        <v>1</v>
      </c>
      <c r="O37" s="75"/>
      <c r="P37" s="75">
        <v>1</v>
      </c>
      <c r="Q37" s="97"/>
      <c r="R37" s="163"/>
      <c r="S37" s="109"/>
      <c r="T37" s="109"/>
      <c r="U37" s="100">
        <v>1</v>
      </c>
      <c r="V37" s="110">
        <v>1</v>
      </c>
      <c r="W37" s="110">
        <v>1</v>
      </c>
      <c r="X37" s="100">
        <v>1</v>
      </c>
      <c r="Y37" s="100">
        <v>1</v>
      </c>
      <c r="Z37" s="100"/>
      <c r="AA37" s="110"/>
      <c r="AB37" s="110">
        <v>1</v>
      </c>
      <c r="AC37" s="100"/>
      <c r="AD37" s="108"/>
      <c r="AE37" s="109"/>
      <c r="AF37" s="109"/>
      <c r="AG37" s="109"/>
      <c r="AH37" s="109">
        <v>1</v>
      </c>
      <c r="AI37" s="109"/>
      <c r="AJ37" s="108"/>
      <c r="AK37" s="100"/>
      <c r="AL37" s="142"/>
      <c r="AM37" s="142"/>
      <c r="AN37" s="100"/>
      <c r="AO37" s="100"/>
      <c r="AP37" s="142"/>
      <c r="AQ37" s="100"/>
      <c r="AR37" s="100"/>
      <c r="AS37" s="142"/>
      <c r="AT37" s="100"/>
      <c r="AU37" s="100"/>
      <c r="AV37" s="100"/>
    </row>
    <row r="38" spans="1:48" ht="16.3">
      <c r="A38" s="246" t="s">
        <v>2</v>
      </c>
      <c r="B38" s="261">
        <f>SUM(L38+M38+N38+O38+P38+U38+X38+Y38+Z38+AC38+AK38+AL38+AK38+AO38+AR38+AS38+AU38+AV38+AW38+AX38+AP38)+11</f>
        <v>11</v>
      </c>
      <c r="C38" s="215">
        <f>SUM(L38+M38+N38+O38+P38+U38+Y38+Z38+X38+AC38+AL38+AK38+AL38+AP38+AS38+AO38+AV38+AW38+AX38+AY38+AR38+AU38)+11</f>
        <v>11</v>
      </c>
      <c r="D38" s="139"/>
      <c r="E38" s="140"/>
      <c r="F38" s="135"/>
      <c r="G38" s="136"/>
      <c r="H38" s="683"/>
      <c r="I38" s="676"/>
      <c r="J38" s="534"/>
      <c r="K38" s="96"/>
      <c r="L38" s="104"/>
      <c r="M38" s="75"/>
      <c r="N38" s="75"/>
      <c r="O38" s="75"/>
      <c r="P38" s="75"/>
      <c r="Q38" s="97"/>
      <c r="R38" s="163"/>
      <c r="S38" s="109"/>
      <c r="T38" s="109"/>
      <c r="U38" s="100"/>
      <c r="V38" s="110"/>
      <c r="W38" s="110"/>
      <c r="X38" s="100"/>
      <c r="Y38" s="100"/>
      <c r="Z38" s="100"/>
      <c r="AA38" s="110">
        <v>1</v>
      </c>
      <c r="AB38" s="110"/>
      <c r="AC38" s="100"/>
      <c r="AD38" s="108"/>
      <c r="AE38" s="109"/>
      <c r="AF38" s="109"/>
      <c r="AG38" s="109"/>
      <c r="AH38" s="109"/>
      <c r="AI38" s="109"/>
      <c r="AJ38" s="108"/>
      <c r="AK38" s="100"/>
      <c r="AL38" s="142"/>
      <c r="AM38" s="142"/>
      <c r="AN38" s="100"/>
      <c r="AO38" s="100"/>
      <c r="AP38" s="142"/>
      <c r="AQ38" s="100"/>
      <c r="AR38" s="100"/>
      <c r="AS38" s="142"/>
      <c r="AT38" s="100"/>
      <c r="AU38" s="100"/>
      <c r="AV38" s="100"/>
    </row>
    <row r="39" spans="1:48" ht="16.3">
      <c r="A39" s="87" t="s">
        <v>363</v>
      </c>
      <c r="B39" s="260">
        <f>SUM(B37+B38)</f>
        <v>91</v>
      </c>
      <c r="C39" s="214">
        <f>SUM(C37+C38)</f>
        <v>107</v>
      </c>
      <c r="D39" s="133"/>
      <c r="E39" s="134"/>
      <c r="F39" s="135"/>
      <c r="G39" s="136"/>
      <c r="H39" s="683"/>
      <c r="I39" s="676"/>
      <c r="J39" s="534"/>
      <c r="K39" s="96"/>
      <c r="L39" s="104"/>
      <c r="M39" s="75"/>
      <c r="N39" s="75"/>
      <c r="O39" s="75"/>
      <c r="P39" s="75"/>
      <c r="Q39" s="97"/>
      <c r="R39" s="163"/>
      <c r="S39" s="109"/>
      <c r="T39" s="109"/>
      <c r="U39" s="100"/>
      <c r="V39" s="110"/>
      <c r="W39" s="110"/>
      <c r="X39" s="100"/>
      <c r="Y39" s="100"/>
      <c r="Z39" s="100"/>
      <c r="AA39" s="110"/>
      <c r="AB39" s="110"/>
      <c r="AC39" s="100"/>
      <c r="AD39" s="108"/>
      <c r="AE39" s="109"/>
      <c r="AF39" s="109"/>
      <c r="AG39" s="109"/>
      <c r="AH39" s="109"/>
      <c r="AI39" s="109"/>
      <c r="AJ39" s="108"/>
      <c r="AK39" s="100"/>
      <c r="AL39" s="142"/>
      <c r="AM39" s="142"/>
      <c r="AN39" s="100"/>
      <c r="AO39" s="100"/>
      <c r="AP39" s="142"/>
      <c r="AQ39" s="100"/>
      <c r="AR39" s="100"/>
      <c r="AS39" s="142"/>
      <c r="AT39" s="100"/>
      <c r="AU39" s="100"/>
      <c r="AV39" s="100"/>
    </row>
    <row r="40" spans="1:48" ht="16.3">
      <c r="A40" s="87" t="s">
        <v>3</v>
      </c>
      <c r="B40" s="260">
        <f>SUM(L40+M40+N40+O40+P40+U40+X40+Y40+Z40+AC40+AK40+AL40+AK40+AO40+AR40+AS40+AU40+AV40+AW40+AX40+AP40)+36</f>
        <v>37</v>
      </c>
      <c r="C40" s="214">
        <f>SUM(L40+M40+N40+O40+P40+U40+Y40+Z40+X40+AC40+AL40+AK40+AL40+AP40+AS40+AO40+AV40+AW40+AX40+AY40+AR40+AU40)+40</f>
        <v>41</v>
      </c>
      <c r="D40" s="133"/>
      <c r="E40" s="134"/>
      <c r="F40" s="135"/>
      <c r="G40" s="136"/>
      <c r="H40" s="683"/>
      <c r="I40" s="676"/>
      <c r="J40" s="534"/>
      <c r="K40" s="96"/>
      <c r="L40" s="104"/>
      <c r="M40" s="75"/>
      <c r="N40" s="75"/>
      <c r="O40" s="75"/>
      <c r="P40" s="75">
        <v>1</v>
      </c>
      <c r="Q40" s="97"/>
      <c r="R40" s="163"/>
      <c r="S40" s="109"/>
      <c r="T40" s="109"/>
      <c r="U40" s="100"/>
      <c r="V40" s="110"/>
      <c r="W40" s="110"/>
      <c r="X40" s="100"/>
      <c r="Y40" s="100"/>
      <c r="Z40" s="100"/>
      <c r="AA40" s="110"/>
      <c r="AB40" s="110">
        <v>2</v>
      </c>
      <c r="AC40" s="100"/>
      <c r="AD40" s="108"/>
      <c r="AE40" s="109"/>
      <c r="AF40" s="109"/>
      <c r="AG40" s="109"/>
      <c r="AH40" s="109"/>
      <c r="AI40" s="109"/>
      <c r="AJ40" s="108"/>
      <c r="AK40" s="100"/>
      <c r="AL40" s="142"/>
      <c r="AM40" s="142"/>
      <c r="AN40" s="100"/>
      <c r="AO40" s="100"/>
      <c r="AP40" s="142"/>
      <c r="AQ40" s="100"/>
      <c r="AR40" s="100"/>
      <c r="AS40" s="142"/>
      <c r="AT40" s="100"/>
      <c r="AU40" s="100"/>
      <c r="AV40" s="100"/>
    </row>
    <row r="41" spans="1:48" ht="17" thickBot="1">
      <c r="A41" s="88" t="s">
        <v>4</v>
      </c>
      <c r="B41" s="262">
        <f>SUM(L41+M41+N41+O41+P41+U41+X41+Y41+Z41+AC41+AK41+AL41+AK41+AO41+AR41+AS41+AU41+AV41+AW41+AX41+AP41)+180</f>
        <v>185</v>
      </c>
      <c r="C41" s="217">
        <f>SUM(L41+M41+N41+O41+P41+U41+Y41+Z41+X41+AC41+AL41+AK41+AL41+AP41+AS41+AO41+AV41+AW41+AX41+AY41+AR41+AU41)+200</f>
        <v>205</v>
      </c>
      <c r="D41" s="144"/>
      <c r="E41" s="145"/>
      <c r="F41" s="146"/>
      <c r="G41" s="147"/>
      <c r="H41" s="684"/>
      <c r="I41" s="677"/>
      <c r="J41" s="535"/>
      <c r="K41" s="114"/>
      <c r="L41" s="113"/>
      <c r="M41" s="112"/>
      <c r="N41" s="112"/>
      <c r="O41" s="112"/>
      <c r="P41" s="112">
        <v>5</v>
      </c>
      <c r="Q41" s="115"/>
      <c r="R41" s="164"/>
      <c r="S41" s="118"/>
      <c r="T41" s="114"/>
      <c r="U41" s="116"/>
      <c r="V41" s="120"/>
      <c r="W41" s="120"/>
      <c r="X41" s="116"/>
      <c r="Y41" s="116"/>
      <c r="Z41" s="116"/>
      <c r="AA41" s="120"/>
      <c r="AB41" s="120">
        <v>10</v>
      </c>
      <c r="AC41" s="116"/>
      <c r="AD41" s="117"/>
      <c r="AE41" s="118"/>
      <c r="AF41" s="118"/>
      <c r="AG41" s="118"/>
      <c r="AH41" s="118"/>
      <c r="AI41" s="118"/>
      <c r="AJ41" s="117"/>
      <c r="AK41" s="116"/>
      <c r="AL41" s="149"/>
      <c r="AM41" s="149"/>
      <c r="AN41" s="116"/>
      <c r="AO41" s="116"/>
      <c r="AP41" s="149"/>
      <c r="AQ41" s="116"/>
      <c r="AR41" s="116"/>
      <c r="AS41" s="149"/>
      <c r="AT41" s="116"/>
      <c r="AU41" s="116"/>
      <c r="AV41" s="116"/>
    </row>
    <row r="42" spans="1:48" ht="21.1">
      <c r="A42" s="82" t="s">
        <v>107</v>
      </c>
      <c r="B42" s="260"/>
      <c r="C42" s="214"/>
      <c r="D42" s="133"/>
      <c r="E42" s="134"/>
      <c r="F42" s="135"/>
      <c r="G42" s="136"/>
      <c r="H42" s="683"/>
      <c r="I42" s="676"/>
      <c r="J42" s="534"/>
      <c r="K42" s="96" t="s">
        <v>339</v>
      </c>
      <c r="L42" s="122" t="s">
        <v>339</v>
      </c>
      <c r="M42" s="165" t="s">
        <v>339</v>
      </c>
      <c r="N42" s="104" t="s">
        <v>339</v>
      </c>
      <c r="O42" s="75" t="s">
        <v>339</v>
      </c>
      <c r="P42" s="75" t="s">
        <v>339</v>
      </c>
      <c r="Q42" s="97" t="s">
        <v>339</v>
      </c>
      <c r="R42" s="163"/>
      <c r="S42" s="109" t="s">
        <v>339</v>
      </c>
      <c r="T42" s="109" t="s">
        <v>339</v>
      </c>
      <c r="U42" s="102" t="s">
        <v>339</v>
      </c>
      <c r="V42" s="101" t="s">
        <v>339</v>
      </c>
      <c r="W42" s="101" t="s">
        <v>339</v>
      </c>
      <c r="X42" s="102" t="s">
        <v>339</v>
      </c>
      <c r="Y42" s="102" t="s">
        <v>339</v>
      </c>
      <c r="Z42" s="102" t="s">
        <v>367</v>
      </c>
      <c r="AA42" s="101" t="s">
        <v>931</v>
      </c>
      <c r="AB42" s="101"/>
      <c r="AC42" s="102">
        <v>11</v>
      </c>
      <c r="AD42" s="98"/>
      <c r="AE42" s="99">
        <v>11</v>
      </c>
      <c r="AF42" s="99">
        <v>11</v>
      </c>
      <c r="AG42" s="99"/>
      <c r="AH42" s="99" t="s">
        <v>738</v>
      </c>
      <c r="AI42" s="99"/>
      <c r="AJ42" s="98"/>
      <c r="AK42" s="102"/>
      <c r="AL42" s="138"/>
      <c r="AM42" s="138"/>
      <c r="AN42" s="102"/>
      <c r="AO42" s="102"/>
      <c r="AP42" s="138"/>
      <c r="AQ42" s="102"/>
      <c r="AR42" s="102"/>
      <c r="AS42" s="138"/>
      <c r="AT42" s="102"/>
      <c r="AU42" s="102"/>
      <c r="AV42" s="102"/>
    </row>
    <row r="43" spans="1:48" ht="16.3">
      <c r="A43" s="246" t="s">
        <v>1</v>
      </c>
      <c r="B43" s="261">
        <f>SUM(L43+M43+N43+O43+P43+U43+X43+Y43+Z43+AC43+AK43+AL43+AK43+AO43+AR43+AS43+AU43+AV43+AW43+AX43+AP43)+60</f>
        <v>62</v>
      </c>
      <c r="C43" s="215">
        <f>B43</f>
        <v>62</v>
      </c>
      <c r="D43" s="139"/>
      <c r="E43" s="140"/>
      <c r="F43" s="135"/>
      <c r="G43" s="136"/>
      <c r="H43" s="683"/>
      <c r="I43" s="676"/>
      <c r="J43" s="534"/>
      <c r="K43" s="96"/>
      <c r="L43" s="104"/>
      <c r="M43" s="75"/>
      <c r="N43" s="75"/>
      <c r="O43" s="75"/>
      <c r="P43" s="75"/>
      <c r="Q43" s="97"/>
      <c r="R43" s="163"/>
      <c r="S43" s="109"/>
      <c r="T43" s="109"/>
      <c r="U43" s="100"/>
      <c r="V43" s="110"/>
      <c r="W43" s="110"/>
      <c r="X43" s="100"/>
      <c r="Y43" s="100"/>
      <c r="Z43" s="100">
        <v>1</v>
      </c>
      <c r="AA43" s="110">
        <v>1</v>
      </c>
      <c r="AB43" s="110"/>
      <c r="AC43" s="100">
        <v>1</v>
      </c>
      <c r="AD43" s="108"/>
      <c r="AE43" s="109">
        <v>1</v>
      </c>
      <c r="AF43" s="109">
        <v>1</v>
      </c>
      <c r="AG43" s="109"/>
      <c r="AH43" s="109">
        <v>1</v>
      </c>
      <c r="AI43" s="109"/>
      <c r="AJ43" s="108"/>
      <c r="AK43" s="100"/>
      <c r="AL43" s="142"/>
      <c r="AM43" s="142"/>
      <c r="AN43" s="100"/>
      <c r="AO43" s="100"/>
      <c r="AP43" s="142"/>
      <c r="AQ43" s="100"/>
      <c r="AR43" s="100"/>
      <c r="AS43" s="142"/>
      <c r="AT43" s="100"/>
      <c r="AU43" s="100"/>
      <c r="AV43" s="100"/>
    </row>
    <row r="44" spans="1:48" ht="16.3">
      <c r="A44" s="246" t="s">
        <v>2</v>
      </c>
      <c r="B44" s="261">
        <f>SUM(L44+M44+N44+O44+P44+U44+X44+Y44+Z44+AC44+AK44+AL44+AK44+AO44+AR44+AS44+AU44+AV44+AW44+AX44)+2</f>
        <v>2</v>
      </c>
      <c r="C44" s="215">
        <f t="shared" ref="C44:C48" si="6">B44</f>
        <v>2</v>
      </c>
      <c r="D44" s="139"/>
      <c r="E44" s="140"/>
      <c r="F44" s="135"/>
      <c r="G44" s="136"/>
      <c r="H44" s="683"/>
      <c r="I44" s="676"/>
      <c r="J44" s="534"/>
      <c r="K44" s="96"/>
      <c r="L44" s="104"/>
      <c r="M44" s="75"/>
      <c r="N44" s="75"/>
      <c r="O44" s="75"/>
      <c r="P44" s="75"/>
      <c r="Q44" s="97"/>
      <c r="R44" s="163"/>
      <c r="S44" s="109"/>
      <c r="T44" s="109"/>
      <c r="U44" s="100"/>
      <c r="V44" s="110"/>
      <c r="W44" s="110"/>
      <c r="X44" s="100"/>
      <c r="Y44" s="100"/>
      <c r="Z44" s="100"/>
      <c r="AA44" s="110"/>
      <c r="AB44" s="110"/>
      <c r="AC44" s="100"/>
      <c r="AD44" s="108"/>
      <c r="AE44" s="109"/>
      <c r="AF44" s="109"/>
      <c r="AG44" s="109"/>
      <c r="AH44" s="109"/>
      <c r="AI44" s="109"/>
      <c r="AJ44" s="108"/>
      <c r="AK44" s="100"/>
      <c r="AL44" s="142"/>
      <c r="AM44" s="142"/>
      <c r="AN44" s="100"/>
      <c r="AO44" s="100"/>
      <c r="AP44" s="142"/>
      <c r="AQ44" s="100"/>
      <c r="AR44" s="100"/>
      <c r="AS44" s="142"/>
      <c r="AT44" s="100"/>
      <c r="AU44" s="100"/>
      <c r="AV44" s="100"/>
    </row>
    <row r="45" spans="1:48" ht="16.3">
      <c r="A45" s="87" t="s">
        <v>363</v>
      </c>
      <c r="B45" s="260">
        <f>SUM(B43+B44)</f>
        <v>64</v>
      </c>
      <c r="C45" s="214">
        <f t="shared" si="6"/>
        <v>64</v>
      </c>
      <c r="D45" s="133"/>
      <c r="E45" s="134"/>
      <c r="F45" s="135"/>
      <c r="G45" s="136"/>
      <c r="H45" s="683"/>
      <c r="I45" s="676"/>
      <c r="J45" s="534"/>
      <c r="K45" s="96"/>
      <c r="L45" s="104"/>
      <c r="M45" s="75"/>
      <c r="N45" s="75"/>
      <c r="O45" s="75"/>
      <c r="P45" s="75"/>
      <c r="Q45" s="97"/>
      <c r="R45" s="163"/>
      <c r="S45" s="109"/>
      <c r="T45" s="109"/>
      <c r="U45" s="100"/>
      <c r="V45" s="110"/>
      <c r="W45" s="110"/>
      <c r="X45" s="100"/>
      <c r="Y45" s="100"/>
      <c r="Z45" s="100"/>
      <c r="AA45" s="110"/>
      <c r="AB45" s="110"/>
      <c r="AC45" s="100"/>
      <c r="AD45" s="108"/>
      <c r="AE45" s="109"/>
      <c r="AF45" s="109"/>
      <c r="AG45" s="109"/>
      <c r="AH45" s="109"/>
      <c r="AI45" s="109"/>
      <c r="AJ45" s="108"/>
      <c r="AK45" s="100"/>
      <c r="AL45" s="142"/>
      <c r="AM45" s="142"/>
      <c r="AN45" s="100"/>
      <c r="AO45" s="100"/>
      <c r="AP45" s="142"/>
      <c r="AQ45" s="100"/>
      <c r="AR45" s="100"/>
      <c r="AS45" s="142"/>
      <c r="AT45" s="100"/>
      <c r="AU45" s="100"/>
      <c r="AV45" s="100"/>
    </row>
    <row r="46" spans="1:48" ht="16.3">
      <c r="A46" s="246" t="s">
        <v>362</v>
      </c>
      <c r="B46" s="261">
        <f>SUM(L46+M46+N46+O46+P46+U46+X46+Y46+Z46+AC46+AK46+AL46+AK46+AO46+AR46+AS46+AU46+AV46+AW46+AX46)+3</f>
        <v>3</v>
      </c>
      <c r="C46" s="215">
        <f t="shared" si="6"/>
        <v>3</v>
      </c>
      <c r="D46" s="139"/>
      <c r="E46" s="140"/>
      <c r="F46" s="135"/>
      <c r="G46" s="136"/>
      <c r="H46" s="683"/>
      <c r="I46" s="676"/>
      <c r="J46" s="534"/>
      <c r="K46" s="96"/>
      <c r="L46" s="104"/>
      <c r="M46" s="75"/>
      <c r="N46" s="75"/>
      <c r="O46" s="75"/>
      <c r="P46" s="75"/>
      <c r="Q46" s="97"/>
      <c r="R46" s="163"/>
      <c r="S46" s="109"/>
      <c r="T46" s="109"/>
      <c r="U46" s="100"/>
      <c r="V46" s="110"/>
      <c r="W46" s="110"/>
      <c r="X46" s="100"/>
      <c r="Y46" s="100"/>
      <c r="Z46" s="100"/>
      <c r="AA46" s="110">
        <v>1</v>
      </c>
      <c r="AB46" s="110"/>
      <c r="AC46" s="100"/>
      <c r="AD46" s="108"/>
      <c r="AE46" s="109"/>
      <c r="AF46" s="109"/>
      <c r="AG46" s="109"/>
      <c r="AH46" s="109"/>
      <c r="AI46" s="109"/>
      <c r="AJ46" s="108"/>
      <c r="AK46" s="100"/>
      <c r="AL46" s="142"/>
      <c r="AM46" s="142"/>
      <c r="AN46" s="100"/>
      <c r="AO46" s="100"/>
      <c r="AP46" s="142"/>
      <c r="AQ46" s="100"/>
      <c r="AR46" s="100"/>
      <c r="AS46" s="142"/>
      <c r="AT46" s="100"/>
      <c r="AU46" s="100"/>
      <c r="AV46" s="100"/>
    </row>
    <row r="47" spans="1:48" ht="16.3">
      <c r="A47" s="246" t="s">
        <v>746</v>
      </c>
      <c r="B47" s="261">
        <f>SUM(L47+M47+N47+O47+P47+U47+X47+Y47+Z47+AC47+AK47+AL47+AK47+AO47+AR47+AS47+AU47+AV47+AW47+AX47)+1</f>
        <v>1</v>
      </c>
      <c r="C47" s="215">
        <f t="shared" ref="C47" si="7">B47</f>
        <v>1</v>
      </c>
      <c r="D47" s="139"/>
      <c r="E47" s="140"/>
      <c r="F47" s="135"/>
      <c r="G47" s="136"/>
      <c r="H47" s="683"/>
      <c r="I47" s="676"/>
      <c r="J47" s="534"/>
      <c r="K47" s="96"/>
      <c r="L47" s="104"/>
      <c r="M47" s="75"/>
      <c r="N47" s="75"/>
      <c r="O47" s="75"/>
      <c r="P47" s="75"/>
      <c r="Q47" s="97"/>
      <c r="R47" s="163"/>
      <c r="S47" s="109"/>
      <c r="T47" s="109"/>
      <c r="U47" s="100"/>
      <c r="V47" s="110"/>
      <c r="W47" s="110"/>
      <c r="X47" s="100"/>
      <c r="Y47" s="100"/>
      <c r="Z47" s="100"/>
      <c r="AA47" s="110"/>
      <c r="AB47" s="110"/>
      <c r="AC47" s="100"/>
      <c r="AD47" s="108"/>
      <c r="AE47" s="109"/>
      <c r="AF47" s="109"/>
      <c r="AG47" s="109"/>
      <c r="AH47" s="109"/>
      <c r="AI47" s="109"/>
      <c r="AJ47" s="108"/>
      <c r="AK47" s="100"/>
      <c r="AL47" s="142"/>
      <c r="AM47" s="142"/>
      <c r="AN47" s="100"/>
      <c r="AO47" s="100"/>
      <c r="AP47" s="142"/>
      <c r="AQ47" s="100"/>
      <c r="AR47" s="100"/>
      <c r="AS47" s="142"/>
      <c r="AT47" s="100"/>
      <c r="AU47" s="100"/>
      <c r="AV47" s="100"/>
    </row>
    <row r="48" spans="1:48" ht="16.3">
      <c r="A48" s="87" t="s">
        <v>3</v>
      </c>
      <c r="B48" s="260">
        <f>SUM(L48+M48+N48+O48+P48+U48+X48+Y48+Z48+AC48+AK48+AL48+AK48+AO48+AR48+AS48+AU48+AV48+AW48+AX48)+34</f>
        <v>34</v>
      </c>
      <c r="C48" s="214">
        <f t="shared" si="6"/>
        <v>34</v>
      </c>
      <c r="D48" s="133"/>
      <c r="E48" s="134"/>
      <c r="F48" s="135"/>
      <c r="G48" s="136"/>
      <c r="H48" s="683"/>
      <c r="I48" s="676"/>
      <c r="J48" s="534"/>
      <c r="K48" s="96"/>
      <c r="L48" s="104"/>
      <c r="M48" s="75"/>
      <c r="N48" s="75"/>
      <c r="O48" s="75"/>
      <c r="P48" s="75"/>
      <c r="Q48" s="97"/>
      <c r="R48" s="163"/>
      <c r="S48" s="109"/>
      <c r="T48" s="109"/>
      <c r="U48" s="100"/>
      <c r="V48" s="110"/>
      <c r="W48" s="110"/>
      <c r="X48" s="150"/>
      <c r="Y48" s="100"/>
      <c r="Z48" s="100"/>
      <c r="AA48" s="110">
        <v>1</v>
      </c>
      <c r="AB48" s="110"/>
      <c r="AC48" s="100"/>
      <c r="AD48" s="108"/>
      <c r="AE48" s="109"/>
      <c r="AF48" s="109"/>
      <c r="AG48" s="109"/>
      <c r="AH48" s="109">
        <v>1</v>
      </c>
      <c r="AI48" s="109"/>
      <c r="AJ48" s="108"/>
      <c r="AK48" s="100"/>
      <c r="AL48" s="142"/>
      <c r="AM48" s="142"/>
      <c r="AN48" s="100"/>
      <c r="AO48" s="100"/>
      <c r="AP48" s="142"/>
      <c r="AQ48" s="100"/>
      <c r="AR48" s="100"/>
      <c r="AS48" s="142"/>
      <c r="AT48" s="100"/>
      <c r="AU48" s="100"/>
      <c r="AV48" s="100"/>
    </row>
    <row r="49" spans="1:49" ht="17" thickBot="1">
      <c r="A49" s="88" t="s">
        <v>4</v>
      </c>
      <c r="B49" s="262">
        <f>SUM(L49+M49+N49+O49+P49+U49+X49+Y49+Z49+AC49+AK49+AL49+AK49+AO49+AR49+AS49+AU49+AV49+AW49+AX49)+170</f>
        <v>170</v>
      </c>
      <c r="C49" s="217">
        <f t="shared" ref="C49" si="8">B49</f>
        <v>170</v>
      </c>
      <c r="D49" s="144"/>
      <c r="E49" s="145"/>
      <c r="F49" s="146"/>
      <c r="G49" s="147"/>
      <c r="H49" s="684"/>
      <c r="I49" s="677"/>
      <c r="J49" s="535"/>
      <c r="K49" s="114"/>
      <c r="L49" s="113"/>
      <c r="M49" s="112"/>
      <c r="N49" s="112"/>
      <c r="O49" s="112"/>
      <c r="P49" s="112"/>
      <c r="Q49" s="115"/>
      <c r="R49" s="164"/>
      <c r="S49" s="118"/>
      <c r="T49" s="114"/>
      <c r="U49" s="116"/>
      <c r="V49" s="120"/>
      <c r="W49" s="120"/>
      <c r="X49" s="116"/>
      <c r="Y49" s="116"/>
      <c r="Z49" s="116"/>
      <c r="AA49" s="120">
        <v>5</v>
      </c>
      <c r="AB49" s="120"/>
      <c r="AC49" s="116"/>
      <c r="AD49" s="117"/>
      <c r="AE49" s="118"/>
      <c r="AF49" s="118"/>
      <c r="AG49" s="118"/>
      <c r="AH49" s="118">
        <v>5</v>
      </c>
      <c r="AI49" s="118"/>
      <c r="AJ49" s="117"/>
      <c r="AK49" s="116"/>
      <c r="AL49" s="149"/>
      <c r="AM49" s="149"/>
      <c r="AN49" s="116"/>
      <c r="AO49" s="116"/>
      <c r="AP49" s="149"/>
      <c r="AQ49" s="116"/>
      <c r="AR49" s="116"/>
      <c r="AS49" s="149"/>
      <c r="AT49" s="116"/>
      <c r="AU49" s="116"/>
      <c r="AV49" s="116"/>
    </row>
    <row r="50" spans="1:49" ht="21.1">
      <c r="A50" s="82" t="s">
        <v>573</v>
      </c>
      <c r="B50" s="260"/>
      <c r="C50" s="214"/>
      <c r="D50" s="133"/>
      <c r="E50" s="134"/>
      <c r="F50" s="135"/>
      <c r="G50" s="136"/>
      <c r="H50" s="683"/>
      <c r="I50" s="676"/>
      <c r="J50" s="534"/>
      <c r="K50" s="96"/>
      <c r="L50" s="104">
        <v>11</v>
      </c>
      <c r="M50" s="75">
        <v>11</v>
      </c>
      <c r="N50" s="75">
        <v>11</v>
      </c>
      <c r="O50" s="75">
        <v>11</v>
      </c>
      <c r="P50" s="75">
        <v>11</v>
      </c>
      <c r="Q50" s="97" t="s">
        <v>775</v>
      </c>
      <c r="R50" s="163"/>
      <c r="S50" s="109" t="s">
        <v>775</v>
      </c>
      <c r="T50" s="109" t="s">
        <v>775</v>
      </c>
      <c r="U50" s="100">
        <v>11</v>
      </c>
      <c r="V50" s="110">
        <v>11</v>
      </c>
      <c r="W50" s="110">
        <v>11</v>
      </c>
      <c r="X50" s="100"/>
      <c r="Y50" s="100">
        <v>11</v>
      </c>
      <c r="Z50" s="100" t="s">
        <v>383</v>
      </c>
      <c r="AA50" s="110">
        <v>14</v>
      </c>
      <c r="AB50" s="110">
        <v>11</v>
      </c>
      <c r="AC50" s="100" t="s">
        <v>375</v>
      </c>
      <c r="AD50" s="108"/>
      <c r="AE50" s="109" t="s">
        <v>775</v>
      </c>
      <c r="AF50" s="109" t="s">
        <v>775</v>
      </c>
      <c r="AG50" s="109" t="s">
        <v>775</v>
      </c>
      <c r="AH50" s="109" t="s">
        <v>775</v>
      </c>
      <c r="AI50" s="109" t="s">
        <v>775</v>
      </c>
      <c r="AJ50" s="108"/>
      <c r="AK50" s="100"/>
      <c r="AL50" s="142"/>
      <c r="AM50" s="142"/>
      <c r="AN50" s="100"/>
      <c r="AO50" s="100"/>
      <c r="AP50" s="142"/>
      <c r="AQ50" s="100"/>
      <c r="AR50" s="100"/>
      <c r="AS50" s="142"/>
      <c r="AT50" s="100"/>
      <c r="AU50" s="100"/>
      <c r="AV50" s="100"/>
      <c r="AW50" s="15"/>
    </row>
    <row r="51" spans="1:49" ht="16.3">
      <c r="A51" s="246" t="s">
        <v>1</v>
      </c>
      <c r="B51" s="261">
        <f>SUM(L51+M51+N51+O51+P51+U51+X51+Y51+Z51+AC51+AK51+AL51+AK51+AO51+AR51+AS51+AU51+AV51+AW51+AX51+AP51)</f>
        <v>8</v>
      </c>
      <c r="C51" s="215">
        <f>SUM(L51+M51+N51+O51+P51+U51+Y51+Z51+X51+AC51+AL51+AK51+AL51+AP51+AS51+AO51+AV51+AW51+AX51+AY51+AR51+AU51)+7</f>
        <v>15</v>
      </c>
      <c r="D51" s="139"/>
      <c r="E51" s="140"/>
      <c r="F51" s="135"/>
      <c r="G51" s="136"/>
      <c r="H51" s="683"/>
      <c r="I51" s="676"/>
      <c r="J51" s="534"/>
      <c r="K51" s="96"/>
      <c r="L51" s="104">
        <v>1</v>
      </c>
      <c r="M51" s="75">
        <v>1</v>
      </c>
      <c r="N51" s="75">
        <v>1</v>
      </c>
      <c r="O51" s="75">
        <v>1</v>
      </c>
      <c r="P51" s="75">
        <v>1</v>
      </c>
      <c r="Q51" s="97"/>
      <c r="R51" s="163"/>
      <c r="S51" s="109"/>
      <c r="T51" s="109"/>
      <c r="U51" s="100">
        <v>1</v>
      </c>
      <c r="V51" s="110">
        <v>1</v>
      </c>
      <c r="W51" s="110">
        <v>1</v>
      </c>
      <c r="X51" s="100"/>
      <c r="Y51" s="100">
        <v>1</v>
      </c>
      <c r="Z51" s="100">
        <v>1</v>
      </c>
      <c r="AA51" s="110">
        <v>1</v>
      </c>
      <c r="AB51" s="110">
        <v>1</v>
      </c>
      <c r="AC51" s="100"/>
      <c r="AD51" s="108"/>
      <c r="AE51" s="109"/>
      <c r="AF51" s="109"/>
      <c r="AG51" s="109"/>
      <c r="AH51" s="109"/>
      <c r="AI51" s="109"/>
      <c r="AJ51" s="108"/>
      <c r="AK51" s="100"/>
      <c r="AL51" s="142"/>
      <c r="AM51" s="142"/>
      <c r="AN51" s="100"/>
      <c r="AO51" s="100"/>
      <c r="AP51" s="142"/>
      <c r="AQ51" s="100"/>
      <c r="AR51" s="100"/>
      <c r="AS51" s="142"/>
      <c r="AT51" s="100"/>
      <c r="AU51" s="100"/>
      <c r="AV51" s="100"/>
    </row>
    <row r="52" spans="1:49" ht="16.3">
      <c r="A52" s="246" t="s">
        <v>2</v>
      </c>
      <c r="B52" s="261">
        <f>SUM(L52+M52+N52+O52+P52+U52+X52+Y52+Z52+AC52+AK52+AL52+AK52+AO52+AR52+AS52+AU52+AV52+AW52+AX52+AP52)</f>
        <v>1</v>
      </c>
      <c r="C52" s="215">
        <f>SUM(L52+M52+N52+O52+P52+U52+Y52+Z52+X52+AC52+AL52+AK52+AL52+AP52+AS52+AO52+AV52+AW52+AX52+AY52+AR52+AU52)+9</f>
        <v>10</v>
      </c>
      <c r="D52" s="139"/>
      <c r="E52" s="140"/>
      <c r="F52" s="135"/>
      <c r="G52" s="136"/>
      <c r="H52" s="683"/>
      <c r="I52" s="676"/>
      <c r="J52" s="534"/>
      <c r="K52" s="96"/>
      <c r="L52" s="104"/>
      <c r="M52" s="75"/>
      <c r="N52" s="75"/>
      <c r="O52" s="75"/>
      <c r="P52" s="75"/>
      <c r="Q52" s="97"/>
      <c r="R52" s="163"/>
      <c r="S52" s="109"/>
      <c r="T52" s="109"/>
      <c r="U52" s="100"/>
      <c r="V52" s="110"/>
      <c r="W52" s="110"/>
      <c r="X52" s="100"/>
      <c r="Y52" s="100"/>
      <c r="Z52" s="100"/>
      <c r="AA52" s="110"/>
      <c r="AB52" s="110"/>
      <c r="AC52" s="100">
        <v>1</v>
      </c>
      <c r="AD52" s="108"/>
      <c r="AE52" s="109"/>
      <c r="AF52" s="109"/>
      <c r="AG52" s="109"/>
      <c r="AH52" s="109"/>
      <c r="AI52" s="109"/>
      <c r="AJ52" s="108"/>
      <c r="AK52" s="100"/>
      <c r="AL52" s="142"/>
      <c r="AM52" s="142"/>
      <c r="AN52" s="100"/>
      <c r="AO52" s="100"/>
      <c r="AP52" s="142"/>
      <c r="AQ52" s="100"/>
      <c r="AR52" s="100"/>
      <c r="AS52" s="142"/>
      <c r="AT52" s="100"/>
      <c r="AU52" s="100"/>
      <c r="AV52" s="100"/>
    </row>
    <row r="53" spans="1:49" ht="16.3">
      <c r="A53" s="87" t="s">
        <v>363</v>
      </c>
      <c r="B53" s="260">
        <f>SUM(B51+B52)</f>
        <v>9</v>
      </c>
      <c r="C53" s="214">
        <f>SUM(C51+C52)</f>
        <v>25</v>
      </c>
      <c r="D53" s="133"/>
      <c r="E53" s="134"/>
      <c r="F53" s="135"/>
      <c r="G53" s="136"/>
      <c r="H53" s="683"/>
      <c r="I53" s="676"/>
      <c r="J53" s="534"/>
      <c r="K53" s="96"/>
      <c r="L53" s="104"/>
      <c r="M53" s="75"/>
      <c r="N53" s="75"/>
      <c r="O53" s="75"/>
      <c r="P53" s="75"/>
      <c r="Q53" s="97"/>
      <c r="R53" s="163"/>
      <c r="S53" s="109"/>
      <c r="T53" s="109"/>
      <c r="U53" s="100"/>
      <c r="V53" s="110"/>
      <c r="W53" s="110"/>
      <c r="X53" s="100"/>
      <c r="Y53" s="100"/>
      <c r="Z53" s="100"/>
      <c r="AA53" s="110"/>
      <c r="AB53" s="110"/>
      <c r="AC53" s="100"/>
      <c r="AD53" s="108"/>
      <c r="AE53" s="109"/>
      <c r="AF53" s="109"/>
      <c r="AG53" s="109"/>
      <c r="AH53" s="109"/>
      <c r="AI53" s="109"/>
      <c r="AJ53" s="108"/>
      <c r="AK53" s="100"/>
      <c r="AL53" s="142"/>
      <c r="AM53" s="142"/>
      <c r="AN53" s="100"/>
      <c r="AO53" s="100"/>
      <c r="AP53" s="142"/>
      <c r="AQ53" s="100"/>
      <c r="AR53" s="100"/>
      <c r="AS53" s="142"/>
      <c r="AT53" s="100"/>
      <c r="AU53" s="100"/>
      <c r="AV53" s="100"/>
    </row>
    <row r="54" spans="1:49" ht="16.3">
      <c r="A54" s="87" t="s">
        <v>3</v>
      </c>
      <c r="B54" s="260">
        <f>SUM(L54+M54+N54+O54+P54+U54+X54+Y54+Z54+AC54+AK54+AL54+AK54+AO54+AR54+AS54+AU54+AV54+AW54+AX54+AP54)</f>
        <v>6</v>
      </c>
      <c r="C54" s="214">
        <f>SUM(L54+M54+N54+O54+P54+U54+Y54+Z54+X54+AC54+AL54+AK54+AL54+AP54+AS54+AO54+AV54+AW54+AX54+AY54+AR54+AU54)+5</f>
        <v>11</v>
      </c>
      <c r="D54" s="133"/>
      <c r="E54" s="134"/>
      <c r="F54" s="135"/>
      <c r="G54" s="136"/>
      <c r="H54" s="683"/>
      <c r="I54" s="676"/>
      <c r="J54" s="534"/>
      <c r="K54" s="96"/>
      <c r="L54" s="104">
        <v>2</v>
      </c>
      <c r="M54" s="75">
        <v>1</v>
      </c>
      <c r="N54" s="75"/>
      <c r="O54" s="75"/>
      <c r="P54" s="75">
        <v>1</v>
      </c>
      <c r="Q54" s="97"/>
      <c r="R54" s="163"/>
      <c r="S54" s="109"/>
      <c r="T54" s="109"/>
      <c r="U54" s="100">
        <v>2</v>
      </c>
      <c r="V54" s="110">
        <v>1</v>
      </c>
      <c r="W54" s="110"/>
      <c r="X54" s="100"/>
      <c r="Y54" s="100"/>
      <c r="Z54" s="100"/>
      <c r="AA54" s="110"/>
      <c r="AB54" s="110">
        <v>1</v>
      </c>
      <c r="AC54" s="100"/>
      <c r="AD54" s="108"/>
      <c r="AE54" s="109"/>
      <c r="AF54" s="109"/>
      <c r="AG54" s="109"/>
      <c r="AH54" s="109"/>
      <c r="AI54" s="109"/>
      <c r="AJ54" s="108"/>
      <c r="AK54" s="100"/>
      <c r="AL54" s="142"/>
      <c r="AM54" s="142"/>
      <c r="AN54" s="100"/>
      <c r="AO54" s="100"/>
      <c r="AP54" s="142"/>
      <c r="AQ54" s="100"/>
      <c r="AR54" s="100"/>
      <c r="AS54" s="142"/>
      <c r="AT54" s="100"/>
      <c r="AU54" s="100"/>
      <c r="AV54" s="100"/>
    </row>
    <row r="55" spans="1:49" ht="17" thickBot="1">
      <c r="A55" s="88" t="s">
        <v>4</v>
      </c>
      <c r="B55" s="262">
        <f>SUM(L55+M55+N55+O55+P55+U55+X55+Y55+Z55+AC55+AK55+AL55+AK55+AO55+AR55+AS55+AU55+AV55+AW55+AX55+AP55)</f>
        <v>30</v>
      </c>
      <c r="C55" s="217">
        <f>SUM(L55+M55+N55+O55+P55+U55+Y55+Z55+X55+AC55+AL55+AK55+AL55+AP55+AS55+AO55+AV55+AW55+AX55+AY55+AR55+AU55)+25</f>
        <v>55</v>
      </c>
      <c r="D55" s="144"/>
      <c r="E55" s="145"/>
      <c r="F55" s="146"/>
      <c r="G55" s="147"/>
      <c r="H55" s="684"/>
      <c r="I55" s="677"/>
      <c r="J55" s="535"/>
      <c r="K55" s="114"/>
      <c r="L55" s="113">
        <v>10</v>
      </c>
      <c r="M55" s="112">
        <v>5</v>
      </c>
      <c r="N55" s="112"/>
      <c r="O55" s="112"/>
      <c r="P55" s="112">
        <v>5</v>
      </c>
      <c r="Q55" s="115"/>
      <c r="R55" s="164"/>
      <c r="S55" s="118"/>
      <c r="T55" s="118"/>
      <c r="U55" s="100">
        <v>10</v>
      </c>
      <c r="V55" s="110">
        <v>5</v>
      </c>
      <c r="W55" s="110"/>
      <c r="X55" s="100"/>
      <c r="Y55" s="100"/>
      <c r="Z55" s="100"/>
      <c r="AA55" s="110"/>
      <c r="AB55" s="110">
        <v>5</v>
      </c>
      <c r="AC55" s="100"/>
      <c r="AD55" s="108"/>
      <c r="AE55" s="109"/>
      <c r="AF55" s="109"/>
      <c r="AG55" s="109"/>
      <c r="AH55" s="109"/>
      <c r="AI55" s="109"/>
      <c r="AJ55" s="108"/>
      <c r="AK55" s="100"/>
      <c r="AL55" s="142"/>
      <c r="AM55" s="142"/>
      <c r="AN55" s="100"/>
      <c r="AO55" s="100"/>
      <c r="AP55" s="142"/>
      <c r="AQ55" s="100"/>
      <c r="AR55" s="100"/>
      <c r="AS55" s="142"/>
      <c r="AT55" s="100"/>
      <c r="AU55" s="100"/>
      <c r="AV55" s="100"/>
    </row>
    <row r="56" spans="1:49" ht="21.1">
      <c r="A56" s="82" t="s">
        <v>415</v>
      </c>
      <c r="B56" s="260"/>
      <c r="C56" s="214"/>
      <c r="D56" s="133"/>
      <c r="E56" s="134"/>
      <c r="F56" s="135"/>
      <c r="G56" s="136"/>
      <c r="H56" s="683"/>
      <c r="I56" s="676"/>
      <c r="J56" s="534"/>
      <c r="K56" s="96" t="s">
        <v>375</v>
      </c>
      <c r="L56" s="104"/>
      <c r="M56" s="75"/>
      <c r="N56" s="75"/>
      <c r="O56" s="75"/>
      <c r="P56" s="75"/>
      <c r="Q56" s="97" t="s">
        <v>367</v>
      </c>
      <c r="R56" s="163"/>
      <c r="S56" s="109">
        <v>13</v>
      </c>
      <c r="T56" s="109">
        <v>11</v>
      </c>
      <c r="U56" s="102"/>
      <c r="V56" s="101"/>
      <c r="W56" s="101"/>
      <c r="X56" s="102"/>
      <c r="Y56" s="102"/>
      <c r="Z56" s="102"/>
      <c r="AA56" s="101"/>
      <c r="AB56" s="101"/>
      <c r="AC56" s="102"/>
      <c r="AD56" s="98"/>
      <c r="AE56" s="99">
        <v>14</v>
      </c>
      <c r="AF56" s="99">
        <v>14</v>
      </c>
      <c r="AG56" s="99"/>
      <c r="AH56" s="99"/>
      <c r="AI56" s="99">
        <v>11</v>
      </c>
      <c r="AJ56" s="98"/>
      <c r="AK56" s="102"/>
      <c r="AL56" s="138"/>
      <c r="AM56" s="138"/>
      <c r="AN56" s="102"/>
      <c r="AO56" s="102"/>
      <c r="AP56" s="138"/>
      <c r="AQ56" s="102"/>
      <c r="AR56" s="102"/>
      <c r="AS56" s="138"/>
      <c r="AT56" s="102"/>
      <c r="AU56" s="102"/>
      <c r="AV56" s="102"/>
    </row>
    <row r="57" spans="1:49" ht="16.3">
      <c r="A57" s="246" t="s">
        <v>1</v>
      </c>
      <c r="B57" s="261">
        <f>SUM(L57+M57+N57+O57+P57+U57+X57+Y57+Z57+AC57+AK57+AL57+AK57+AO57+AR57+AS57+AU57+AV57+AW57+AX57+AP57)</f>
        <v>0</v>
      </c>
      <c r="C57" s="215">
        <f>B57</f>
        <v>0</v>
      </c>
      <c r="D57" s="133"/>
      <c r="E57" s="134"/>
      <c r="F57" s="135"/>
      <c r="G57" s="136"/>
      <c r="H57" s="683"/>
      <c r="I57" s="676"/>
      <c r="J57" s="534"/>
      <c r="K57" s="96"/>
      <c r="L57" s="104"/>
      <c r="M57" s="75"/>
      <c r="N57" s="75"/>
      <c r="O57" s="75"/>
      <c r="P57" s="75"/>
      <c r="Q57" s="97">
        <v>1</v>
      </c>
      <c r="R57" s="163"/>
      <c r="S57" s="109">
        <v>1</v>
      </c>
      <c r="T57" s="109">
        <v>1</v>
      </c>
      <c r="U57" s="100"/>
      <c r="V57" s="110"/>
      <c r="W57" s="110"/>
      <c r="X57" s="100"/>
      <c r="Y57" s="100"/>
      <c r="Z57" s="100"/>
      <c r="AA57" s="110"/>
      <c r="AB57" s="110"/>
      <c r="AC57" s="100"/>
      <c r="AD57" s="108"/>
      <c r="AE57" s="109">
        <v>1</v>
      </c>
      <c r="AF57" s="109">
        <v>1</v>
      </c>
      <c r="AG57" s="109"/>
      <c r="AH57" s="109"/>
      <c r="AI57" s="109">
        <v>1</v>
      </c>
      <c r="AJ57" s="108"/>
      <c r="AK57" s="100"/>
      <c r="AL57" s="142"/>
      <c r="AM57" s="142"/>
      <c r="AN57" s="100"/>
      <c r="AO57" s="100"/>
      <c r="AP57" s="142"/>
      <c r="AQ57" s="100"/>
      <c r="AR57" s="100"/>
      <c r="AS57" s="142"/>
      <c r="AT57" s="100"/>
      <c r="AU57" s="100"/>
      <c r="AV57" s="100"/>
    </row>
    <row r="58" spans="1:49" ht="16.3">
      <c r="A58" s="246" t="s">
        <v>2</v>
      </c>
      <c r="B58" s="261">
        <f>SUM(L58+M58+N58+O58+P58+U58+X58+Y58+Z58+AC58+AK58+AL58+AK58+AO58+AR58+AS58+AU58+AV58+AW58+AX58)</f>
        <v>0</v>
      </c>
      <c r="C58" s="215">
        <f t="shared" ref="C58:C61" si="9">B58</f>
        <v>0</v>
      </c>
      <c r="D58" s="133"/>
      <c r="E58" s="134"/>
      <c r="F58" s="135"/>
      <c r="G58" s="136"/>
      <c r="H58" s="683"/>
      <c r="I58" s="676"/>
      <c r="J58" s="534"/>
      <c r="K58" s="96">
        <v>1</v>
      </c>
      <c r="L58" s="104"/>
      <c r="M58" s="75"/>
      <c r="N58" s="75"/>
      <c r="O58" s="75"/>
      <c r="P58" s="75"/>
      <c r="Q58" s="97"/>
      <c r="R58" s="163"/>
      <c r="S58" s="109"/>
      <c r="T58" s="109"/>
      <c r="U58" s="100"/>
      <c r="V58" s="110"/>
      <c r="W58" s="110"/>
      <c r="X58" s="100"/>
      <c r="Y58" s="100"/>
      <c r="Z58" s="100"/>
      <c r="AA58" s="110"/>
      <c r="AB58" s="110"/>
      <c r="AC58" s="100"/>
      <c r="AD58" s="108"/>
      <c r="AE58" s="109"/>
      <c r="AF58" s="109"/>
      <c r="AG58" s="109"/>
      <c r="AH58" s="109"/>
      <c r="AI58" s="109"/>
      <c r="AJ58" s="108"/>
      <c r="AK58" s="100"/>
      <c r="AL58" s="142"/>
      <c r="AM58" s="142"/>
      <c r="AN58" s="100"/>
      <c r="AO58" s="100"/>
      <c r="AP58" s="142"/>
      <c r="AQ58" s="100"/>
      <c r="AR58" s="100"/>
      <c r="AS58" s="142"/>
      <c r="AT58" s="100"/>
      <c r="AU58" s="100"/>
      <c r="AV58" s="100"/>
    </row>
    <row r="59" spans="1:49" ht="16.3">
      <c r="A59" s="87" t="s">
        <v>363</v>
      </c>
      <c r="B59" s="260">
        <f>SUM(B57+B58)</f>
        <v>0</v>
      </c>
      <c r="C59" s="214">
        <f t="shared" si="9"/>
        <v>0</v>
      </c>
      <c r="D59" s="139"/>
      <c r="E59" s="140"/>
      <c r="F59" s="135"/>
      <c r="G59" s="136"/>
      <c r="H59" s="683"/>
      <c r="I59" s="676"/>
      <c r="J59" s="534"/>
      <c r="K59" s="96"/>
      <c r="L59" s="104"/>
      <c r="M59" s="75"/>
      <c r="N59" s="75"/>
      <c r="O59" s="75"/>
      <c r="P59" s="75"/>
      <c r="Q59" s="97"/>
      <c r="R59" s="163"/>
      <c r="S59" s="109"/>
      <c r="T59" s="109"/>
      <c r="U59" s="100"/>
      <c r="V59" s="110"/>
      <c r="W59" s="110"/>
      <c r="X59" s="100"/>
      <c r="Y59" s="100"/>
      <c r="Z59" s="100"/>
      <c r="AA59" s="110"/>
      <c r="AB59" s="110"/>
      <c r="AC59" s="100"/>
      <c r="AD59" s="108"/>
      <c r="AE59" s="109"/>
      <c r="AF59" s="109"/>
      <c r="AG59" s="109"/>
      <c r="AH59" s="109"/>
      <c r="AI59" s="109"/>
      <c r="AJ59" s="108"/>
      <c r="AK59" s="100"/>
      <c r="AL59" s="142"/>
      <c r="AM59" s="142"/>
      <c r="AN59" s="100"/>
      <c r="AO59" s="100"/>
      <c r="AP59" s="142"/>
      <c r="AQ59" s="100"/>
      <c r="AR59" s="100"/>
      <c r="AS59" s="142"/>
      <c r="AT59" s="100"/>
      <c r="AU59" s="100"/>
      <c r="AV59" s="100"/>
    </row>
    <row r="60" spans="1:49" ht="16.3">
      <c r="A60" s="87" t="s">
        <v>3</v>
      </c>
      <c r="B60" s="260">
        <f>SUM(L60+M60+N60+O60+P60+U60+X60+Y60+Z60+AC60+AK60+AL60+AK60+AO60+AR60+AS60+AU60+AV60+AW60+AX60+AP60)</f>
        <v>0</v>
      </c>
      <c r="C60" s="214">
        <f t="shared" si="9"/>
        <v>0</v>
      </c>
      <c r="D60" s="133"/>
      <c r="E60" s="134"/>
      <c r="F60" s="135"/>
      <c r="G60" s="136"/>
      <c r="H60" s="683"/>
      <c r="I60" s="676"/>
      <c r="J60" s="534"/>
      <c r="K60" s="96"/>
      <c r="L60" s="104"/>
      <c r="M60" s="75"/>
      <c r="N60" s="75"/>
      <c r="O60" s="75"/>
      <c r="P60" s="75"/>
      <c r="Q60" s="97">
        <v>2</v>
      </c>
      <c r="R60" s="163"/>
      <c r="S60" s="109"/>
      <c r="T60" s="109"/>
      <c r="U60" s="100"/>
      <c r="V60" s="110"/>
      <c r="W60" s="110"/>
      <c r="X60" s="100"/>
      <c r="Y60" s="100"/>
      <c r="Z60" s="100"/>
      <c r="AA60" s="110"/>
      <c r="AB60" s="110"/>
      <c r="AC60" s="100"/>
      <c r="AD60" s="108"/>
      <c r="AE60" s="109">
        <v>1</v>
      </c>
      <c r="AF60" s="109">
        <v>2</v>
      </c>
      <c r="AG60" s="109"/>
      <c r="AH60" s="109"/>
      <c r="AI60" s="109"/>
      <c r="AJ60" s="108"/>
      <c r="AK60" s="100"/>
      <c r="AL60" s="142"/>
      <c r="AM60" s="142"/>
      <c r="AN60" s="100"/>
      <c r="AO60" s="100"/>
      <c r="AP60" s="142"/>
      <c r="AQ60" s="100"/>
      <c r="AR60" s="100"/>
      <c r="AS60" s="142"/>
      <c r="AT60" s="100"/>
      <c r="AU60" s="100"/>
      <c r="AV60" s="100"/>
    </row>
    <row r="61" spans="1:49" ht="17" thickBot="1">
      <c r="A61" s="88" t="s">
        <v>4</v>
      </c>
      <c r="B61" s="262">
        <f>SUM(L61+M61+N61+O61+P61+U61+X61+Y61+Z61+AC61+AK61+AL61+AK61+AO61+AR61+AS61+AU61+AV61+AW61+AX61+AP61)</f>
        <v>0</v>
      </c>
      <c r="C61" s="217">
        <f t="shared" si="9"/>
        <v>0</v>
      </c>
      <c r="D61" s="144"/>
      <c r="E61" s="145"/>
      <c r="F61" s="146"/>
      <c r="G61" s="147"/>
      <c r="H61" s="684"/>
      <c r="I61" s="677"/>
      <c r="J61" s="535"/>
      <c r="K61" s="114"/>
      <c r="L61" s="113"/>
      <c r="M61" s="112"/>
      <c r="N61" s="112"/>
      <c r="O61" s="112"/>
      <c r="P61" s="112"/>
      <c r="Q61" s="115">
        <v>10</v>
      </c>
      <c r="R61" s="164"/>
      <c r="S61" s="118"/>
      <c r="T61" s="114"/>
      <c r="U61" s="116"/>
      <c r="V61" s="120"/>
      <c r="W61" s="120"/>
      <c r="X61" s="116"/>
      <c r="Y61" s="116"/>
      <c r="Z61" s="116"/>
      <c r="AA61" s="120"/>
      <c r="AB61" s="120"/>
      <c r="AC61" s="116"/>
      <c r="AD61" s="117"/>
      <c r="AE61" s="118">
        <v>5</v>
      </c>
      <c r="AF61" s="118">
        <v>10</v>
      </c>
      <c r="AG61" s="118"/>
      <c r="AH61" s="118"/>
      <c r="AI61" s="118"/>
      <c r="AJ61" s="117"/>
      <c r="AK61" s="116"/>
      <c r="AL61" s="149"/>
      <c r="AM61" s="149"/>
      <c r="AN61" s="116"/>
      <c r="AO61" s="116"/>
      <c r="AP61" s="149"/>
      <c r="AQ61" s="116"/>
      <c r="AR61" s="116"/>
      <c r="AS61" s="149"/>
      <c r="AT61" s="116"/>
      <c r="AU61" s="116"/>
      <c r="AV61" s="116"/>
    </row>
    <row r="62" spans="1:49" ht="21.1">
      <c r="A62" s="82" t="s">
        <v>402</v>
      </c>
      <c r="B62" s="260"/>
      <c r="C62" s="214"/>
      <c r="D62" s="133"/>
      <c r="E62" s="134"/>
      <c r="F62" s="135"/>
      <c r="G62" s="136"/>
      <c r="H62" s="683"/>
      <c r="I62" s="676"/>
      <c r="J62" s="534"/>
      <c r="K62" s="96" t="s">
        <v>383</v>
      </c>
      <c r="L62" s="104"/>
      <c r="M62" s="75"/>
      <c r="N62" s="75"/>
      <c r="O62" s="75"/>
      <c r="P62" s="75"/>
      <c r="Q62" s="97"/>
      <c r="R62" s="163"/>
      <c r="S62" s="109">
        <v>15</v>
      </c>
      <c r="T62" s="109"/>
      <c r="U62" s="100"/>
      <c r="V62" s="110"/>
      <c r="W62" s="110"/>
      <c r="X62" s="100"/>
      <c r="Y62" s="100"/>
      <c r="Z62" s="100"/>
      <c r="AA62" s="110"/>
      <c r="AB62" s="110"/>
      <c r="AC62" s="100"/>
      <c r="AD62" s="108"/>
      <c r="AE62" s="109">
        <v>15</v>
      </c>
      <c r="AF62" s="109" t="s">
        <v>379</v>
      </c>
      <c r="AG62" s="109" t="s">
        <v>383</v>
      </c>
      <c r="AH62" s="109"/>
      <c r="AI62" s="109">
        <v>14</v>
      </c>
      <c r="AJ62" s="108"/>
      <c r="AK62" s="100"/>
      <c r="AL62" s="142"/>
      <c r="AM62" s="142"/>
      <c r="AN62" s="100"/>
      <c r="AO62" s="100"/>
      <c r="AP62" s="142"/>
      <c r="AQ62" s="100"/>
      <c r="AR62" s="100"/>
      <c r="AS62" s="142"/>
      <c r="AT62" s="100"/>
      <c r="AU62" s="100"/>
      <c r="AV62" s="100"/>
    </row>
    <row r="63" spans="1:49" ht="16.3">
      <c r="A63" s="246" t="s">
        <v>1</v>
      </c>
      <c r="B63" s="261">
        <f>SUM(L63+M63+N63+O63+P63+U63+X63+Y63+Z63+AC63+AK63+AL63+AK63+AO63+AR63+AS63+AU63+AV63+AW63+AX63+AP63)+5</f>
        <v>5</v>
      </c>
      <c r="C63" s="215">
        <f>B63</f>
        <v>5</v>
      </c>
      <c r="D63" s="139"/>
      <c r="E63" s="140"/>
      <c r="F63" s="135"/>
      <c r="G63" s="136"/>
      <c r="H63" s="683"/>
      <c r="I63" s="676"/>
      <c r="J63" s="534"/>
      <c r="K63" s="96">
        <v>1</v>
      </c>
      <c r="L63" s="104"/>
      <c r="M63" s="75"/>
      <c r="N63" s="75"/>
      <c r="O63" s="75"/>
      <c r="P63" s="75"/>
      <c r="Q63" s="97"/>
      <c r="R63" s="163"/>
      <c r="S63" s="109">
        <v>1</v>
      </c>
      <c r="T63" s="109"/>
      <c r="U63" s="100"/>
      <c r="V63" s="110"/>
      <c r="W63" s="110"/>
      <c r="X63" s="100"/>
      <c r="Y63" s="100"/>
      <c r="Z63" s="100"/>
      <c r="AA63" s="110"/>
      <c r="AB63" s="110"/>
      <c r="AC63" s="100"/>
      <c r="AD63" s="108"/>
      <c r="AE63" s="109">
        <v>1</v>
      </c>
      <c r="AF63" s="109">
        <v>1</v>
      </c>
      <c r="AG63" s="109">
        <v>1</v>
      </c>
      <c r="AH63" s="109"/>
      <c r="AI63" s="109">
        <v>1</v>
      </c>
      <c r="AJ63" s="108"/>
      <c r="AK63" s="100"/>
      <c r="AL63" s="142"/>
      <c r="AM63" s="142"/>
      <c r="AN63" s="100"/>
      <c r="AO63" s="100"/>
      <c r="AP63" s="142"/>
      <c r="AQ63" s="100"/>
      <c r="AR63" s="100"/>
      <c r="AS63" s="142"/>
      <c r="AT63" s="100"/>
      <c r="AU63" s="100"/>
      <c r="AV63" s="100"/>
    </row>
    <row r="64" spans="1:49" ht="16.3">
      <c r="A64" s="246" t="s">
        <v>2</v>
      </c>
      <c r="B64" s="261">
        <f>SUM(L64+M64+N64+O64+P64+U64+X64+Y64+Z64+AC64+AK64+AL64+AK64+AO64+AR64+AS64+AU64+AV64+AW64+AX64)</f>
        <v>0</v>
      </c>
      <c r="C64" s="215">
        <f t="shared" ref="C64:C70" si="10">B64</f>
        <v>0</v>
      </c>
      <c r="D64" s="139"/>
      <c r="E64" s="140"/>
      <c r="F64" s="135"/>
      <c r="G64" s="136"/>
      <c r="H64" s="683"/>
      <c r="I64" s="676"/>
      <c r="J64" s="534"/>
      <c r="K64" s="96"/>
      <c r="L64" s="104"/>
      <c r="M64" s="75"/>
      <c r="N64" s="75"/>
      <c r="O64" s="75"/>
      <c r="P64" s="75"/>
      <c r="Q64" s="97"/>
      <c r="R64" s="163"/>
      <c r="S64" s="109"/>
      <c r="T64" s="109"/>
      <c r="U64" s="100"/>
      <c r="V64" s="110"/>
      <c r="W64" s="110"/>
      <c r="X64" s="100"/>
      <c r="Y64" s="100"/>
      <c r="Z64" s="100"/>
      <c r="AA64" s="110"/>
      <c r="AB64" s="110"/>
      <c r="AC64" s="100"/>
      <c r="AD64" s="108"/>
      <c r="AE64" s="109"/>
      <c r="AF64" s="109"/>
      <c r="AG64" s="109"/>
      <c r="AH64" s="109"/>
      <c r="AI64" s="109"/>
      <c r="AJ64" s="108"/>
      <c r="AK64" s="100"/>
      <c r="AL64" s="142"/>
      <c r="AM64" s="142"/>
      <c r="AN64" s="100"/>
      <c r="AO64" s="100"/>
      <c r="AP64" s="142"/>
      <c r="AQ64" s="100"/>
      <c r="AR64" s="100"/>
      <c r="AS64" s="142"/>
      <c r="AT64" s="100"/>
      <c r="AU64" s="100"/>
      <c r="AV64" s="100"/>
    </row>
    <row r="65" spans="1:48" ht="16.3">
      <c r="A65" s="87" t="s">
        <v>363</v>
      </c>
      <c r="B65" s="260">
        <f>SUM(B63+B64)</f>
        <v>5</v>
      </c>
      <c r="C65" s="214">
        <f t="shared" si="10"/>
        <v>5</v>
      </c>
      <c r="D65" s="133"/>
      <c r="E65" s="134"/>
      <c r="F65" s="135"/>
      <c r="G65" s="136"/>
      <c r="H65" s="683"/>
      <c r="I65" s="676"/>
      <c r="J65" s="534"/>
      <c r="K65" s="96"/>
      <c r="L65" s="104"/>
      <c r="M65" s="75"/>
      <c r="N65" s="75"/>
      <c r="O65" s="75"/>
      <c r="P65" s="75"/>
      <c r="Q65" s="97"/>
      <c r="R65" s="163"/>
      <c r="S65" s="109"/>
      <c r="T65" s="109"/>
      <c r="U65" s="100"/>
      <c r="V65" s="110"/>
      <c r="W65" s="110"/>
      <c r="X65" s="100"/>
      <c r="Y65" s="100"/>
      <c r="Z65" s="100"/>
      <c r="AA65" s="110"/>
      <c r="AB65" s="110"/>
      <c r="AC65" s="100"/>
      <c r="AD65" s="108"/>
      <c r="AE65" s="109"/>
      <c r="AF65" s="109"/>
      <c r="AG65" s="109"/>
      <c r="AH65" s="109"/>
      <c r="AI65" s="109"/>
      <c r="AJ65" s="108"/>
      <c r="AK65" s="100"/>
      <c r="AL65" s="142"/>
      <c r="AM65" s="142"/>
      <c r="AN65" s="100"/>
      <c r="AO65" s="100"/>
      <c r="AP65" s="142"/>
      <c r="AQ65" s="100"/>
      <c r="AR65" s="100"/>
      <c r="AS65" s="142"/>
      <c r="AT65" s="100"/>
      <c r="AU65" s="100"/>
      <c r="AV65" s="100"/>
    </row>
    <row r="66" spans="1:48" ht="16.3">
      <c r="A66" s="234" t="s">
        <v>5</v>
      </c>
      <c r="B66" s="261">
        <f>SUM(L66+M66+N66+O66+P66+U66+X66+Y66+Z66+AC66+AK66+AL66+AK66+AO66+AR66+AS66+AU66+AV66+AW66+AX66+AP66)</f>
        <v>0</v>
      </c>
      <c r="C66" s="215">
        <f>SUM(L66+M66+N66+O66+P66+U66+Y66+Z66+X66+AC66+AL66+AK66+AL66+AP66+AS66+AO66+AV66+AW66+AX66+AY66+AR66+AU66)</f>
        <v>0</v>
      </c>
      <c r="D66" s="133"/>
      <c r="E66" s="134"/>
      <c r="F66" s="135"/>
      <c r="G66" s="136"/>
      <c r="H66" s="683"/>
      <c r="I66" s="676"/>
      <c r="J66" s="534"/>
      <c r="K66" s="96"/>
      <c r="L66" s="104"/>
      <c r="M66" s="75"/>
      <c r="N66" s="75"/>
      <c r="O66" s="75"/>
      <c r="P66" s="75"/>
      <c r="Q66" s="97"/>
      <c r="R66" s="163"/>
      <c r="S66" s="109"/>
      <c r="T66" s="109"/>
      <c r="U66" s="100"/>
      <c r="V66" s="110"/>
      <c r="W66" s="110"/>
      <c r="X66" s="100"/>
      <c r="Y66" s="100"/>
      <c r="Z66" s="100"/>
      <c r="AA66" s="110"/>
      <c r="AB66" s="110"/>
      <c r="AC66" s="100"/>
      <c r="AD66" s="108"/>
      <c r="AE66" s="109"/>
      <c r="AF66" s="109">
        <v>1</v>
      </c>
      <c r="AG66" s="109"/>
      <c r="AH66" s="109"/>
      <c r="AI66" s="109"/>
      <c r="AJ66" s="108"/>
      <c r="AK66" s="100"/>
      <c r="AL66" s="142"/>
      <c r="AM66" s="142"/>
      <c r="AN66" s="100"/>
      <c r="AO66" s="100"/>
      <c r="AP66" s="142"/>
      <c r="AQ66" s="100"/>
      <c r="AR66" s="100"/>
      <c r="AS66" s="142"/>
      <c r="AT66" s="100"/>
      <c r="AU66" s="100"/>
      <c r="AV66" s="100"/>
    </row>
    <row r="67" spans="1:48" ht="16.3">
      <c r="A67" s="234" t="s">
        <v>6</v>
      </c>
      <c r="B67" s="261">
        <f>SUM(L67+M67+N67+O67+P67+U67+X67+Y67+Z67+AC67+AK67+AL67+AK67+AO67+AR67+AS67+AU67+AV67+AW67+AX67+AP67)</f>
        <v>0</v>
      </c>
      <c r="C67" s="215">
        <f>SUM(L67+M67+N67+O67+P67+U67+Y67+Z67+X67+AC67+AL67+AK67+AL67+AP67+AS67+AO67+AV67+AW67+AX67+AY67+AR67+AU67)</f>
        <v>0</v>
      </c>
      <c r="D67" s="133"/>
      <c r="E67" s="134"/>
      <c r="F67" s="135"/>
      <c r="G67" s="136"/>
      <c r="H67" s="683"/>
      <c r="I67" s="676"/>
      <c r="J67" s="534"/>
      <c r="K67" s="96"/>
      <c r="L67" s="104"/>
      <c r="M67" s="75"/>
      <c r="N67" s="75"/>
      <c r="O67" s="75"/>
      <c r="P67" s="75"/>
      <c r="Q67" s="97"/>
      <c r="R67" s="163"/>
      <c r="S67" s="109"/>
      <c r="T67" s="109"/>
      <c r="U67" s="100"/>
      <c r="V67" s="110"/>
      <c r="W67" s="110"/>
      <c r="X67" s="100"/>
      <c r="Y67" s="100"/>
      <c r="Z67" s="100"/>
      <c r="AA67" s="110"/>
      <c r="AB67" s="110"/>
      <c r="AC67" s="100"/>
      <c r="AD67" s="108"/>
      <c r="AE67" s="109"/>
      <c r="AF67" s="109">
        <v>1</v>
      </c>
      <c r="AG67" s="109"/>
      <c r="AH67" s="109"/>
      <c r="AI67" s="109"/>
      <c r="AJ67" s="108"/>
      <c r="AK67" s="100"/>
      <c r="AL67" s="142"/>
      <c r="AM67" s="142"/>
      <c r="AN67" s="100"/>
      <c r="AO67" s="100"/>
      <c r="AP67" s="142"/>
      <c r="AQ67" s="100"/>
      <c r="AR67" s="100"/>
      <c r="AS67" s="142"/>
      <c r="AT67" s="100"/>
      <c r="AU67" s="100"/>
      <c r="AV67" s="100"/>
    </row>
    <row r="68" spans="1:48" ht="16.3">
      <c r="A68" s="234" t="s">
        <v>368</v>
      </c>
      <c r="B68" s="261">
        <v>0</v>
      </c>
      <c r="C68" s="215">
        <f t="shared" ref="C68" si="11">B68</f>
        <v>0</v>
      </c>
      <c r="D68" s="133"/>
      <c r="E68" s="134"/>
      <c r="F68" s="135"/>
      <c r="G68" s="136"/>
      <c r="H68" s="683"/>
      <c r="I68" s="676"/>
      <c r="J68" s="534"/>
      <c r="K68" s="96"/>
      <c r="L68" s="104"/>
      <c r="M68" s="75"/>
      <c r="N68" s="75"/>
      <c r="O68" s="75"/>
      <c r="P68" s="75"/>
      <c r="Q68" s="97"/>
      <c r="R68" s="163"/>
      <c r="S68" s="109"/>
      <c r="T68" s="109"/>
      <c r="U68" s="100"/>
      <c r="V68" s="110"/>
      <c r="W68" s="110"/>
      <c r="X68" s="100"/>
      <c r="Y68" s="100"/>
      <c r="Z68" s="100"/>
      <c r="AA68" s="110"/>
      <c r="AB68" s="110"/>
      <c r="AC68" s="100"/>
      <c r="AD68" s="108"/>
      <c r="AE68" s="109"/>
      <c r="AF68" s="109">
        <v>100</v>
      </c>
      <c r="AG68" s="109"/>
      <c r="AH68" s="109"/>
      <c r="AI68" s="109"/>
      <c r="AJ68" s="108"/>
      <c r="AK68" s="100"/>
      <c r="AL68" s="142"/>
      <c r="AM68" s="142"/>
      <c r="AN68" s="100"/>
      <c r="AO68" s="100"/>
      <c r="AP68" s="142"/>
      <c r="AQ68" s="100"/>
      <c r="AR68" s="100"/>
      <c r="AS68" s="142"/>
      <c r="AT68" s="100"/>
      <c r="AU68" s="100"/>
      <c r="AV68" s="100"/>
    </row>
    <row r="69" spans="1:48" ht="16.3">
      <c r="A69" s="87" t="s">
        <v>3</v>
      </c>
      <c r="B69" s="260">
        <f>SUM(L69+M69+N69+O69+P69+U69+X69+Y69+Z69+AC69+AK69+AL69+AK69+AO69+AR69+AS69+AU69+AV69+AW69+AX69)+2</f>
        <v>2</v>
      </c>
      <c r="C69" s="214">
        <f t="shared" si="10"/>
        <v>2</v>
      </c>
      <c r="D69" s="133"/>
      <c r="E69" s="134"/>
      <c r="F69" s="135"/>
      <c r="G69" s="136"/>
      <c r="H69" s="683"/>
      <c r="I69" s="676"/>
      <c r="J69" s="534"/>
      <c r="K69" s="96"/>
      <c r="L69" s="104"/>
      <c r="M69" s="75"/>
      <c r="N69" s="75"/>
      <c r="O69" s="75"/>
      <c r="P69" s="75"/>
      <c r="Q69" s="97"/>
      <c r="R69" s="163"/>
      <c r="S69" s="109">
        <v>1</v>
      </c>
      <c r="T69" s="109"/>
      <c r="U69" s="100"/>
      <c r="V69" s="110"/>
      <c r="W69" s="110"/>
      <c r="X69" s="100"/>
      <c r="Y69" s="100"/>
      <c r="Z69" s="100"/>
      <c r="AA69" s="110"/>
      <c r="AB69" s="110"/>
      <c r="AC69" s="100"/>
      <c r="AD69" s="108"/>
      <c r="AE69" s="109"/>
      <c r="AF69" s="109"/>
      <c r="AG69" s="109"/>
      <c r="AH69" s="109"/>
      <c r="AI69" s="109"/>
      <c r="AJ69" s="108"/>
      <c r="AK69" s="100"/>
      <c r="AL69" s="142"/>
      <c r="AM69" s="142"/>
      <c r="AN69" s="100"/>
      <c r="AO69" s="100"/>
      <c r="AP69" s="142"/>
      <c r="AQ69" s="100"/>
      <c r="AR69" s="100"/>
      <c r="AS69" s="142"/>
      <c r="AT69" s="100"/>
      <c r="AU69" s="100"/>
      <c r="AV69" s="100"/>
    </row>
    <row r="70" spans="1:48" ht="17" thickBot="1">
      <c r="A70" s="88" t="s">
        <v>4</v>
      </c>
      <c r="B70" s="262">
        <f>SUM(L70+M70+N70+O70+P70+U70+X70+Y70+Z70+AC70+AK70+AL70+AK70+AO70+AR70+AS70+AU70+AV70+AW70+AX70)+10</f>
        <v>10</v>
      </c>
      <c r="C70" s="217">
        <f t="shared" si="10"/>
        <v>10</v>
      </c>
      <c r="D70" s="144"/>
      <c r="E70" s="145"/>
      <c r="F70" s="146"/>
      <c r="G70" s="147"/>
      <c r="H70" s="684"/>
      <c r="I70" s="677"/>
      <c r="J70" s="535"/>
      <c r="K70" s="114"/>
      <c r="L70" s="113"/>
      <c r="M70" s="112"/>
      <c r="N70" s="112"/>
      <c r="O70" s="112"/>
      <c r="P70" s="112"/>
      <c r="Q70" s="115"/>
      <c r="R70" s="164"/>
      <c r="S70" s="118">
        <v>5</v>
      </c>
      <c r="T70" s="118"/>
      <c r="U70" s="116"/>
      <c r="V70" s="120"/>
      <c r="W70" s="120"/>
      <c r="X70" s="116"/>
      <c r="Y70" s="116"/>
      <c r="Z70" s="116"/>
      <c r="AA70" s="120"/>
      <c r="AB70" s="120"/>
      <c r="AC70" s="116"/>
      <c r="AD70" s="117"/>
      <c r="AE70" s="118"/>
      <c r="AF70" s="118">
        <v>2</v>
      </c>
      <c r="AG70" s="118"/>
      <c r="AH70" s="118"/>
      <c r="AI70" s="118"/>
      <c r="AJ70" s="117"/>
      <c r="AK70" s="116"/>
      <c r="AL70" s="149"/>
      <c r="AM70" s="149"/>
      <c r="AN70" s="116"/>
      <c r="AO70" s="116"/>
      <c r="AP70" s="149"/>
      <c r="AQ70" s="116"/>
      <c r="AR70" s="116"/>
      <c r="AS70" s="149"/>
      <c r="AT70" s="116"/>
      <c r="AU70" s="116"/>
      <c r="AV70" s="116"/>
    </row>
    <row r="71" spans="1:48" ht="21.1">
      <c r="A71" s="82" t="s">
        <v>444</v>
      </c>
      <c r="B71" s="260"/>
      <c r="C71" s="214"/>
      <c r="D71" s="133"/>
      <c r="E71" s="134"/>
      <c r="F71" s="135"/>
      <c r="G71" s="136"/>
      <c r="H71" s="683"/>
      <c r="I71" s="676"/>
      <c r="J71" s="534"/>
      <c r="K71" s="96" t="s">
        <v>367</v>
      </c>
      <c r="L71" s="104"/>
      <c r="M71" s="75"/>
      <c r="N71" s="75"/>
      <c r="O71" s="75"/>
      <c r="P71" s="75"/>
      <c r="Q71" s="97">
        <v>14</v>
      </c>
      <c r="R71" s="163"/>
      <c r="S71" s="109" t="s">
        <v>383</v>
      </c>
      <c r="T71" s="109"/>
      <c r="U71" s="100"/>
      <c r="V71" s="110"/>
      <c r="W71" s="110"/>
      <c r="X71" s="100"/>
      <c r="Y71" s="100"/>
      <c r="Z71" s="100"/>
      <c r="AA71" s="110"/>
      <c r="AB71" s="110" t="s">
        <v>984</v>
      </c>
      <c r="AC71" s="100" t="s">
        <v>984</v>
      </c>
      <c r="AD71" s="108"/>
      <c r="AE71" s="109" t="s">
        <v>984</v>
      </c>
      <c r="AF71" s="109" t="s">
        <v>984</v>
      </c>
      <c r="AG71" s="109" t="s">
        <v>984</v>
      </c>
      <c r="AH71" s="109" t="s">
        <v>984</v>
      </c>
      <c r="AI71" s="109" t="s">
        <v>984</v>
      </c>
      <c r="AJ71" s="108"/>
      <c r="AK71" s="100"/>
      <c r="AL71" s="142"/>
      <c r="AM71" s="142"/>
      <c r="AN71" s="100"/>
      <c r="AO71" s="100"/>
      <c r="AP71" s="142"/>
      <c r="AQ71" s="100"/>
      <c r="AR71" s="100"/>
      <c r="AS71" s="142"/>
      <c r="AT71" s="100"/>
      <c r="AU71" s="100"/>
      <c r="AV71" s="100"/>
    </row>
    <row r="72" spans="1:48" ht="16.3">
      <c r="A72" s="246" t="s">
        <v>1</v>
      </c>
      <c r="B72" s="261">
        <f>SUM(L72+M72+N72+O72+P72+U72+X72+Y72+Z72+AC72+AK72+AL72+AK72+AO72+AR72+AS72+AU72+AV72+AW72+AX72+AP72)</f>
        <v>0</v>
      </c>
      <c r="C72" s="215">
        <f>B72</f>
        <v>0</v>
      </c>
      <c r="D72" s="133"/>
      <c r="E72" s="134"/>
      <c r="F72" s="135"/>
      <c r="G72" s="136"/>
      <c r="H72" s="683"/>
      <c r="I72" s="676"/>
      <c r="J72" s="534"/>
      <c r="K72" s="96">
        <v>1</v>
      </c>
      <c r="L72" s="104"/>
      <c r="M72" s="75"/>
      <c r="N72" s="75"/>
      <c r="O72" s="75"/>
      <c r="P72" s="75"/>
      <c r="Q72" s="97">
        <v>1</v>
      </c>
      <c r="R72" s="163"/>
      <c r="S72" s="109">
        <v>1</v>
      </c>
      <c r="T72" s="109"/>
      <c r="U72" s="100"/>
      <c r="V72" s="110"/>
      <c r="W72" s="110"/>
      <c r="X72" s="100"/>
      <c r="Y72" s="100"/>
      <c r="Z72" s="100"/>
      <c r="AA72" s="110"/>
      <c r="AB72" s="110"/>
      <c r="AC72" s="100"/>
      <c r="AD72" s="108"/>
      <c r="AE72" s="109"/>
      <c r="AF72" s="109"/>
      <c r="AG72" s="109"/>
      <c r="AH72" s="109"/>
      <c r="AI72" s="109"/>
      <c r="AJ72" s="108"/>
      <c r="AK72" s="100"/>
      <c r="AL72" s="142"/>
      <c r="AM72" s="142"/>
      <c r="AN72" s="100"/>
      <c r="AO72" s="100"/>
      <c r="AP72" s="142"/>
      <c r="AQ72" s="100"/>
      <c r="AR72" s="100"/>
      <c r="AS72" s="142"/>
      <c r="AT72" s="100"/>
      <c r="AU72" s="100"/>
      <c r="AV72" s="100"/>
    </row>
    <row r="73" spans="1:48" ht="16.3">
      <c r="A73" s="246" t="s">
        <v>2</v>
      </c>
      <c r="B73" s="261">
        <f>SUM(L73+M73+N73+O73+P73+U73+X73+Y73+Z73+AC73+AK73+AL73+AK73+AO73+AR73+AS73+AU73+AV73+AW73+AX73)+1</f>
        <v>1</v>
      </c>
      <c r="C73" s="215">
        <f t="shared" ref="C73:C76" si="12">B73</f>
        <v>1</v>
      </c>
      <c r="D73" s="133"/>
      <c r="E73" s="134"/>
      <c r="F73" s="135"/>
      <c r="G73" s="136"/>
      <c r="H73" s="683"/>
      <c r="I73" s="676"/>
      <c r="J73" s="534"/>
      <c r="K73" s="96"/>
      <c r="L73" s="104"/>
      <c r="M73" s="75"/>
      <c r="N73" s="75"/>
      <c r="O73" s="75"/>
      <c r="P73" s="75"/>
      <c r="Q73" s="97"/>
      <c r="R73" s="163"/>
      <c r="S73" s="109"/>
      <c r="T73" s="109"/>
      <c r="U73" s="100"/>
      <c r="V73" s="110"/>
      <c r="W73" s="110"/>
      <c r="X73" s="100"/>
      <c r="Y73" s="100"/>
      <c r="Z73" s="100"/>
      <c r="AA73" s="110"/>
      <c r="AB73" s="110"/>
      <c r="AC73" s="100"/>
      <c r="AD73" s="108"/>
      <c r="AE73" s="109"/>
      <c r="AF73" s="109"/>
      <c r="AG73" s="109"/>
      <c r="AH73" s="109"/>
      <c r="AI73" s="109"/>
      <c r="AJ73" s="108"/>
      <c r="AK73" s="100"/>
      <c r="AL73" s="142"/>
      <c r="AM73" s="142"/>
      <c r="AN73" s="100"/>
      <c r="AO73" s="100"/>
      <c r="AP73" s="142"/>
      <c r="AQ73" s="100"/>
      <c r="AR73" s="100"/>
      <c r="AS73" s="142"/>
      <c r="AT73" s="100"/>
      <c r="AU73" s="100"/>
      <c r="AV73" s="100"/>
    </row>
    <row r="74" spans="1:48" ht="16.3">
      <c r="A74" s="87" t="s">
        <v>363</v>
      </c>
      <c r="B74" s="260">
        <f>SUM(B72+B73)</f>
        <v>1</v>
      </c>
      <c r="C74" s="214">
        <f t="shared" si="12"/>
        <v>1</v>
      </c>
      <c r="D74" s="133"/>
      <c r="E74" s="134"/>
      <c r="F74" s="135"/>
      <c r="G74" s="136"/>
      <c r="H74" s="683"/>
      <c r="I74" s="676"/>
      <c r="J74" s="534"/>
      <c r="K74" s="96"/>
      <c r="L74" s="104"/>
      <c r="M74" s="75"/>
      <c r="N74" s="75"/>
      <c r="O74" s="75"/>
      <c r="P74" s="75"/>
      <c r="Q74" s="97"/>
      <c r="R74" s="163"/>
      <c r="S74" s="109"/>
      <c r="T74" s="109"/>
      <c r="U74" s="100"/>
      <c r="V74" s="110"/>
      <c r="W74" s="110"/>
      <c r="X74" s="100"/>
      <c r="Y74" s="100"/>
      <c r="Z74" s="100"/>
      <c r="AA74" s="110"/>
      <c r="AB74" s="110"/>
      <c r="AC74" s="100"/>
      <c r="AD74" s="108"/>
      <c r="AE74" s="109"/>
      <c r="AF74" s="109"/>
      <c r="AG74" s="109"/>
      <c r="AH74" s="109"/>
      <c r="AI74" s="109"/>
      <c r="AJ74" s="108"/>
      <c r="AK74" s="100"/>
      <c r="AL74" s="142"/>
      <c r="AM74" s="142"/>
      <c r="AN74" s="100"/>
      <c r="AO74" s="100"/>
      <c r="AP74" s="142"/>
      <c r="AQ74" s="100"/>
      <c r="AR74" s="100"/>
      <c r="AS74" s="142"/>
      <c r="AT74" s="100"/>
      <c r="AU74" s="100"/>
      <c r="AV74" s="100"/>
    </row>
    <row r="75" spans="1:48" ht="16.3">
      <c r="A75" s="87" t="s">
        <v>3</v>
      </c>
      <c r="B75" s="260">
        <f>SUM(L75+M75+N75+O75+P75+U75+X75+Y75+Z75+AC75+AK75+AL75+AK75+AO75+AR75+AS75+AU75+AV75+AW75+AX75)+1</f>
        <v>1</v>
      </c>
      <c r="C75" s="214">
        <f t="shared" si="12"/>
        <v>1</v>
      </c>
      <c r="D75" s="133"/>
      <c r="E75" s="134"/>
      <c r="F75" s="135"/>
      <c r="G75" s="136"/>
      <c r="H75" s="683"/>
      <c r="I75" s="676"/>
      <c r="J75" s="534"/>
      <c r="K75" s="96"/>
      <c r="L75" s="104"/>
      <c r="M75" s="75"/>
      <c r="N75" s="75"/>
      <c r="O75" s="75"/>
      <c r="P75" s="75"/>
      <c r="Q75" s="97"/>
      <c r="R75" s="163"/>
      <c r="S75" s="109">
        <v>1</v>
      </c>
      <c r="T75" s="109"/>
      <c r="U75" s="100"/>
      <c r="V75" s="110"/>
      <c r="W75" s="110"/>
      <c r="X75" s="100"/>
      <c r="Y75" s="100"/>
      <c r="Z75" s="100"/>
      <c r="AA75" s="110"/>
      <c r="AB75" s="110"/>
      <c r="AC75" s="100"/>
      <c r="AD75" s="108"/>
      <c r="AE75" s="109"/>
      <c r="AF75" s="109"/>
      <c r="AG75" s="109"/>
      <c r="AH75" s="109"/>
      <c r="AI75" s="109"/>
      <c r="AJ75" s="108"/>
      <c r="AK75" s="100"/>
      <c r="AL75" s="142"/>
      <c r="AM75" s="142"/>
      <c r="AN75" s="100"/>
      <c r="AO75" s="100"/>
      <c r="AP75" s="142"/>
      <c r="AQ75" s="100"/>
      <c r="AR75" s="100"/>
      <c r="AS75" s="142"/>
      <c r="AT75" s="100"/>
      <c r="AU75" s="100"/>
      <c r="AV75" s="100"/>
    </row>
    <row r="76" spans="1:48" ht="17" thickBot="1">
      <c r="A76" s="88" t="s">
        <v>4</v>
      </c>
      <c r="B76" s="262">
        <f>SUM(L76+M76+N76+O76+P76+U76+X76+Y76+Z76+AC76+AK76+AL76+AK76+AO76+AR76+AS76+AU76+AV76+AW76+AX76)+5</f>
        <v>5</v>
      </c>
      <c r="C76" s="217">
        <f t="shared" si="12"/>
        <v>5</v>
      </c>
      <c r="D76" s="144"/>
      <c r="E76" s="145"/>
      <c r="F76" s="146"/>
      <c r="G76" s="147"/>
      <c r="H76" s="684"/>
      <c r="I76" s="677"/>
      <c r="J76" s="535"/>
      <c r="K76" s="114"/>
      <c r="L76" s="113"/>
      <c r="M76" s="112"/>
      <c r="N76" s="112"/>
      <c r="O76" s="112"/>
      <c r="P76" s="112"/>
      <c r="Q76" s="115"/>
      <c r="R76" s="164"/>
      <c r="S76" s="118">
        <v>5</v>
      </c>
      <c r="T76" s="118"/>
      <c r="U76" s="116"/>
      <c r="V76" s="120"/>
      <c r="W76" s="120"/>
      <c r="X76" s="116"/>
      <c r="Y76" s="116"/>
      <c r="Z76" s="116"/>
      <c r="AA76" s="120"/>
      <c r="AB76" s="120"/>
      <c r="AC76" s="116"/>
      <c r="AD76" s="117"/>
      <c r="AE76" s="118"/>
      <c r="AF76" s="118"/>
      <c r="AG76" s="118"/>
      <c r="AH76" s="118"/>
      <c r="AI76" s="118"/>
      <c r="AJ76" s="117"/>
      <c r="AK76" s="116"/>
      <c r="AL76" s="149"/>
      <c r="AM76" s="149"/>
      <c r="AN76" s="116"/>
      <c r="AO76" s="116"/>
      <c r="AP76" s="149"/>
      <c r="AQ76" s="116"/>
      <c r="AR76" s="116"/>
      <c r="AS76" s="149"/>
      <c r="AT76" s="116"/>
      <c r="AU76" s="116"/>
      <c r="AV76" s="116"/>
    </row>
    <row r="77" spans="1:48" ht="21.1">
      <c r="A77" s="82" t="s">
        <v>1022</v>
      </c>
      <c r="B77" s="260"/>
      <c r="C77" s="214"/>
      <c r="D77" s="133"/>
      <c r="E77" s="134"/>
      <c r="F77" s="135"/>
      <c r="G77" s="136"/>
      <c r="H77" s="683"/>
      <c r="I77" s="676"/>
      <c r="J77" s="534"/>
      <c r="K77" s="96"/>
      <c r="L77" s="104"/>
      <c r="M77" s="75"/>
      <c r="N77" s="75"/>
      <c r="O77" s="75"/>
      <c r="P77" s="75"/>
      <c r="Q77" s="97"/>
      <c r="R77" s="163"/>
      <c r="S77" s="109"/>
      <c r="T77" s="109"/>
      <c r="U77" s="100"/>
      <c r="V77" s="110"/>
      <c r="W77" s="110"/>
      <c r="X77" s="100"/>
      <c r="Y77" s="100"/>
      <c r="Z77" s="100"/>
      <c r="AA77" s="110"/>
      <c r="AB77" s="110"/>
      <c r="AC77" s="100"/>
      <c r="AD77" s="108"/>
      <c r="AE77" s="109" t="s">
        <v>432</v>
      </c>
      <c r="AF77" s="109"/>
      <c r="AG77" s="109" t="s">
        <v>375</v>
      </c>
      <c r="AH77" s="109"/>
      <c r="AI77" s="109"/>
      <c r="AJ77" s="108"/>
      <c r="AK77" s="100"/>
      <c r="AL77" s="142"/>
      <c r="AM77" s="142"/>
      <c r="AN77" s="100"/>
      <c r="AO77" s="100"/>
      <c r="AP77" s="142"/>
      <c r="AQ77" s="100"/>
      <c r="AR77" s="100"/>
      <c r="AS77" s="142"/>
      <c r="AT77" s="100"/>
      <c r="AU77" s="100"/>
      <c r="AV77" s="100"/>
    </row>
    <row r="78" spans="1:48" ht="16.3">
      <c r="A78" s="246" t="s">
        <v>1</v>
      </c>
      <c r="B78" s="261">
        <f>SUM(L78+M78+N78+O78+P78+U78+X78+Y78+Z78+AC78+AK78+AL78+AK78+AO78+AR78+AS78+AU78+AV78+AW78+AX78+AP78)</f>
        <v>0</v>
      </c>
      <c r="C78" s="215">
        <f>B78</f>
        <v>0</v>
      </c>
      <c r="D78" s="133"/>
      <c r="E78" s="134"/>
      <c r="F78" s="135"/>
      <c r="G78" s="136"/>
      <c r="H78" s="683"/>
      <c r="I78" s="676"/>
      <c r="J78" s="534"/>
      <c r="K78" s="96"/>
      <c r="L78" s="104"/>
      <c r="M78" s="75"/>
      <c r="N78" s="75"/>
      <c r="O78" s="75"/>
      <c r="P78" s="75"/>
      <c r="Q78" s="97"/>
      <c r="R78" s="163"/>
      <c r="S78" s="109"/>
      <c r="T78" s="109"/>
      <c r="U78" s="100"/>
      <c r="V78" s="110"/>
      <c r="W78" s="110"/>
      <c r="X78" s="100"/>
      <c r="Y78" s="100"/>
      <c r="Z78" s="100"/>
      <c r="AA78" s="110"/>
      <c r="AB78" s="110"/>
      <c r="AC78" s="100"/>
      <c r="AD78" s="108"/>
      <c r="AE78" s="109"/>
      <c r="AF78" s="109"/>
      <c r="AG78" s="109"/>
      <c r="AH78" s="109"/>
      <c r="AI78" s="109"/>
      <c r="AJ78" s="108"/>
      <c r="AK78" s="100"/>
      <c r="AL78" s="142"/>
      <c r="AM78" s="142"/>
      <c r="AN78" s="100"/>
      <c r="AO78" s="100"/>
      <c r="AP78" s="142"/>
      <c r="AQ78" s="100"/>
      <c r="AR78" s="100"/>
      <c r="AS78" s="142"/>
      <c r="AT78" s="100"/>
      <c r="AU78" s="100"/>
      <c r="AV78" s="100"/>
    </row>
    <row r="79" spans="1:48" ht="16.3">
      <c r="A79" s="246" t="s">
        <v>2</v>
      </c>
      <c r="B79" s="261">
        <f>SUM(L79+M79+N79+O79+P79+U79+X79+Y79+Z79+AC79+AK79+AL79+AK79+AO79+AR79+AS79+AU79+AV79+AW79+AX79)</f>
        <v>0</v>
      </c>
      <c r="C79" s="215">
        <f t="shared" ref="C79:C82" si="13">B79</f>
        <v>0</v>
      </c>
      <c r="D79" s="133"/>
      <c r="E79" s="134"/>
      <c r="F79" s="135"/>
      <c r="G79" s="136"/>
      <c r="H79" s="683"/>
      <c r="I79" s="676"/>
      <c r="J79" s="534"/>
      <c r="K79" s="96"/>
      <c r="L79" s="104"/>
      <c r="M79" s="75"/>
      <c r="N79" s="75"/>
      <c r="O79" s="75"/>
      <c r="P79" s="75"/>
      <c r="Q79" s="97"/>
      <c r="R79" s="163"/>
      <c r="S79" s="109"/>
      <c r="T79" s="109"/>
      <c r="U79" s="100"/>
      <c r="V79" s="110"/>
      <c r="W79" s="110"/>
      <c r="X79" s="100"/>
      <c r="Y79" s="100"/>
      <c r="Z79" s="100"/>
      <c r="AA79" s="110"/>
      <c r="AB79" s="110"/>
      <c r="AC79" s="100"/>
      <c r="AD79" s="108"/>
      <c r="AE79" s="109">
        <v>1</v>
      </c>
      <c r="AF79" s="109"/>
      <c r="AG79" s="109">
        <v>1</v>
      </c>
      <c r="AH79" s="109"/>
      <c r="AI79" s="109"/>
      <c r="AJ79" s="108"/>
      <c r="AK79" s="100"/>
      <c r="AL79" s="142"/>
      <c r="AM79" s="142"/>
      <c r="AN79" s="100"/>
      <c r="AO79" s="100"/>
      <c r="AP79" s="142"/>
      <c r="AQ79" s="100"/>
      <c r="AR79" s="100"/>
      <c r="AS79" s="142"/>
      <c r="AT79" s="100"/>
      <c r="AU79" s="100"/>
      <c r="AV79" s="100"/>
    </row>
    <row r="80" spans="1:48" ht="16.3">
      <c r="A80" s="87" t="s">
        <v>363</v>
      </c>
      <c r="B80" s="260">
        <f>SUM(B78+B79)</f>
        <v>0</v>
      </c>
      <c r="C80" s="214">
        <f t="shared" si="13"/>
        <v>0</v>
      </c>
      <c r="D80" s="133"/>
      <c r="E80" s="134"/>
      <c r="F80" s="135"/>
      <c r="G80" s="136"/>
      <c r="H80" s="683"/>
      <c r="I80" s="676"/>
      <c r="J80" s="534"/>
      <c r="K80" s="96"/>
      <c r="L80" s="104"/>
      <c r="M80" s="75"/>
      <c r="N80" s="75"/>
      <c r="O80" s="75"/>
      <c r="P80" s="75"/>
      <c r="Q80" s="97"/>
      <c r="R80" s="163"/>
      <c r="S80" s="109"/>
      <c r="T80" s="109"/>
      <c r="U80" s="100"/>
      <c r="V80" s="110"/>
      <c r="W80" s="110"/>
      <c r="X80" s="100"/>
      <c r="Y80" s="100"/>
      <c r="Z80" s="100"/>
      <c r="AA80" s="110"/>
      <c r="AB80" s="110"/>
      <c r="AC80" s="100"/>
      <c r="AD80" s="108"/>
      <c r="AE80" s="109"/>
      <c r="AF80" s="109"/>
      <c r="AG80" s="109"/>
      <c r="AH80" s="109"/>
      <c r="AI80" s="109"/>
      <c r="AJ80" s="108"/>
      <c r="AK80" s="100"/>
      <c r="AL80" s="142"/>
      <c r="AM80" s="142"/>
      <c r="AN80" s="100"/>
      <c r="AO80" s="100"/>
      <c r="AP80" s="142"/>
      <c r="AQ80" s="100"/>
      <c r="AR80" s="100"/>
      <c r="AS80" s="142"/>
      <c r="AT80" s="100"/>
      <c r="AU80" s="100"/>
      <c r="AV80" s="100"/>
    </row>
    <row r="81" spans="1:48" ht="16.3">
      <c r="A81" s="87" t="s">
        <v>3</v>
      </c>
      <c r="B81" s="260">
        <f>SUM(L81+M81+N81+O81+P81+U81+X81+Y81+Z81+AC81+AK81+AL81+AK81+AO81+AR81+AS81+AU81+AV81+AW81+AX81+AP81)</f>
        <v>0</v>
      </c>
      <c r="C81" s="214">
        <f t="shared" si="13"/>
        <v>0</v>
      </c>
      <c r="D81" s="133"/>
      <c r="E81" s="134"/>
      <c r="F81" s="135"/>
      <c r="G81" s="136"/>
      <c r="H81" s="683"/>
      <c r="I81" s="676"/>
      <c r="J81" s="534"/>
      <c r="K81" s="96"/>
      <c r="L81" s="104"/>
      <c r="M81" s="75"/>
      <c r="N81" s="75"/>
      <c r="O81" s="75"/>
      <c r="P81" s="75"/>
      <c r="Q81" s="97"/>
      <c r="R81" s="163"/>
      <c r="S81" s="109"/>
      <c r="T81" s="109"/>
      <c r="U81" s="100"/>
      <c r="V81" s="110"/>
      <c r="W81" s="110"/>
      <c r="X81" s="100"/>
      <c r="Y81" s="100"/>
      <c r="Z81" s="100"/>
      <c r="AA81" s="110"/>
      <c r="AB81" s="110"/>
      <c r="AC81" s="100"/>
      <c r="AD81" s="108"/>
      <c r="AE81" s="109">
        <v>1</v>
      </c>
      <c r="AF81" s="109"/>
      <c r="AG81" s="109"/>
      <c r="AH81" s="109"/>
      <c r="AI81" s="109"/>
      <c r="AJ81" s="108"/>
      <c r="AK81" s="100"/>
      <c r="AL81" s="142"/>
      <c r="AM81" s="142"/>
      <c r="AN81" s="100"/>
      <c r="AO81" s="100"/>
      <c r="AP81" s="142"/>
      <c r="AQ81" s="100"/>
      <c r="AR81" s="100"/>
      <c r="AS81" s="142"/>
      <c r="AT81" s="100"/>
      <c r="AU81" s="100"/>
      <c r="AV81" s="100"/>
    </row>
    <row r="82" spans="1:48" ht="17" thickBot="1">
      <c r="A82" s="88" t="s">
        <v>4</v>
      </c>
      <c r="B82" s="262">
        <f>SUM(L82+M82+N82+O82+P82+U82+X82+Y82+Z82+AC82+AK82+AL82+AK82+AO82+AR82+AS82+AU82+AV82+AW82+AX82+AP82)</f>
        <v>0</v>
      </c>
      <c r="C82" s="217">
        <f t="shared" si="13"/>
        <v>0</v>
      </c>
      <c r="D82" s="144"/>
      <c r="E82" s="145"/>
      <c r="F82" s="146"/>
      <c r="G82" s="147"/>
      <c r="H82" s="684"/>
      <c r="I82" s="677"/>
      <c r="J82" s="535"/>
      <c r="K82" s="114"/>
      <c r="L82" s="113"/>
      <c r="M82" s="112"/>
      <c r="N82" s="112"/>
      <c r="O82" s="112"/>
      <c r="P82" s="112"/>
      <c r="Q82" s="115"/>
      <c r="R82" s="164"/>
      <c r="S82" s="118"/>
      <c r="T82" s="118"/>
      <c r="U82" s="116"/>
      <c r="V82" s="120"/>
      <c r="W82" s="120"/>
      <c r="X82" s="116"/>
      <c r="Y82" s="116"/>
      <c r="Z82" s="116"/>
      <c r="AA82" s="120"/>
      <c r="AB82" s="120"/>
      <c r="AC82" s="116"/>
      <c r="AD82" s="117"/>
      <c r="AE82" s="118">
        <v>5</v>
      </c>
      <c r="AF82" s="118"/>
      <c r="AG82" s="118"/>
      <c r="AH82" s="118"/>
      <c r="AI82" s="118"/>
      <c r="AJ82" s="117"/>
      <c r="AK82" s="116"/>
      <c r="AL82" s="149"/>
      <c r="AM82" s="149"/>
      <c r="AN82" s="116"/>
      <c r="AO82" s="116"/>
      <c r="AP82" s="149"/>
      <c r="AQ82" s="116"/>
      <c r="AR82" s="116"/>
      <c r="AS82" s="149"/>
      <c r="AT82" s="116"/>
      <c r="AU82" s="116"/>
      <c r="AV82" s="116"/>
    </row>
    <row r="83" spans="1:48" ht="21.1">
      <c r="A83" s="82" t="s">
        <v>56</v>
      </c>
      <c r="B83" s="260"/>
      <c r="C83" s="214"/>
      <c r="D83" s="133"/>
      <c r="E83" s="134"/>
      <c r="F83" s="135"/>
      <c r="G83" s="136"/>
      <c r="H83" s="683"/>
      <c r="I83" s="676"/>
      <c r="J83" s="534"/>
      <c r="K83" s="96">
        <v>12</v>
      </c>
      <c r="L83" s="104"/>
      <c r="M83" s="75" t="s">
        <v>375</v>
      </c>
      <c r="N83" s="75"/>
      <c r="O83" s="75" t="s">
        <v>375</v>
      </c>
      <c r="P83" s="75"/>
      <c r="Q83" s="96">
        <v>12</v>
      </c>
      <c r="R83" s="163"/>
      <c r="S83" s="96" t="s">
        <v>763</v>
      </c>
      <c r="T83" s="109" t="s">
        <v>381</v>
      </c>
      <c r="U83" s="100">
        <v>12</v>
      </c>
      <c r="V83" s="110"/>
      <c r="W83" s="110"/>
      <c r="X83" s="100">
        <v>12</v>
      </c>
      <c r="Y83" s="100"/>
      <c r="Z83" s="100"/>
      <c r="AA83" s="110" t="s">
        <v>375</v>
      </c>
      <c r="AB83" s="110"/>
      <c r="AC83" s="100"/>
      <c r="AD83" s="108"/>
      <c r="AE83" s="109" t="s">
        <v>763</v>
      </c>
      <c r="AF83" s="109" t="s">
        <v>763</v>
      </c>
      <c r="AG83" s="109" t="s">
        <v>763</v>
      </c>
      <c r="AH83" s="109" t="s">
        <v>763</v>
      </c>
      <c r="AI83" s="109" t="s">
        <v>763</v>
      </c>
      <c r="AJ83" s="108"/>
      <c r="AK83" s="100"/>
      <c r="AL83" s="142"/>
      <c r="AM83" s="142"/>
      <c r="AN83" s="100"/>
      <c r="AO83" s="100"/>
      <c r="AP83" s="142"/>
      <c r="AQ83" s="100"/>
      <c r="AR83" s="100"/>
      <c r="AS83" s="142"/>
      <c r="AT83" s="100"/>
      <c r="AU83" s="100"/>
      <c r="AV83" s="100"/>
    </row>
    <row r="84" spans="1:48" ht="16.3">
      <c r="A84" s="246" t="s">
        <v>1</v>
      </c>
      <c r="B84" s="261">
        <f>SUM(L84+M84+N84+O84+P84+U84+X84+Y84+Z84+AC84+AK84+AL84+AK84+AO84+AR84+AS84+AU84+AV84+AW84+AX84+AP84)+24</f>
        <v>26</v>
      </c>
      <c r="C84" s="215">
        <f>B84</f>
        <v>26</v>
      </c>
      <c r="D84" s="139"/>
      <c r="E84" s="140"/>
      <c r="F84" s="135"/>
      <c r="G84" s="136"/>
      <c r="H84" s="683"/>
      <c r="I84" s="676"/>
      <c r="J84" s="534"/>
      <c r="K84" s="96">
        <v>1</v>
      </c>
      <c r="L84" s="104"/>
      <c r="M84" s="75"/>
      <c r="N84" s="75"/>
      <c r="O84" s="75"/>
      <c r="P84" s="75"/>
      <c r="Q84" s="97">
        <v>1</v>
      </c>
      <c r="R84" s="163"/>
      <c r="S84" s="109">
        <v>1</v>
      </c>
      <c r="T84" s="109">
        <v>1</v>
      </c>
      <c r="U84" s="100">
        <v>1</v>
      </c>
      <c r="V84" s="110"/>
      <c r="W84" s="110"/>
      <c r="X84" s="100">
        <v>1</v>
      </c>
      <c r="Y84" s="100"/>
      <c r="Z84" s="100"/>
      <c r="AA84" s="110"/>
      <c r="AB84" s="110"/>
      <c r="AC84" s="100"/>
      <c r="AD84" s="108"/>
      <c r="AE84" s="109">
        <v>1</v>
      </c>
      <c r="AF84" s="109">
        <v>1</v>
      </c>
      <c r="AG84" s="109">
        <v>1</v>
      </c>
      <c r="AH84" s="109">
        <v>1</v>
      </c>
      <c r="AI84" s="109">
        <v>1</v>
      </c>
      <c r="AJ84" s="108"/>
      <c r="AK84" s="100"/>
      <c r="AL84" s="142"/>
      <c r="AM84" s="142"/>
      <c r="AN84" s="100"/>
      <c r="AO84" s="100"/>
      <c r="AP84" s="142"/>
      <c r="AQ84" s="100"/>
      <c r="AR84" s="100"/>
      <c r="AS84" s="142"/>
      <c r="AT84" s="100"/>
      <c r="AU84" s="100"/>
      <c r="AV84" s="100"/>
    </row>
    <row r="85" spans="1:48" ht="16.3">
      <c r="A85" s="246" t="s">
        <v>2</v>
      </c>
      <c r="B85" s="261">
        <f>SUM(L85+M85+N85+O85+P85+U85+X85+Y85+Z85+AC85+AK85+AL85+AK85+AO85+AR85+AS85+AU85+AV85+AW85+AX85)+11</f>
        <v>13</v>
      </c>
      <c r="C85" s="215">
        <f t="shared" ref="C85:C91" si="14">B85</f>
        <v>13</v>
      </c>
      <c r="D85" s="139"/>
      <c r="E85" s="140"/>
      <c r="F85" s="135"/>
      <c r="G85" s="136"/>
      <c r="H85" s="683"/>
      <c r="I85" s="676"/>
      <c r="J85" s="534"/>
      <c r="K85" s="96"/>
      <c r="L85" s="104"/>
      <c r="M85" s="75">
        <v>1</v>
      </c>
      <c r="N85" s="75"/>
      <c r="O85" s="75">
        <v>1</v>
      </c>
      <c r="P85" s="75"/>
      <c r="Q85" s="97"/>
      <c r="R85" s="163"/>
      <c r="S85" s="109"/>
      <c r="T85" s="109"/>
      <c r="U85" s="100"/>
      <c r="V85" s="110"/>
      <c r="W85" s="110"/>
      <c r="X85" s="100"/>
      <c r="Y85" s="100"/>
      <c r="Z85" s="100"/>
      <c r="AA85" s="110">
        <v>1</v>
      </c>
      <c r="AB85" s="110"/>
      <c r="AC85" s="100"/>
      <c r="AD85" s="108"/>
      <c r="AE85" s="109"/>
      <c r="AF85" s="109"/>
      <c r="AG85" s="109"/>
      <c r="AH85" s="109"/>
      <c r="AI85" s="109"/>
      <c r="AJ85" s="108"/>
      <c r="AK85" s="100"/>
      <c r="AL85" s="142"/>
      <c r="AM85" s="142"/>
      <c r="AN85" s="100"/>
      <c r="AO85" s="100"/>
      <c r="AP85" s="142"/>
      <c r="AQ85" s="100"/>
      <c r="AR85" s="100"/>
      <c r="AS85" s="142"/>
      <c r="AT85" s="100"/>
      <c r="AU85" s="100"/>
      <c r="AV85" s="100"/>
    </row>
    <row r="86" spans="1:48" ht="16.3">
      <c r="A86" s="87" t="s">
        <v>363</v>
      </c>
      <c r="B86" s="260">
        <f>SUM(B84+B85)</f>
        <v>39</v>
      </c>
      <c r="C86" s="214">
        <f t="shared" si="14"/>
        <v>39</v>
      </c>
      <c r="D86" s="133"/>
      <c r="E86" s="134"/>
      <c r="F86" s="135"/>
      <c r="G86" s="136"/>
      <c r="H86" s="683"/>
      <c r="I86" s="676"/>
      <c r="J86" s="534"/>
      <c r="K86" s="96"/>
      <c r="L86" s="104"/>
      <c r="M86" s="75"/>
      <c r="N86" s="75"/>
      <c r="O86" s="75"/>
      <c r="P86" s="75"/>
      <c r="Q86" s="97"/>
      <c r="R86" s="163"/>
      <c r="S86" s="109"/>
      <c r="T86" s="109"/>
      <c r="U86" s="100"/>
      <c r="V86" s="110"/>
      <c r="W86" s="110"/>
      <c r="X86" s="100"/>
      <c r="Y86" s="100"/>
      <c r="Z86" s="100"/>
      <c r="AA86" s="110"/>
      <c r="AB86" s="110"/>
      <c r="AC86" s="100"/>
      <c r="AD86" s="108"/>
      <c r="AE86" s="109"/>
      <c r="AF86" s="109"/>
      <c r="AG86" s="109"/>
      <c r="AH86" s="109"/>
      <c r="AI86" s="109"/>
      <c r="AJ86" s="108"/>
      <c r="AK86" s="100"/>
      <c r="AL86" s="142"/>
      <c r="AM86" s="142"/>
      <c r="AN86" s="100"/>
      <c r="AO86" s="100"/>
      <c r="AP86" s="142"/>
      <c r="AQ86" s="100"/>
      <c r="AR86" s="100"/>
      <c r="AS86" s="142"/>
      <c r="AT86" s="100"/>
      <c r="AU86" s="100"/>
      <c r="AV86" s="100"/>
    </row>
    <row r="87" spans="1:48" ht="16.3">
      <c r="A87" s="234" t="s">
        <v>366</v>
      </c>
      <c r="B87" s="261">
        <f>SUM(L87+M87+N87+O87+P87+U87+X87+Y87+Z87+AC87+AK87+AL87+AK87+AO87+AR87+AS87+AU87+AV87+AW87+AX87)</f>
        <v>0</v>
      </c>
      <c r="C87" s="215">
        <f t="shared" ref="C87" si="15">B87</f>
        <v>0</v>
      </c>
      <c r="D87" s="133"/>
      <c r="E87" s="134"/>
      <c r="F87" s="135"/>
      <c r="G87" s="136"/>
      <c r="H87" s="683"/>
      <c r="I87" s="676"/>
      <c r="J87" s="534"/>
      <c r="K87" s="96"/>
      <c r="L87" s="104"/>
      <c r="M87" s="75"/>
      <c r="N87" s="75"/>
      <c r="O87" s="75"/>
      <c r="P87" s="75"/>
      <c r="Q87" s="97"/>
      <c r="R87" s="163"/>
      <c r="S87" s="109"/>
      <c r="T87" s="109"/>
      <c r="U87" s="100"/>
      <c r="V87" s="110"/>
      <c r="W87" s="110"/>
      <c r="X87" s="100"/>
      <c r="Y87" s="100"/>
      <c r="Z87" s="100"/>
      <c r="AA87" s="110"/>
      <c r="AB87" s="110"/>
      <c r="AC87" s="100"/>
      <c r="AD87" s="108"/>
      <c r="AE87" s="109">
        <v>1</v>
      </c>
      <c r="AF87" s="109">
        <v>1</v>
      </c>
      <c r="AG87" s="109">
        <v>1</v>
      </c>
      <c r="AH87" s="109">
        <v>1</v>
      </c>
      <c r="AI87" s="109">
        <v>1</v>
      </c>
      <c r="AJ87" s="108"/>
      <c r="AK87" s="100"/>
      <c r="AL87" s="142"/>
      <c r="AM87" s="142"/>
      <c r="AN87" s="100"/>
      <c r="AO87" s="100"/>
      <c r="AP87" s="142"/>
      <c r="AQ87" s="100"/>
      <c r="AR87" s="100"/>
      <c r="AS87" s="142"/>
      <c r="AT87" s="100"/>
      <c r="AU87" s="100"/>
      <c r="AV87" s="100"/>
    </row>
    <row r="88" spans="1:48" ht="16.3">
      <c r="A88" s="246" t="s">
        <v>362</v>
      </c>
      <c r="B88" s="261">
        <f>SUM(L88+M88+N88+O88+P88+U88+X88+Y88+Z88+AC88+AK88+AL88+AK88+AO88+AR88+AS88+AU88+AV88+AW88+AX88)+2</f>
        <v>2</v>
      </c>
      <c r="C88" s="215">
        <f t="shared" si="14"/>
        <v>2</v>
      </c>
      <c r="D88" s="139"/>
      <c r="E88" s="140"/>
      <c r="F88" s="135"/>
      <c r="G88" s="136"/>
      <c r="H88" s="683"/>
      <c r="I88" s="676"/>
      <c r="J88" s="534"/>
      <c r="K88" s="96"/>
      <c r="L88" s="104"/>
      <c r="M88" s="75"/>
      <c r="N88" s="75"/>
      <c r="O88" s="75"/>
      <c r="P88" s="75"/>
      <c r="Q88" s="97"/>
      <c r="R88" s="163"/>
      <c r="S88" s="109"/>
      <c r="T88" s="109"/>
      <c r="U88" s="100"/>
      <c r="V88" s="110"/>
      <c r="W88" s="110"/>
      <c r="X88" s="100"/>
      <c r="Y88" s="100"/>
      <c r="Z88" s="100"/>
      <c r="AA88" s="110"/>
      <c r="AB88" s="110"/>
      <c r="AC88" s="100"/>
      <c r="AD88" s="108"/>
      <c r="AE88" s="109"/>
      <c r="AF88" s="109"/>
      <c r="AG88" s="109"/>
      <c r="AH88" s="109"/>
      <c r="AI88" s="109"/>
      <c r="AJ88" s="108"/>
      <c r="AK88" s="100"/>
      <c r="AL88" s="142"/>
      <c r="AM88" s="142"/>
      <c r="AN88" s="100"/>
      <c r="AO88" s="100"/>
      <c r="AP88" s="142"/>
      <c r="AQ88" s="100"/>
      <c r="AR88" s="100"/>
      <c r="AS88" s="142"/>
      <c r="AT88" s="100"/>
      <c r="AU88" s="100"/>
      <c r="AV88" s="100"/>
    </row>
    <row r="89" spans="1:48" ht="16.3">
      <c r="A89" s="246" t="s">
        <v>364</v>
      </c>
      <c r="B89" s="261">
        <f>SUM(L89+M89+N89+O89+P89+U89+X89+Y89+Z89+AC89+AK89+AL89+AK89+AO89+AR89+AS89+AU89+AV89+AW89+AX89)+1</f>
        <v>1</v>
      </c>
      <c r="C89" s="215">
        <f t="shared" si="14"/>
        <v>1</v>
      </c>
      <c r="D89" s="139"/>
      <c r="E89" s="140"/>
      <c r="F89" s="135"/>
      <c r="G89" s="136"/>
      <c r="H89" s="683"/>
      <c r="I89" s="676"/>
      <c r="J89" s="534"/>
      <c r="K89" s="96"/>
      <c r="L89" s="104"/>
      <c r="M89" s="75"/>
      <c r="N89" s="75"/>
      <c r="O89" s="75"/>
      <c r="P89" s="75"/>
      <c r="Q89" s="97"/>
      <c r="R89" s="163"/>
      <c r="S89" s="109"/>
      <c r="T89" s="109"/>
      <c r="U89" s="100"/>
      <c r="V89" s="110"/>
      <c r="W89" s="110"/>
      <c r="X89" s="100"/>
      <c r="Y89" s="100"/>
      <c r="Z89" s="100"/>
      <c r="AA89" s="110"/>
      <c r="AB89" s="110"/>
      <c r="AC89" s="100"/>
      <c r="AD89" s="108"/>
      <c r="AE89" s="109"/>
      <c r="AF89" s="109"/>
      <c r="AG89" s="109"/>
      <c r="AH89" s="109"/>
      <c r="AI89" s="109"/>
      <c r="AJ89" s="108"/>
      <c r="AK89" s="100"/>
      <c r="AL89" s="142"/>
      <c r="AM89" s="142"/>
      <c r="AN89" s="100"/>
      <c r="AO89" s="100"/>
      <c r="AP89" s="142"/>
      <c r="AQ89" s="100"/>
      <c r="AR89" s="100"/>
      <c r="AS89" s="142"/>
      <c r="AT89" s="100"/>
      <c r="AU89" s="100"/>
      <c r="AV89" s="100"/>
    </row>
    <row r="90" spans="1:48" ht="16.3">
      <c r="A90" s="87" t="s">
        <v>3</v>
      </c>
      <c r="B90" s="260">
        <f>SUM(L90+M90+N90+O90+P90+U90+X90+Y90+Z90+AC90+AK90+AL90+AK90+AO90+AR90+AS90+AU90+AV90+AW90+AX90)+5</f>
        <v>6</v>
      </c>
      <c r="C90" s="214">
        <f t="shared" si="14"/>
        <v>6</v>
      </c>
      <c r="D90" s="133"/>
      <c r="E90" s="134"/>
      <c r="F90" s="135"/>
      <c r="G90" s="136"/>
      <c r="H90" s="683"/>
      <c r="I90" s="676"/>
      <c r="J90" s="534"/>
      <c r="K90" s="96"/>
      <c r="L90" s="104"/>
      <c r="M90" s="75"/>
      <c r="N90" s="75"/>
      <c r="O90" s="75"/>
      <c r="P90" s="75"/>
      <c r="Q90" s="97">
        <v>1</v>
      </c>
      <c r="R90" s="163"/>
      <c r="S90" s="109"/>
      <c r="T90" s="109">
        <v>1</v>
      </c>
      <c r="U90" s="100"/>
      <c r="V90" s="110"/>
      <c r="W90" s="110"/>
      <c r="X90" s="100">
        <v>1</v>
      </c>
      <c r="Y90" s="100"/>
      <c r="Z90" s="100"/>
      <c r="AA90" s="110"/>
      <c r="AB90" s="110"/>
      <c r="AC90" s="100"/>
      <c r="AD90" s="108"/>
      <c r="AE90" s="109"/>
      <c r="AF90" s="109"/>
      <c r="AG90" s="109">
        <v>1</v>
      </c>
      <c r="AH90" s="109"/>
      <c r="AI90" s="109"/>
      <c r="AJ90" s="108"/>
      <c r="AK90" s="100"/>
      <c r="AL90" s="142"/>
      <c r="AM90" s="142"/>
      <c r="AN90" s="100"/>
      <c r="AO90" s="100"/>
      <c r="AP90" s="142"/>
      <c r="AQ90" s="100"/>
      <c r="AR90" s="100"/>
      <c r="AS90" s="142"/>
      <c r="AT90" s="100"/>
      <c r="AU90" s="100"/>
      <c r="AV90" s="100"/>
    </row>
    <row r="91" spans="1:48" ht="17" thickBot="1">
      <c r="A91" s="88" t="s">
        <v>4</v>
      </c>
      <c r="B91" s="262">
        <f>SUM(L91+M91+N91+O91+P91+U91+X91+Y91+Z91+AC91+AK91+AL91+AK91+AO91+AR91+AS91+AU91+AV91+AW91+AX91)+25</f>
        <v>30</v>
      </c>
      <c r="C91" s="217">
        <f t="shared" si="14"/>
        <v>30</v>
      </c>
      <c r="D91" s="144"/>
      <c r="E91" s="145"/>
      <c r="F91" s="146"/>
      <c r="G91" s="147"/>
      <c r="H91" s="684"/>
      <c r="I91" s="677"/>
      <c r="J91" s="535"/>
      <c r="K91" s="114"/>
      <c r="L91" s="113"/>
      <c r="M91" s="112"/>
      <c r="N91" s="112"/>
      <c r="O91" s="112"/>
      <c r="P91" s="112"/>
      <c r="Q91" s="115">
        <v>5</v>
      </c>
      <c r="R91" s="164"/>
      <c r="S91" s="118"/>
      <c r="T91" s="118">
        <v>5</v>
      </c>
      <c r="U91" s="116"/>
      <c r="V91" s="120"/>
      <c r="W91" s="120"/>
      <c r="X91" s="116">
        <v>5</v>
      </c>
      <c r="Y91" s="116"/>
      <c r="Z91" s="116"/>
      <c r="AA91" s="120"/>
      <c r="AB91" s="120"/>
      <c r="AC91" s="116"/>
      <c r="AD91" s="117"/>
      <c r="AE91" s="118"/>
      <c r="AF91" s="118"/>
      <c r="AG91" s="118">
        <v>5</v>
      </c>
      <c r="AH91" s="118"/>
      <c r="AI91" s="118"/>
      <c r="AJ91" s="117"/>
      <c r="AK91" s="116"/>
      <c r="AL91" s="149"/>
      <c r="AM91" s="149"/>
      <c r="AN91" s="116"/>
      <c r="AO91" s="116"/>
      <c r="AP91" s="149"/>
      <c r="AQ91" s="116"/>
      <c r="AR91" s="116"/>
      <c r="AS91" s="149"/>
      <c r="AT91" s="116"/>
      <c r="AU91" s="116"/>
      <c r="AV91" s="116"/>
    </row>
    <row r="92" spans="1:48" ht="21.1">
      <c r="A92" s="82" t="s">
        <v>57</v>
      </c>
      <c r="B92" s="260"/>
      <c r="C92" s="214"/>
      <c r="D92" s="133"/>
      <c r="E92" s="134"/>
      <c r="F92" s="135"/>
      <c r="G92" s="136"/>
      <c r="H92" s="683"/>
      <c r="I92" s="676"/>
      <c r="J92" s="534"/>
      <c r="K92" s="96"/>
      <c r="L92" s="104">
        <v>12</v>
      </c>
      <c r="M92" s="75" t="s">
        <v>381</v>
      </c>
      <c r="N92" s="75"/>
      <c r="O92" s="75">
        <v>12</v>
      </c>
      <c r="P92" s="75" t="s">
        <v>381</v>
      </c>
      <c r="Q92" s="97"/>
      <c r="R92" s="163"/>
      <c r="S92" s="109"/>
      <c r="T92" s="109">
        <v>10</v>
      </c>
      <c r="U92" s="100" t="s">
        <v>375</v>
      </c>
      <c r="V92" s="110">
        <v>12</v>
      </c>
      <c r="W92" s="110" t="s">
        <v>381</v>
      </c>
      <c r="X92" s="100" t="s">
        <v>375</v>
      </c>
      <c r="Y92" s="100"/>
      <c r="Z92" s="100">
        <v>12</v>
      </c>
      <c r="AA92" s="110" t="s">
        <v>381</v>
      </c>
      <c r="AB92" s="110" t="s">
        <v>375</v>
      </c>
      <c r="AC92" s="100"/>
      <c r="AD92" s="108"/>
      <c r="AE92" s="109" t="s">
        <v>993</v>
      </c>
      <c r="AF92" s="109"/>
      <c r="AG92" s="109"/>
      <c r="AH92" s="109" t="s">
        <v>375</v>
      </c>
      <c r="AI92" s="109"/>
      <c r="AJ92" s="108"/>
      <c r="AK92" s="100"/>
      <c r="AL92" s="142"/>
      <c r="AM92" s="142"/>
      <c r="AN92" s="100"/>
      <c r="AO92" s="100"/>
      <c r="AP92" s="142"/>
      <c r="AQ92" s="100"/>
      <c r="AR92" s="100"/>
      <c r="AS92" s="142"/>
      <c r="AT92" s="100"/>
      <c r="AU92" s="100"/>
      <c r="AV92" s="100"/>
    </row>
    <row r="93" spans="1:48" ht="16.3">
      <c r="A93" s="246" t="s">
        <v>1</v>
      </c>
      <c r="B93" s="261">
        <f>SUM(L93+M93+N93+O93+P93+U93+X93+Y93+Z93+AC93+AK93+AL93+AK93+AO93+AR93+AS93+AU93+AV93+AW93+AX93+AP93)+50</f>
        <v>55</v>
      </c>
      <c r="C93" s="215">
        <f>SUM(L93+M93+N93+O93+P93+U93+Y93+Z93+X93+AC93+AL93+AK93+AL93+AP93+AS93+AO93+AV93+AW93+AX93+AY93+AR93+AU93)+53</f>
        <v>58</v>
      </c>
      <c r="D93" s="139"/>
      <c r="E93" s="140"/>
      <c r="F93" s="135"/>
      <c r="G93" s="136"/>
      <c r="H93" s="683"/>
      <c r="I93" s="676"/>
      <c r="J93" s="534"/>
      <c r="K93" s="96"/>
      <c r="L93" s="104">
        <v>1</v>
      </c>
      <c r="M93" s="75">
        <v>1</v>
      </c>
      <c r="N93" s="75"/>
      <c r="O93" s="75">
        <v>1</v>
      </c>
      <c r="P93" s="75">
        <v>1</v>
      </c>
      <c r="Q93" s="97"/>
      <c r="R93" s="163"/>
      <c r="S93" s="109"/>
      <c r="T93" s="109">
        <v>1</v>
      </c>
      <c r="U93" s="100"/>
      <c r="V93" s="110">
        <v>1</v>
      </c>
      <c r="W93" s="110">
        <v>1</v>
      </c>
      <c r="X93" s="100"/>
      <c r="Y93" s="100"/>
      <c r="Z93" s="100">
        <v>1</v>
      </c>
      <c r="AA93" s="110">
        <v>1</v>
      </c>
      <c r="AB93" s="110"/>
      <c r="AC93" s="100"/>
      <c r="AD93" s="108"/>
      <c r="AE93" s="109"/>
      <c r="AF93" s="109"/>
      <c r="AG93" s="109"/>
      <c r="AH93" s="109"/>
      <c r="AI93" s="109"/>
      <c r="AJ93" s="108"/>
      <c r="AK93" s="100"/>
      <c r="AL93" s="142"/>
      <c r="AM93" s="142"/>
      <c r="AN93" s="100"/>
      <c r="AO93" s="100"/>
      <c r="AP93" s="142"/>
      <c r="AQ93" s="100"/>
      <c r="AR93" s="100"/>
      <c r="AS93" s="142"/>
      <c r="AT93" s="100"/>
      <c r="AU93" s="100"/>
      <c r="AV93" s="100"/>
    </row>
    <row r="94" spans="1:48" ht="16.3">
      <c r="A94" s="246" t="s">
        <v>2</v>
      </c>
      <c r="B94" s="261">
        <f>SUM(L94+M94+N94+O94+P94+U94+X94+Y94+Z94+AC94+AK94+AL94+AK94+AO94+AR94+AS94+AU94+AV94+AW94+AX94+AP94)+12</f>
        <v>14</v>
      </c>
      <c r="C94" s="215">
        <f>SUM(L94+M94+N94+O94+P94+U94+Y94+Z94+X94+AC94+AL94+AK94+AL94+AP94+AS94+AO94+AV94+AW94+AX94+AY94+AR94+AU94)+19</f>
        <v>21</v>
      </c>
      <c r="D94" s="139"/>
      <c r="E94" s="140"/>
      <c r="F94" s="135"/>
      <c r="G94" s="136"/>
      <c r="H94" s="683"/>
      <c r="I94" s="676"/>
      <c r="J94" s="534"/>
      <c r="K94" s="96"/>
      <c r="L94" s="104"/>
      <c r="M94" s="75"/>
      <c r="N94" s="75"/>
      <c r="O94" s="75"/>
      <c r="P94" s="75"/>
      <c r="Q94" s="97"/>
      <c r="R94" s="163"/>
      <c r="S94" s="109"/>
      <c r="T94" s="109"/>
      <c r="U94" s="100">
        <v>1</v>
      </c>
      <c r="V94" s="110"/>
      <c r="W94" s="110"/>
      <c r="X94" s="100">
        <v>1</v>
      </c>
      <c r="Y94" s="100"/>
      <c r="Z94" s="100"/>
      <c r="AA94" s="110"/>
      <c r="AB94" s="110">
        <v>1</v>
      </c>
      <c r="AC94" s="100"/>
      <c r="AD94" s="108"/>
      <c r="AE94" s="109"/>
      <c r="AF94" s="109"/>
      <c r="AG94" s="109"/>
      <c r="AH94" s="109">
        <v>1</v>
      </c>
      <c r="AI94" s="109"/>
      <c r="AJ94" s="108"/>
      <c r="AK94" s="100"/>
      <c r="AL94" s="142"/>
      <c r="AM94" s="142"/>
      <c r="AN94" s="100"/>
      <c r="AO94" s="100"/>
      <c r="AP94" s="142"/>
      <c r="AQ94" s="100"/>
      <c r="AR94" s="100"/>
      <c r="AS94" s="142"/>
      <c r="AT94" s="100"/>
      <c r="AU94" s="100"/>
      <c r="AV94" s="100"/>
    </row>
    <row r="95" spans="1:48" ht="16.3">
      <c r="A95" s="87" t="s">
        <v>363</v>
      </c>
      <c r="B95" s="260">
        <f>SUM(B93+B94)</f>
        <v>69</v>
      </c>
      <c r="C95" s="214">
        <f>SUM(C93+C94)</f>
        <v>79</v>
      </c>
      <c r="D95" s="133"/>
      <c r="E95" s="134"/>
      <c r="F95" s="135"/>
      <c r="G95" s="136"/>
      <c r="H95" s="683"/>
      <c r="I95" s="676"/>
      <c r="J95" s="534"/>
      <c r="K95" s="96"/>
      <c r="L95" s="104"/>
      <c r="M95" s="75"/>
      <c r="N95" s="75"/>
      <c r="O95" s="75"/>
      <c r="P95" s="75"/>
      <c r="Q95" s="97"/>
      <c r="R95" s="163"/>
      <c r="S95" s="109"/>
      <c r="T95" s="109"/>
      <c r="U95" s="100"/>
      <c r="V95" s="110"/>
      <c r="W95" s="110"/>
      <c r="X95" s="100"/>
      <c r="Y95" s="100"/>
      <c r="Z95" s="100"/>
      <c r="AA95" s="110"/>
      <c r="AB95" s="110"/>
      <c r="AC95" s="100"/>
      <c r="AD95" s="108"/>
      <c r="AE95" s="109"/>
      <c r="AF95" s="109"/>
      <c r="AG95" s="109"/>
      <c r="AH95" s="109"/>
      <c r="AI95" s="109"/>
      <c r="AJ95" s="108"/>
      <c r="AK95" s="100"/>
      <c r="AL95" s="142"/>
      <c r="AM95" s="142"/>
      <c r="AN95" s="100"/>
      <c r="AO95" s="100"/>
      <c r="AP95" s="142"/>
      <c r="AQ95" s="100"/>
      <c r="AR95" s="100"/>
      <c r="AS95" s="142"/>
      <c r="AT95" s="100"/>
      <c r="AU95" s="100"/>
      <c r="AV95" s="100"/>
    </row>
    <row r="96" spans="1:48" ht="16.3">
      <c r="A96" s="246" t="s">
        <v>362</v>
      </c>
      <c r="B96" s="261">
        <f>SUM(L96+M96+N96+O96+P96+U96+X96+Y96+Z96+AC96+AK96+AL96+AK96+AO96+AR96+AS96+AU96+AV96+AW96+AX96+AP96)+3</f>
        <v>3</v>
      </c>
      <c r="C96" s="215">
        <f>SUM(L96+M96+N96+O96+P96+U96+Y96+Z96+X96+AC96+AL96+AK96+AL96+AP96+AS96+AO96+AV96+AW96+AX96+AY96+AR96+AU96)+3</f>
        <v>3</v>
      </c>
      <c r="D96" s="139"/>
      <c r="E96" s="140"/>
      <c r="F96" s="135"/>
      <c r="G96" s="136"/>
      <c r="H96" s="683"/>
      <c r="I96" s="676"/>
      <c r="J96" s="534"/>
      <c r="K96" s="96"/>
      <c r="L96" s="104"/>
      <c r="M96" s="75"/>
      <c r="N96" s="75"/>
      <c r="O96" s="75"/>
      <c r="P96" s="75"/>
      <c r="Q96" s="97"/>
      <c r="R96" s="163"/>
      <c r="S96" s="109"/>
      <c r="T96" s="109"/>
      <c r="U96" s="100"/>
      <c r="V96" s="110"/>
      <c r="W96" s="110"/>
      <c r="X96" s="100"/>
      <c r="Y96" s="100"/>
      <c r="Z96" s="100"/>
      <c r="AA96" s="110"/>
      <c r="AB96" s="110"/>
      <c r="AC96" s="100"/>
      <c r="AD96" s="108"/>
      <c r="AE96" s="109"/>
      <c r="AF96" s="109"/>
      <c r="AG96" s="109"/>
      <c r="AH96" s="109"/>
      <c r="AI96" s="109"/>
      <c r="AJ96" s="108"/>
      <c r="AK96" s="100"/>
      <c r="AL96" s="142"/>
      <c r="AM96" s="142"/>
      <c r="AN96" s="100"/>
      <c r="AO96" s="100"/>
      <c r="AP96" s="142"/>
      <c r="AQ96" s="100"/>
      <c r="AR96" s="100"/>
      <c r="AS96" s="142"/>
      <c r="AT96" s="100"/>
      <c r="AU96" s="100"/>
      <c r="AV96" s="100"/>
    </row>
    <row r="97" spans="1:48" ht="16.3">
      <c r="A97" s="246" t="s">
        <v>5</v>
      </c>
      <c r="B97" s="261">
        <f>SUM(L97+M97+N97+O97+P97+U97+X97+Y97+Z97+AC97+AK97+AL97+AK97+AO97+AR97+AS97+AU97+AV97+AW97+AX97+AP97)</f>
        <v>0</v>
      </c>
      <c r="C97" s="215">
        <f>SUM(L97+M97+N97+O97+P97+U97+Y97+Z97+X97+AC97+AL97+AK97+AL97+AP97+AS97+AO97+AV97+AW97+AX97+AY97+AR97+AU97)</f>
        <v>0</v>
      </c>
      <c r="D97" s="139"/>
      <c r="E97" s="140"/>
      <c r="F97" s="135"/>
      <c r="G97" s="136"/>
      <c r="H97" s="683"/>
      <c r="I97" s="676"/>
      <c r="J97" s="534"/>
      <c r="K97" s="96"/>
      <c r="L97" s="104"/>
      <c r="M97" s="75"/>
      <c r="N97" s="75"/>
      <c r="O97" s="75"/>
      <c r="P97" s="75"/>
      <c r="Q97" s="97"/>
      <c r="R97" s="163"/>
      <c r="S97" s="109"/>
      <c r="T97" s="109"/>
      <c r="U97" s="100"/>
      <c r="V97" s="110"/>
      <c r="W97" s="110"/>
      <c r="X97" s="100"/>
      <c r="Y97" s="100"/>
      <c r="Z97" s="100"/>
      <c r="AA97" s="110"/>
      <c r="AB97" s="110"/>
      <c r="AC97" s="100"/>
      <c r="AD97" s="108"/>
      <c r="AE97" s="109"/>
      <c r="AF97" s="109"/>
      <c r="AG97" s="109"/>
      <c r="AH97" s="109"/>
      <c r="AI97" s="109"/>
      <c r="AJ97" s="108"/>
      <c r="AK97" s="100"/>
      <c r="AL97" s="142"/>
      <c r="AM97" s="142"/>
      <c r="AN97" s="100"/>
      <c r="AO97" s="100"/>
      <c r="AP97" s="142"/>
      <c r="AQ97" s="100"/>
      <c r="AR97" s="100"/>
      <c r="AS97" s="142"/>
      <c r="AT97" s="100"/>
      <c r="AU97" s="100"/>
      <c r="AV97" s="100"/>
    </row>
    <row r="98" spans="1:48" ht="16.3">
      <c r="A98" s="246" t="s">
        <v>6</v>
      </c>
      <c r="B98" s="261">
        <f>SUM(L98+M98+N98+O98+P98+U98+X98+Y98+Z98+AC98+AK98+AL98+AK98+AO98+AR98+AS98+AU98+AV98+AW98+AX98+AP98)</f>
        <v>0</v>
      </c>
      <c r="C98" s="215">
        <f>SUM(L98+M98+N98+O98+P98+U98+Y98+Z98+X98+AC98+AL98+AK98+AL98+AP98+AS98+AO98+AV98+AW98+AX98+AY98+AR98+AU98)+1</f>
        <v>1</v>
      </c>
      <c r="D98" s="139"/>
      <c r="E98" s="140"/>
      <c r="F98" s="135"/>
      <c r="G98" s="136"/>
      <c r="H98" s="683"/>
      <c r="I98" s="676"/>
      <c r="J98" s="534"/>
      <c r="K98" s="96"/>
      <c r="L98" s="104"/>
      <c r="M98" s="75"/>
      <c r="N98" s="75"/>
      <c r="O98" s="75"/>
      <c r="P98" s="75"/>
      <c r="Q98" s="97"/>
      <c r="R98" s="163"/>
      <c r="S98" s="109"/>
      <c r="T98" s="109"/>
      <c r="U98" s="100"/>
      <c r="V98" s="110"/>
      <c r="W98" s="110"/>
      <c r="X98" s="100"/>
      <c r="Y98" s="100"/>
      <c r="Z98" s="100"/>
      <c r="AA98" s="110"/>
      <c r="AB98" s="110"/>
      <c r="AC98" s="100"/>
      <c r="AD98" s="108"/>
      <c r="AE98" s="109"/>
      <c r="AF98" s="109"/>
      <c r="AG98" s="109"/>
      <c r="AH98" s="109"/>
      <c r="AI98" s="109"/>
      <c r="AJ98" s="108"/>
      <c r="AK98" s="100"/>
      <c r="AL98" s="142"/>
      <c r="AM98" s="142"/>
      <c r="AN98" s="100"/>
      <c r="AO98" s="100"/>
      <c r="AP98" s="142"/>
      <c r="AQ98" s="100"/>
      <c r="AR98" s="100"/>
      <c r="AS98" s="142"/>
      <c r="AT98" s="100"/>
      <c r="AU98" s="100"/>
      <c r="AV98" s="100"/>
    </row>
    <row r="99" spans="1:48" ht="16.3">
      <c r="A99" s="246" t="s">
        <v>368</v>
      </c>
      <c r="B99" s="261">
        <v>0</v>
      </c>
      <c r="C99" s="215">
        <f t="shared" ref="C99" si="16">B99</f>
        <v>0</v>
      </c>
      <c r="D99" s="139"/>
      <c r="E99" s="140"/>
      <c r="F99" s="135"/>
      <c r="G99" s="136"/>
      <c r="H99" s="683"/>
      <c r="I99" s="676"/>
      <c r="J99" s="534"/>
      <c r="K99" s="96"/>
      <c r="L99" s="104"/>
      <c r="M99" s="75"/>
      <c r="N99" s="75"/>
      <c r="O99" s="75"/>
      <c r="P99" s="75"/>
      <c r="Q99" s="97"/>
      <c r="R99" s="163"/>
      <c r="S99" s="109"/>
      <c r="T99" s="109"/>
      <c r="U99" s="100"/>
      <c r="V99" s="110"/>
      <c r="W99" s="110"/>
      <c r="X99" s="100"/>
      <c r="Y99" s="100"/>
      <c r="Z99" s="100"/>
      <c r="AA99" s="110"/>
      <c r="AB99" s="110"/>
      <c r="AC99" s="100"/>
      <c r="AD99" s="108"/>
      <c r="AE99" s="109"/>
      <c r="AF99" s="109"/>
      <c r="AG99" s="109"/>
      <c r="AH99" s="109"/>
      <c r="AI99" s="109"/>
      <c r="AJ99" s="108"/>
      <c r="AK99" s="100"/>
      <c r="AL99" s="142"/>
      <c r="AM99" s="142"/>
      <c r="AN99" s="100"/>
      <c r="AO99" s="100"/>
      <c r="AP99" s="142"/>
      <c r="AQ99" s="100"/>
      <c r="AR99" s="100"/>
      <c r="AS99" s="142"/>
      <c r="AT99" s="100"/>
      <c r="AU99" s="100"/>
      <c r="AV99" s="100"/>
    </row>
    <row r="100" spans="1:48" ht="16.3">
      <c r="A100" s="87" t="s">
        <v>3</v>
      </c>
      <c r="B100" s="260">
        <f>SUM(L100+M100+N100+O100+P100+U100+X100+Y100+Z100+AC100+AK100+AL100+AK100+AO100+AR100+AS100+AU100+AV100+AW100+AX100+AP100)+10</f>
        <v>13</v>
      </c>
      <c r="C100" s="214">
        <f>SUM(L100+M100+N100+O100+P100+U100+Y100+Z100+X100+AC100+AL100+AK100+AL100+AP100+AS100+AO100+AV100+AW100+AX100+AY100+AR100+AU100)+10</f>
        <v>13</v>
      </c>
      <c r="D100" s="133"/>
      <c r="E100" s="134"/>
      <c r="F100" s="135"/>
      <c r="G100" s="136"/>
      <c r="H100" s="683"/>
      <c r="I100" s="676"/>
      <c r="J100" s="534"/>
      <c r="K100" s="96"/>
      <c r="L100" s="104"/>
      <c r="M100" s="75">
        <v>1</v>
      </c>
      <c r="N100" s="75"/>
      <c r="O100" s="75">
        <v>1</v>
      </c>
      <c r="P100" s="75">
        <v>1</v>
      </c>
      <c r="Q100" s="97"/>
      <c r="R100" s="163"/>
      <c r="S100" s="109"/>
      <c r="T100" s="109"/>
      <c r="U100" s="100"/>
      <c r="V100" s="110"/>
      <c r="W100" s="110"/>
      <c r="X100" s="100"/>
      <c r="Y100" s="100"/>
      <c r="Z100" s="100"/>
      <c r="AA100" s="110">
        <v>1</v>
      </c>
      <c r="AB100" s="110"/>
      <c r="AC100" s="100"/>
      <c r="AD100" s="108"/>
      <c r="AE100" s="109"/>
      <c r="AF100" s="109"/>
      <c r="AG100" s="109"/>
      <c r="AH100" s="109"/>
      <c r="AI100" s="109"/>
      <c r="AJ100" s="108"/>
      <c r="AK100" s="100"/>
      <c r="AL100" s="142"/>
      <c r="AM100" s="142"/>
      <c r="AN100" s="100"/>
      <c r="AO100" s="100"/>
      <c r="AP100" s="142"/>
      <c r="AQ100" s="100"/>
      <c r="AR100" s="100"/>
      <c r="AS100" s="142"/>
      <c r="AT100" s="100"/>
      <c r="AU100" s="100"/>
      <c r="AV100" s="100"/>
    </row>
    <row r="101" spans="1:48" ht="17" thickBot="1">
      <c r="A101" s="88" t="s">
        <v>4</v>
      </c>
      <c r="B101" s="262">
        <f>SUM(L101+M101+N101+O101+P101+U101+X101+Y101+Z101+AC101+AK101+AL101+AK101+AO101+AR101+AS101+AU101+AV101+AW101+AX101+AP101)+50</f>
        <v>65</v>
      </c>
      <c r="C101" s="217">
        <f>SUM(L101+M101+N101+O101+P101+U101+Y101+Z101+X101+AC101+AL101+AK101+AL101+AP101+AS101+AO101+AV101+AW101+AX101+AY101+AR101+AU101)+50</f>
        <v>65</v>
      </c>
      <c r="D101" s="144"/>
      <c r="E101" s="145"/>
      <c r="F101" s="146"/>
      <c r="G101" s="147"/>
      <c r="H101" s="684"/>
      <c r="I101" s="677"/>
      <c r="J101" s="535"/>
      <c r="K101" s="114"/>
      <c r="L101" s="113"/>
      <c r="M101" s="112">
        <v>5</v>
      </c>
      <c r="N101" s="112"/>
      <c r="O101" s="112">
        <v>5</v>
      </c>
      <c r="P101" s="112">
        <v>5</v>
      </c>
      <c r="Q101" s="115"/>
      <c r="R101" s="164"/>
      <c r="S101" s="118"/>
      <c r="T101" s="118"/>
      <c r="U101" s="116"/>
      <c r="V101" s="120"/>
      <c r="W101" s="120"/>
      <c r="X101" s="116"/>
      <c r="Y101" s="116"/>
      <c r="Z101" s="116"/>
      <c r="AA101" s="120">
        <v>5</v>
      </c>
      <c r="AB101" s="120"/>
      <c r="AC101" s="116"/>
      <c r="AD101" s="117"/>
      <c r="AE101" s="118"/>
      <c r="AF101" s="118"/>
      <c r="AG101" s="118"/>
      <c r="AH101" s="118"/>
      <c r="AI101" s="118"/>
      <c r="AJ101" s="117"/>
      <c r="AK101" s="116"/>
      <c r="AL101" s="149"/>
      <c r="AM101" s="149"/>
      <c r="AN101" s="116"/>
      <c r="AO101" s="116"/>
      <c r="AP101" s="149"/>
      <c r="AQ101" s="116"/>
      <c r="AR101" s="116"/>
      <c r="AS101" s="149"/>
      <c r="AT101" s="116"/>
      <c r="AU101" s="116"/>
      <c r="AV101" s="116"/>
    </row>
    <row r="102" spans="1:48" ht="21.1">
      <c r="A102" s="82" t="s">
        <v>27</v>
      </c>
      <c r="B102" s="260"/>
      <c r="C102" s="214"/>
      <c r="D102" s="133"/>
      <c r="E102" s="134"/>
      <c r="F102" s="135"/>
      <c r="G102" s="136"/>
      <c r="H102" s="683"/>
      <c r="I102" s="676"/>
      <c r="J102" s="534"/>
      <c r="K102" s="96"/>
      <c r="L102" s="104" t="s">
        <v>377</v>
      </c>
      <c r="M102" s="75">
        <v>13</v>
      </c>
      <c r="N102" s="75">
        <v>13</v>
      </c>
      <c r="O102" s="75"/>
      <c r="P102" s="75" t="s">
        <v>772</v>
      </c>
      <c r="Q102" s="97" t="s">
        <v>775</v>
      </c>
      <c r="R102" s="163"/>
      <c r="S102" s="109" t="s">
        <v>775</v>
      </c>
      <c r="T102" s="109" t="s">
        <v>339</v>
      </c>
      <c r="U102" s="100" t="s">
        <v>339</v>
      </c>
      <c r="V102" s="110" t="s">
        <v>339</v>
      </c>
      <c r="W102" s="110" t="s">
        <v>339</v>
      </c>
      <c r="X102" s="100" t="s">
        <v>339</v>
      </c>
      <c r="Y102" s="100">
        <v>13</v>
      </c>
      <c r="Z102" s="100">
        <v>13</v>
      </c>
      <c r="AA102" s="110"/>
      <c r="AB102" s="110" t="s">
        <v>377</v>
      </c>
      <c r="AC102" s="100" t="s">
        <v>339</v>
      </c>
      <c r="AD102" s="108"/>
      <c r="AE102" s="109" t="s">
        <v>339</v>
      </c>
      <c r="AF102" s="109" t="s">
        <v>339</v>
      </c>
      <c r="AG102" s="109" t="s">
        <v>775</v>
      </c>
      <c r="AH102" s="109" t="s">
        <v>339</v>
      </c>
      <c r="AI102" s="109" t="s">
        <v>339</v>
      </c>
      <c r="AJ102" s="108"/>
      <c r="AK102" s="100"/>
      <c r="AL102" s="142"/>
      <c r="AM102" s="142"/>
      <c r="AN102" s="100"/>
      <c r="AO102" s="100"/>
      <c r="AP102" s="142"/>
      <c r="AQ102" s="100"/>
      <c r="AR102" s="100"/>
      <c r="AS102" s="142"/>
      <c r="AT102" s="100"/>
      <c r="AU102" s="100"/>
      <c r="AV102" s="100"/>
    </row>
    <row r="103" spans="1:48" ht="16.3">
      <c r="A103" s="246" t="s">
        <v>1</v>
      </c>
      <c r="B103" s="261">
        <f>SUM(L103+M103+N103+O103+P103+U103+X103+Y103+Z103+AC103+AK103+AL103+AK103+AO103+AR103+AS103+AU103+AV103+AW103+AX103+AP103)+33</f>
        <v>39</v>
      </c>
      <c r="C103" s="215">
        <f>SUM(L103+M103+N103+O103+P103+U103+Y103+Z103+X103+AC103+AL103+AK103+AL103+AP103+AS103+AO103+AV103+AW103+AX103+AY103+AR103+AU103)+58</f>
        <v>64</v>
      </c>
      <c r="D103" s="139"/>
      <c r="E103" s="140"/>
      <c r="F103" s="135"/>
      <c r="G103" s="136"/>
      <c r="H103" s="683"/>
      <c r="I103" s="676"/>
      <c r="J103" s="534"/>
      <c r="K103" s="96"/>
      <c r="L103" s="104">
        <v>1</v>
      </c>
      <c r="M103" s="75">
        <v>1</v>
      </c>
      <c r="N103" s="75">
        <v>1</v>
      </c>
      <c r="O103" s="75"/>
      <c r="P103" s="75">
        <v>1</v>
      </c>
      <c r="Q103" s="97"/>
      <c r="R103" s="163"/>
      <c r="S103" s="109"/>
      <c r="T103" s="109"/>
      <c r="U103" s="100"/>
      <c r="V103" s="110"/>
      <c r="W103" s="110"/>
      <c r="X103" s="100"/>
      <c r="Y103" s="100">
        <v>1</v>
      </c>
      <c r="Z103" s="100">
        <v>1</v>
      </c>
      <c r="AA103" s="110"/>
      <c r="AB103" s="110">
        <v>1</v>
      </c>
      <c r="AC103" s="100"/>
      <c r="AD103" s="108"/>
      <c r="AE103" s="109"/>
      <c r="AF103" s="109"/>
      <c r="AG103" s="109"/>
      <c r="AH103" s="109"/>
      <c r="AI103" s="109"/>
      <c r="AJ103" s="108"/>
      <c r="AK103" s="100"/>
      <c r="AL103" s="142"/>
      <c r="AM103" s="142"/>
      <c r="AN103" s="100"/>
      <c r="AO103" s="100"/>
      <c r="AP103" s="142"/>
      <c r="AQ103" s="100"/>
      <c r="AR103" s="100"/>
      <c r="AS103" s="142"/>
      <c r="AT103" s="100"/>
      <c r="AU103" s="100"/>
      <c r="AV103" s="100"/>
    </row>
    <row r="104" spans="1:48" ht="16.3">
      <c r="A104" s="246" t="s">
        <v>2</v>
      </c>
      <c r="B104" s="261">
        <f>SUM(L104+M104+N104+O104+P104+U104+X104+Y104+Z104+AC104+AK104+AL104+AK104+AO104+AR104+AS104+AU104+AV104+AW104+AX104+AP104)</f>
        <v>0</v>
      </c>
      <c r="C104" s="215">
        <f>SUM(L104+M104+N104+O104+P104+U104+Y104+Z104+X104+AC104+AL104+AK104+AL104+AP104+AS104+AO104+AV104+AW104+AX104+AY104+AR104+AU104)+11</f>
        <v>11</v>
      </c>
      <c r="D104" s="139"/>
      <c r="E104" s="140"/>
      <c r="F104" s="135"/>
      <c r="G104" s="136"/>
      <c r="H104" s="683"/>
      <c r="I104" s="676"/>
      <c r="J104" s="534"/>
      <c r="K104" s="96"/>
      <c r="L104" s="104"/>
      <c r="M104" s="75"/>
      <c r="N104" s="75"/>
      <c r="O104" s="75"/>
      <c r="P104" s="75"/>
      <c r="Q104" s="97"/>
      <c r="R104" s="163"/>
      <c r="S104" s="109"/>
      <c r="T104" s="109"/>
      <c r="U104" s="100"/>
      <c r="V104" s="110"/>
      <c r="W104" s="110"/>
      <c r="X104" s="100"/>
      <c r="Y104" s="100"/>
      <c r="Z104" s="100"/>
      <c r="AA104" s="110"/>
      <c r="AB104" s="110"/>
      <c r="AC104" s="100"/>
      <c r="AD104" s="108"/>
      <c r="AE104" s="109"/>
      <c r="AF104" s="109"/>
      <c r="AG104" s="109"/>
      <c r="AH104" s="109"/>
      <c r="AI104" s="109"/>
      <c r="AJ104" s="108"/>
      <c r="AK104" s="100"/>
      <c r="AL104" s="142"/>
      <c r="AM104" s="142"/>
      <c r="AN104" s="100"/>
      <c r="AO104" s="100"/>
      <c r="AP104" s="142"/>
      <c r="AQ104" s="100"/>
      <c r="AR104" s="100"/>
      <c r="AS104" s="142"/>
      <c r="AT104" s="100"/>
      <c r="AU104" s="100"/>
      <c r="AV104" s="100"/>
    </row>
    <row r="105" spans="1:48" ht="16.3">
      <c r="A105" s="87" t="s">
        <v>363</v>
      </c>
      <c r="B105" s="260">
        <f>SUM(B103+B104)</f>
        <v>39</v>
      </c>
      <c r="C105" s="214">
        <f>SUM(C103+C104)</f>
        <v>75</v>
      </c>
      <c r="D105" s="133"/>
      <c r="E105" s="134"/>
      <c r="F105" s="135"/>
      <c r="G105" s="136"/>
      <c r="H105" s="683"/>
      <c r="I105" s="676"/>
      <c r="J105" s="534"/>
      <c r="K105" s="96"/>
      <c r="L105" s="104"/>
      <c r="M105" s="75"/>
      <c r="N105" s="75"/>
      <c r="O105" s="75"/>
      <c r="P105" s="75"/>
      <c r="Q105" s="97"/>
      <c r="R105" s="163"/>
      <c r="S105" s="109"/>
      <c r="T105" s="109"/>
      <c r="U105" s="100"/>
      <c r="V105" s="110"/>
      <c r="W105" s="110"/>
      <c r="X105" s="100"/>
      <c r="Y105" s="100"/>
      <c r="Z105" s="100"/>
      <c r="AA105" s="110"/>
      <c r="AB105" s="110"/>
      <c r="AC105" s="100"/>
      <c r="AD105" s="108"/>
      <c r="AE105" s="109"/>
      <c r="AF105" s="109"/>
      <c r="AG105" s="109"/>
      <c r="AH105" s="109"/>
      <c r="AI105" s="109"/>
      <c r="AJ105" s="108"/>
      <c r="AK105" s="100"/>
      <c r="AL105" s="142"/>
      <c r="AM105" s="142"/>
      <c r="AN105" s="100"/>
      <c r="AO105" s="100"/>
      <c r="AP105" s="142"/>
      <c r="AQ105" s="100"/>
      <c r="AR105" s="100"/>
      <c r="AS105" s="142"/>
      <c r="AT105" s="100"/>
      <c r="AU105" s="100"/>
      <c r="AV105" s="100"/>
    </row>
    <row r="106" spans="1:48" ht="16.3">
      <c r="A106" s="246" t="s">
        <v>362</v>
      </c>
      <c r="B106" s="261">
        <f>SUM(L106+M106+N106+O106+P106+U106+X106+Y106+Z106+AC106+AK106+AL106+AK106+AO106+AR106+AS106+AU106+AV106+AW106+AX106+AP106)+2</f>
        <v>2</v>
      </c>
      <c r="C106" s="215">
        <f>SUM(L106+M106+N106+O106+P106+U106+Y106+Z106+X106+AC106+AL106+AK106+AL106+AP106+AS106+AO106+AV106+AW106+AX106+AY106+AR106+AU106)+2</f>
        <v>2</v>
      </c>
      <c r="D106" s="139"/>
      <c r="E106" s="140"/>
      <c r="F106" s="135"/>
      <c r="G106" s="136"/>
      <c r="H106" s="683"/>
      <c r="I106" s="676"/>
      <c r="J106" s="534"/>
      <c r="K106" s="96"/>
      <c r="L106" s="104"/>
      <c r="M106" s="75"/>
      <c r="N106" s="75"/>
      <c r="O106" s="75"/>
      <c r="P106" s="75"/>
      <c r="Q106" s="97"/>
      <c r="R106" s="163"/>
      <c r="S106" s="109"/>
      <c r="T106" s="109"/>
      <c r="U106" s="100"/>
      <c r="V106" s="110"/>
      <c r="W106" s="110"/>
      <c r="X106" s="100"/>
      <c r="Y106" s="100"/>
      <c r="Z106" s="100"/>
      <c r="AA106" s="110"/>
      <c r="AB106" s="110"/>
      <c r="AC106" s="100"/>
      <c r="AD106" s="108"/>
      <c r="AE106" s="109"/>
      <c r="AF106" s="109"/>
      <c r="AG106" s="109"/>
      <c r="AH106" s="109"/>
      <c r="AI106" s="109"/>
      <c r="AJ106" s="108"/>
      <c r="AK106" s="100"/>
      <c r="AL106" s="142"/>
      <c r="AM106" s="142"/>
      <c r="AN106" s="100"/>
      <c r="AO106" s="100"/>
      <c r="AP106" s="142"/>
      <c r="AQ106" s="100"/>
      <c r="AR106" s="100"/>
      <c r="AS106" s="142"/>
      <c r="AT106" s="100"/>
      <c r="AU106" s="100"/>
      <c r="AV106" s="100"/>
    </row>
    <row r="107" spans="1:48" ht="16.3">
      <c r="A107" s="87" t="s">
        <v>3</v>
      </c>
      <c r="B107" s="260">
        <f>SUM(L107+M107+N107+O107+P107+U107+X107+Y107+Z107+AC107+AK107+AL107+AK107+AO107+AR107+AS107+AU107+AV107+AW107+AX107+AP107)+13</f>
        <v>16</v>
      </c>
      <c r="C107" s="214">
        <f>SUM(L107+M107+N107+O107+P107+U107+Y107+Z107+X107+AC107+AL107+AK107+AL107+AP107+AS107+AO107+AV107+AW107+AX107+AY107+AR107+AU107)+20</f>
        <v>23</v>
      </c>
      <c r="D107" s="133"/>
      <c r="E107" s="134"/>
      <c r="F107" s="135"/>
      <c r="G107" s="136"/>
      <c r="H107" s="683"/>
      <c r="I107" s="676"/>
      <c r="J107" s="534"/>
      <c r="K107" s="96"/>
      <c r="L107" s="104"/>
      <c r="M107" s="75"/>
      <c r="N107" s="75">
        <v>1</v>
      </c>
      <c r="O107" s="75"/>
      <c r="P107" s="75">
        <v>1</v>
      </c>
      <c r="Q107" s="97"/>
      <c r="R107" s="163"/>
      <c r="S107" s="109"/>
      <c r="T107" s="109"/>
      <c r="U107" s="100"/>
      <c r="V107" s="110"/>
      <c r="W107" s="110"/>
      <c r="X107" s="100"/>
      <c r="Y107" s="100"/>
      <c r="Z107" s="100">
        <v>1</v>
      </c>
      <c r="AA107" s="110"/>
      <c r="AB107" s="110"/>
      <c r="AC107" s="100"/>
      <c r="AD107" s="108"/>
      <c r="AE107" s="109"/>
      <c r="AF107" s="109"/>
      <c r="AG107" s="109"/>
      <c r="AH107" s="109"/>
      <c r="AI107" s="109"/>
      <c r="AJ107" s="108"/>
      <c r="AK107" s="100"/>
      <c r="AL107" s="142"/>
      <c r="AM107" s="142"/>
      <c r="AN107" s="100"/>
      <c r="AO107" s="100"/>
      <c r="AP107" s="142"/>
      <c r="AQ107" s="100"/>
      <c r="AR107" s="100"/>
      <c r="AS107" s="142"/>
      <c r="AT107" s="100"/>
      <c r="AU107" s="100"/>
      <c r="AV107" s="100"/>
    </row>
    <row r="108" spans="1:48" ht="17" thickBot="1">
      <c r="A108" s="88" t="s">
        <v>4</v>
      </c>
      <c r="B108" s="262">
        <f>SUM(L108+M108+N108+O108+P108+U108+X108+Y108+Z108+AC108+AK108+AL108+AK108+AO108+AR108+AS108+AU108+AV108+AW108+AX108+AP108)+65</f>
        <v>80</v>
      </c>
      <c r="C108" s="217">
        <f>SUM(L108+M108+N108+O108+P108+U108+Y108+Z108+X108+AC108+AL108+AK108+AL108+AP108+AS108+AO108+AV108+AW108+AX108+AY108+AR108+AU108)+100</f>
        <v>115</v>
      </c>
      <c r="D108" s="144"/>
      <c r="E108" s="145"/>
      <c r="F108" s="146"/>
      <c r="G108" s="147"/>
      <c r="H108" s="684"/>
      <c r="I108" s="677"/>
      <c r="J108" s="535"/>
      <c r="K108" s="114"/>
      <c r="L108" s="113"/>
      <c r="M108" s="112"/>
      <c r="N108" s="112">
        <v>5</v>
      </c>
      <c r="O108" s="112"/>
      <c r="P108" s="112">
        <v>5</v>
      </c>
      <c r="Q108" s="115"/>
      <c r="R108" s="164"/>
      <c r="S108" s="118"/>
      <c r="T108" s="114"/>
      <c r="U108" s="100"/>
      <c r="V108" s="110"/>
      <c r="W108" s="110"/>
      <c r="X108" s="100"/>
      <c r="Y108" s="100"/>
      <c r="Z108" s="100">
        <v>5</v>
      </c>
      <c r="AA108" s="110"/>
      <c r="AB108" s="110"/>
      <c r="AC108" s="100"/>
      <c r="AD108" s="108"/>
      <c r="AE108" s="109"/>
      <c r="AF108" s="109"/>
      <c r="AG108" s="109"/>
      <c r="AH108" s="109"/>
      <c r="AI108" s="109"/>
      <c r="AJ108" s="108"/>
      <c r="AK108" s="100"/>
      <c r="AL108" s="142"/>
      <c r="AM108" s="142"/>
      <c r="AN108" s="100"/>
      <c r="AO108" s="100"/>
      <c r="AP108" s="142"/>
      <c r="AQ108" s="100"/>
      <c r="AR108" s="100"/>
      <c r="AS108" s="142"/>
      <c r="AT108" s="100"/>
      <c r="AU108" s="100"/>
      <c r="AV108" s="100"/>
    </row>
    <row r="109" spans="1:48" ht="21.1">
      <c r="A109" s="82" t="s">
        <v>111</v>
      </c>
      <c r="B109" s="260"/>
      <c r="C109" s="214"/>
      <c r="D109" s="133"/>
      <c r="E109" s="134"/>
      <c r="F109" s="135"/>
      <c r="G109" s="136"/>
      <c r="H109" s="683"/>
      <c r="I109" s="676"/>
      <c r="J109" s="534"/>
      <c r="K109" s="96"/>
      <c r="L109" s="104">
        <v>10</v>
      </c>
      <c r="M109" s="75">
        <v>10</v>
      </c>
      <c r="N109" s="75" t="s">
        <v>381</v>
      </c>
      <c r="O109" s="75"/>
      <c r="P109" s="75" t="s">
        <v>375</v>
      </c>
      <c r="Q109" s="97" t="s">
        <v>775</v>
      </c>
      <c r="R109" s="163"/>
      <c r="S109" s="109" t="s">
        <v>775</v>
      </c>
      <c r="T109" s="109" t="s">
        <v>775</v>
      </c>
      <c r="U109" s="102" t="s">
        <v>375</v>
      </c>
      <c r="V109" s="101">
        <v>13</v>
      </c>
      <c r="W109" s="101">
        <v>13</v>
      </c>
      <c r="X109" s="102"/>
      <c r="Y109" s="102" t="s">
        <v>381</v>
      </c>
      <c r="Z109" s="102" t="s">
        <v>339</v>
      </c>
      <c r="AA109" s="101">
        <v>13</v>
      </c>
      <c r="AB109" s="101">
        <v>12</v>
      </c>
      <c r="AC109" s="102">
        <v>12</v>
      </c>
      <c r="AD109" s="98"/>
      <c r="AE109" s="99" t="s">
        <v>775</v>
      </c>
      <c r="AF109" s="99">
        <v>13</v>
      </c>
      <c r="AG109" s="99"/>
      <c r="AH109" s="99">
        <v>10</v>
      </c>
      <c r="AI109" s="99"/>
      <c r="AJ109" s="98"/>
      <c r="AK109" s="102"/>
      <c r="AL109" s="138"/>
      <c r="AM109" s="138"/>
      <c r="AN109" s="102"/>
      <c r="AO109" s="102"/>
      <c r="AP109" s="138"/>
      <c r="AQ109" s="102"/>
      <c r="AR109" s="102"/>
      <c r="AS109" s="138"/>
      <c r="AT109" s="102"/>
      <c r="AU109" s="102"/>
      <c r="AV109" s="102"/>
    </row>
    <row r="110" spans="1:48" ht="16.3">
      <c r="A110" s="246" t="s">
        <v>1</v>
      </c>
      <c r="B110" s="261">
        <f>SUM(L110+M110+N110+O110+P110+U110+X110+Y110+Z110+AC110+AK110+AL110+AK110+AO110+AR110+AS110+AU110+AV110+AW110+AX110+AP110)+46</f>
        <v>51</v>
      </c>
      <c r="C110" s="215">
        <f>B110</f>
        <v>51</v>
      </c>
      <c r="D110" s="139"/>
      <c r="E110" s="140"/>
      <c r="F110" s="135"/>
      <c r="G110" s="136"/>
      <c r="H110" s="683"/>
      <c r="I110" s="676"/>
      <c r="J110" s="534"/>
      <c r="K110" s="96"/>
      <c r="L110" s="104">
        <v>1</v>
      </c>
      <c r="M110" s="75">
        <v>1</v>
      </c>
      <c r="N110" s="75">
        <v>1</v>
      </c>
      <c r="O110" s="75"/>
      <c r="P110" s="75"/>
      <c r="Q110" s="97"/>
      <c r="R110" s="163"/>
      <c r="S110" s="109"/>
      <c r="T110" s="109"/>
      <c r="U110" s="100"/>
      <c r="V110" s="110">
        <v>1</v>
      </c>
      <c r="W110" s="110">
        <v>1</v>
      </c>
      <c r="X110" s="100"/>
      <c r="Y110" s="100">
        <v>1</v>
      </c>
      <c r="Z110" s="100"/>
      <c r="AA110" s="110">
        <v>1</v>
      </c>
      <c r="AB110" s="110">
        <v>1</v>
      </c>
      <c r="AC110" s="100">
        <v>1</v>
      </c>
      <c r="AD110" s="108"/>
      <c r="AE110" s="109"/>
      <c r="AF110" s="109">
        <v>1</v>
      </c>
      <c r="AG110" s="109"/>
      <c r="AH110" s="109">
        <v>1</v>
      </c>
      <c r="AI110" s="109"/>
      <c r="AJ110" s="108"/>
      <c r="AK110" s="100"/>
      <c r="AL110" s="142"/>
      <c r="AM110" s="142"/>
      <c r="AN110" s="100"/>
      <c r="AO110" s="100"/>
      <c r="AP110" s="142"/>
      <c r="AQ110" s="100"/>
      <c r="AR110" s="100"/>
      <c r="AS110" s="142"/>
      <c r="AT110" s="100"/>
      <c r="AU110" s="100"/>
      <c r="AV110" s="100"/>
    </row>
    <row r="111" spans="1:48" ht="16.3">
      <c r="A111" s="246" t="s">
        <v>2</v>
      </c>
      <c r="B111" s="261">
        <f>SUM(L111+M111+N111+O111+P111+U111+X111+Y111+Z111+AC111+AK111+AL111+AK111+AO111+AR111+AS111+AU111+AV111+AW111+AX111)+10</f>
        <v>12</v>
      </c>
      <c r="C111" s="215">
        <f t="shared" ref="C111:C114" si="17">B111</f>
        <v>12</v>
      </c>
      <c r="D111" s="139"/>
      <c r="E111" s="140"/>
      <c r="F111" s="135"/>
      <c r="G111" s="136"/>
      <c r="H111" s="683"/>
      <c r="I111" s="676"/>
      <c r="J111" s="534"/>
      <c r="K111" s="96"/>
      <c r="L111" s="104"/>
      <c r="M111" s="75"/>
      <c r="N111" s="75"/>
      <c r="O111" s="75"/>
      <c r="P111" s="75">
        <v>1</v>
      </c>
      <c r="Q111" s="97"/>
      <c r="R111" s="163"/>
      <c r="S111" s="109"/>
      <c r="T111" s="109"/>
      <c r="U111" s="100">
        <v>1</v>
      </c>
      <c r="V111" s="110"/>
      <c r="W111" s="110"/>
      <c r="X111" s="100"/>
      <c r="Y111" s="100"/>
      <c r="Z111" s="100"/>
      <c r="AA111" s="110"/>
      <c r="AB111" s="110"/>
      <c r="AC111" s="100"/>
      <c r="AD111" s="108"/>
      <c r="AE111" s="109"/>
      <c r="AF111" s="109"/>
      <c r="AG111" s="109"/>
      <c r="AH111" s="109"/>
      <c r="AI111" s="109"/>
      <c r="AJ111" s="108"/>
      <c r="AK111" s="100"/>
      <c r="AL111" s="142"/>
      <c r="AM111" s="142"/>
      <c r="AN111" s="100"/>
      <c r="AO111" s="100"/>
      <c r="AP111" s="142"/>
      <c r="AQ111" s="100"/>
      <c r="AR111" s="100"/>
      <c r="AS111" s="142"/>
      <c r="AT111" s="100"/>
      <c r="AU111" s="100"/>
      <c r="AV111" s="100"/>
    </row>
    <row r="112" spans="1:48" ht="16.3">
      <c r="A112" s="87" t="s">
        <v>363</v>
      </c>
      <c r="B112" s="260">
        <f>SUM(B110+B111)</f>
        <v>63</v>
      </c>
      <c r="C112" s="214">
        <f t="shared" si="17"/>
        <v>63</v>
      </c>
      <c r="D112" s="133"/>
      <c r="E112" s="134"/>
      <c r="F112" s="135"/>
      <c r="G112" s="136"/>
      <c r="H112" s="683"/>
      <c r="I112" s="676"/>
      <c r="J112" s="534"/>
      <c r="K112" s="96"/>
      <c r="L112" s="104"/>
      <c r="M112" s="75"/>
      <c r="N112" s="75"/>
      <c r="O112" s="75"/>
      <c r="P112" s="75"/>
      <c r="Q112" s="97"/>
      <c r="R112" s="163"/>
      <c r="S112" s="109"/>
      <c r="T112" s="109"/>
      <c r="U112" s="100"/>
      <c r="V112" s="110"/>
      <c r="W112" s="110"/>
      <c r="X112" s="100"/>
      <c r="Y112" s="100"/>
      <c r="Z112" s="100"/>
      <c r="AA112" s="110"/>
      <c r="AB112" s="110"/>
      <c r="AC112" s="100"/>
      <c r="AD112" s="108"/>
      <c r="AE112" s="109"/>
      <c r="AF112" s="109"/>
      <c r="AG112" s="109"/>
      <c r="AH112" s="109"/>
      <c r="AI112" s="109"/>
      <c r="AJ112" s="108"/>
      <c r="AK112" s="100"/>
      <c r="AL112" s="142"/>
      <c r="AM112" s="142"/>
      <c r="AN112" s="100"/>
      <c r="AO112" s="100"/>
      <c r="AP112" s="142"/>
      <c r="AQ112" s="100"/>
      <c r="AR112" s="100"/>
      <c r="AS112" s="142"/>
      <c r="AT112" s="100"/>
      <c r="AU112" s="100"/>
      <c r="AV112" s="100"/>
    </row>
    <row r="113" spans="1:48" ht="16.3">
      <c r="A113" s="246" t="s">
        <v>362</v>
      </c>
      <c r="B113" s="261">
        <f>SUM(L113+M113+N113+O113+P113+U113+X113+Y113+Z113+AC113+AK113+AL113+AK113+AO113+AR113+AS113+AU113+AV113+AW113+AX113)+1</f>
        <v>1</v>
      </c>
      <c r="C113" s="215">
        <f t="shared" si="17"/>
        <v>1</v>
      </c>
      <c r="D113" s="139"/>
      <c r="E113" s="140"/>
      <c r="F113" s="135"/>
      <c r="G113" s="136"/>
      <c r="H113" s="683"/>
      <c r="I113" s="676"/>
      <c r="J113" s="534"/>
      <c r="K113" s="96"/>
      <c r="L113" s="104"/>
      <c r="M113" s="75"/>
      <c r="N113" s="75"/>
      <c r="O113" s="75"/>
      <c r="P113" s="75"/>
      <c r="Q113" s="97"/>
      <c r="R113" s="163"/>
      <c r="S113" s="109"/>
      <c r="T113" s="109"/>
      <c r="U113" s="100"/>
      <c r="V113" s="110"/>
      <c r="W113" s="110"/>
      <c r="X113" s="100"/>
      <c r="Y113" s="100"/>
      <c r="Z113" s="100"/>
      <c r="AA113" s="110"/>
      <c r="AB113" s="110"/>
      <c r="AC113" s="100"/>
      <c r="AD113" s="108"/>
      <c r="AE113" s="109"/>
      <c r="AF113" s="109"/>
      <c r="AG113" s="109"/>
      <c r="AH113" s="109"/>
      <c r="AI113" s="109"/>
      <c r="AJ113" s="108"/>
      <c r="AK113" s="100"/>
      <c r="AL113" s="142"/>
      <c r="AM113" s="142"/>
      <c r="AN113" s="100"/>
      <c r="AO113" s="100"/>
      <c r="AP113" s="142"/>
      <c r="AQ113" s="100"/>
      <c r="AR113" s="100"/>
      <c r="AS113" s="142"/>
      <c r="AT113" s="100"/>
      <c r="AU113" s="100"/>
      <c r="AV113" s="100"/>
    </row>
    <row r="114" spans="1:48" ht="16.3">
      <c r="A114" s="87" t="s">
        <v>3</v>
      </c>
      <c r="B114" s="260">
        <f>SUM(L114+M114+N114+O114+P114+U114+X114+Y114+Z114+AC114+AK114+AL114+AK114+AO114+AR114+AS114+AU114+AV114+AW114+AX114)+12</f>
        <v>13</v>
      </c>
      <c r="C114" s="214">
        <f t="shared" si="17"/>
        <v>13</v>
      </c>
      <c r="D114" s="133"/>
      <c r="E114" s="134"/>
      <c r="F114" s="135"/>
      <c r="G114" s="136"/>
      <c r="H114" s="683"/>
      <c r="I114" s="676"/>
      <c r="J114" s="534"/>
      <c r="K114" s="96"/>
      <c r="L114" s="104"/>
      <c r="M114" s="75">
        <v>1</v>
      </c>
      <c r="N114" s="75"/>
      <c r="O114" s="75"/>
      <c r="P114" s="75"/>
      <c r="Q114" s="97"/>
      <c r="R114" s="163"/>
      <c r="S114" s="109"/>
      <c r="T114" s="109"/>
      <c r="U114" s="100"/>
      <c r="V114" s="110"/>
      <c r="W114" s="110"/>
      <c r="X114" s="100"/>
      <c r="Y114" s="100"/>
      <c r="Z114" s="100"/>
      <c r="AA114" s="110"/>
      <c r="AB114" s="110">
        <v>1</v>
      </c>
      <c r="AC114" s="100"/>
      <c r="AD114" s="108"/>
      <c r="AE114" s="109"/>
      <c r="AF114" s="109"/>
      <c r="AG114" s="109"/>
      <c r="AH114" s="109">
        <v>1</v>
      </c>
      <c r="AI114" s="109"/>
      <c r="AJ114" s="108"/>
      <c r="AK114" s="100"/>
      <c r="AL114" s="142"/>
      <c r="AM114" s="142"/>
      <c r="AN114" s="100"/>
      <c r="AO114" s="100"/>
      <c r="AP114" s="142"/>
      <c r="AQ114" s="100"/>
      <c r="AR114" s="100"/>
      <c r="AS114" s="142"/>
      <c r="AT114" s="100"/>
      <c r="AU114" s="100"/>
      <c r="AV114" s="100"/>
    </row>
    <row r="115" spans="1:48" ht="17" thickBot="1">
      <c r="A115" s="88" t="s">
        <v>4</v>
      </c>
      <c r="B115" s="262">
        <f>SUM(L115+M115+N115+O115+P115+U115+X115+Y115+Z115+AC115+AK115+AL115+AK115+AO115+AR115+AS115+AU115+AV115+AW115+AX115)+60</f>
        <v>65</v>
      </c>
      <c r="C115" s="217">
        <f t="shared" ref="C115" si="18">B115</f>
        <v>65</v>
      </c>
      <c r="D115" s="144"/>
      <c r="E115" s="145"/>
      <c r="F115" s="146"/>
      <c r="G115" s="147"/>
      <c r="H115" s="684"/>
      <c r="I115" s="677"/>
      <c r="J115" s="535"/>
      <c r="K115" s="114"/>
      <c r="L115" s="113"/>
      <c r="M115" s="112">
        <v>5</v>
      </c>
      <c r="N115" s="112"/>
      <c r="O115" s="112"/>
      <c r="P115" s="112"/>
      <c r="Q115" s="115"/>
      <c r="R115" s="164"/>
      <c r="S115" s="118"/>
      <c r="T115" s="114"/>
      <c r="U115" s="116"/>
      <c r="V115" s="120"/>
      <c r="W115" s="120"/>
      <c r="X115" s="116"/>
      <c r="Y115" s="116"/>
      <c r="Z115" s="116"/>
      <c r="AA115" s="120"/>
      <c r="AB115" s="120">
        <v>5</v>
      </c>
      <c r="AC115" s="116"/>
      <c r="AD115" s="117"/>
      <c r="AE115" s="118"/>
      <c r="AF115" s="118"/>
      <c r="AG115" s="118"/>
      <c r="AH115" s="118">
        <v>5</v>
      </c>
      <c r="AI115" s="118"/>
      <c r="AJ115" s="117"/>
      <c r="AK115" s="116"/>
      <c r="AL115" s="149"/>
      <c r="AM115" s="149"/>
      <c r="AN115" s="116"/>
      <c r="AO115" s="116"/>
      <c r="AP115" s="149"/>
      <c r="AQ115" s="116"/>
      <c r="AR115" s="116"/>
      <c r="AS115" s="149"/>
      <c r="AT115" s="116"/>
      <c r="AU115" s="116"/>
      <c r="AV115" s="116"/>
    </row>
    <row r="116" spans="1:48" ht="21.1">
      <c r="A116" s="82" t="s">
        <v>64</v>
      </c>
      <c r="B116" s="260"/>
      <c r="C116" s="214"/>
      <c r="D116" s="133"/>
      <c r="E116" s="134"/>
      <c r="F116" s="135"/>
      <c r="G116" s="136"/>
      <c r="H116" s="683"/>
      <c r="I116" s="676"/>
      <c r="J116" s="534"/>
      <c r="K116" s="96"/>
      <c r="L116" s="104" t="s">
        <v>375</v>
      </c>
      <c r="M116" s="75"/>
      <c r="N116" s="75" t="s">
        <v>375</v>
      </c>
      <c r="O116" s="75"/>
      <c r="P116" s="75"/>
      <c r="Q116" s="97">
        <v>13</v>
      </c>
      <c r="R116" s="163"/>
      <c r="S116" s="109"/>
      <c r="T116" s="109">
        <v>13</v>
      </c>
      <c r="U116" s="100" t="s">
        <v>377</v>
      </c>
      <c r="V116" s="110"/>
      <c r="W116" s="110"/>
      <c r="X116" s="100">
        <v>13</v>
      </c>
      <c r="Y116" s="100" t="s">
        <v>375</v>
      </c>
      <c r="Z116" s="100"/>
      <c r="AA116" s="110"/>
      <c r="AB116" s="110"/>
      <c r="AC116" s="100" t="s">
        <v>377</v>
      </c>
      <c r="AD116" s="108"/>
      <c r="AE116" s="109"/>
      <c r="AF116" s="109" t="s">
        <v>375</v>
      </c>
      <c r="AG116" s="109">
        <v>13</v>
      </c>
      <c r="AH116" s="109" t="s">
        <v>377</v>
      </c>
      <c r="AI116" s="109" t="s">
        <v>377</v>
      </c>
      <c r="AJ116" s="108"/>
      <c r="AK116" s="100"/>
      <c r="AL116" s="142"/>
      <c r="AM116" s="142"/>
      <c r="AN116" s="100"/>
      <c r="AO116" s="100"/>
      <c r="AP116" s="142"/>
      <c r="AQ116" s="100"/>
      <c r="AR116" s="100"/>
      <c r="AS116" s="142"/>
      <c r="AT116" s="100"/>
      <c r="AU116" s="100"/>
      <c r="AV116" s="100"/>
    </row>
    <row r="117" spans="1:48" ht="16.3">
      <c r="A117" s="246" t="s">
        <v>1</v>
      </c>
      <c r="B117" s="261">
        <f>SUM(L117+M117+N117+O117+P117+U117+X117+Y117+Z117+AC117+AK117+AL117+AK117+AO117+AR117+AS117+AU117+AV117+AW117+AX117+AP117)</f>
        <v>3</v>
      </c>
      <c r="C117" s="215">
        <f>SUM(L117+M117+N117+O117+P117+U117+Y117+Z117+X117+AC117+AL117+AK117+AL117+AP117+AS117+AO117+AV117+AW117+AX117+AY117+AR117+AU117)+144</f>
        <v>147</v>
      </c>
      <c r="D117" s="133"/>
      <c r="E117" s="134"/>
      <c r="F117" s="135"/>
      <c r="G117" s="136"/>
      <c r="H117" s="683"/>
      <c r="I117" s="676"/>
      <c r="J117" s="534"/>
      <c r="K117" s="96"/>
      <c r="L117" s="104"/>
      <c r="M117" s="75"/>
      <c r="N117" s="75"/>
      <c r="O117" s="75"/>
      <c r="P117" s="75"/>
      <c r="Q117" s="97">
        <v>1</v>
      </c>
      <c r="R117" s="163"/>
      <c r="S117" s="109"/>
      <c r="T117" s="109">
        <v>1</v>
      </c>
      <c r="U117" s="100">
        <v>1</v>
      </c>
      <c r="V117" s="110"/>
      <c r="W117" s="110"/>
      <c r="X117" s="100">
        <v>1</v>
      </c>
      <c r="Y117" s="100"/>
      <c r="Z117" s="100"/>
      <c r="AA117" s="110"/>
      <c r="AB117" s="110"/>
      <c r="AC117" s="100">
        <v>1</v>
      </c>
      <c r="AD117" s="108"/>
      <c r="AE117" s="109"/>
      <c r="AF117" s="109"/>
      <c r="AG117" s="109">
        <v>1</v>
      </c>
      <c r="AH117" s="109">
        <v>1</v>
      </c>
      <c r="AI117" s="109">
        <v>1</v>
      </c>
      <c r="AJ117" s="108"/>
      <c r="AK117" s="100"/>
      <c r="AL117" s="142"/>
      <c r="AM117" s="142"/>
      <c r="AN117" s="100"/>
      <c r="AO117" s="100"/>
      <c r="AP117" s="142"/>
      <c r="AQ117" s="100"/>
      <c r="AR117" s="100"/>
      <c r="AS117" s="142"/>
      <c r="AT117" s="100"/>
      <c r="AU117" s="100"/>
      <c r="AV117" s="100"/>
    </row>
    <row r="118" spans="1:48" ht="16.3">
      <c r="A118" s="246" t="s">
        <v>2</v>
      </c>
      <c r="B118" s="261">
        <f>SUM(L118+M118+N118+O118+P118+U118+X118+Y118+Z118+AC118+AK118+AL118+AK118+AO118+AR118+AS118+AU118+AV118+AW118+AX118+AP118)</f>
        <v>3</v>
      </c>
      <c r="C118" s="215">
        <f>SUM(L118+M118+N118+O118+P118+U118+Y118+Z118+X118+AC118+AL118+AK118+AL118+AP118+AS118+AO118+AV118+AW118+AX118+AY118+AR118+AU118)+15</f>
        <v>18</v>
      </c>
      <c r="D118" s="133"/>
      <c r="E118" s="134"/>
      <c r="F118" s="135"/>
      <c r="G118" s="136"/>
      <c r="H118" s="683"/>
      <c r="I118" s="676"/>
      <c r="J118" s="534"/>
      <c r="K118" s="96"/>
      <c r="L118" s="104">
        <v>1</v>
      </c>
      <c r="M118" s="75"/>
      <c r="N118" s="75">
        <v>1</v>
      </c>
      <c r="O118" s="75"/>
      <c r="P118" s="75"/>
      <c r="Q118" s="97"/>
      <c r="R118" s="163"/>
      <c r="S118" s="109"/>
      <c r="T118" s="109"/>
      <c r="U118" s="100"/>
      <c r="V118" s="110"/>
      <c r="W118" s="110"/>
      <c r="X118" s="100"/>
      <c r="Y118" s="100">
        <v>1</v>
      </c>
      <c r="Z118" s="100"/>
      <c r="AA118" s="110"/>
      <c r="AB118" s="110"/>
      <c r="AC118" s="100"/>
      <c r="AD118" s="108"/>
      <c r="AE118" s="109"/>
      <c r="AF118" s="109">
        <v>1</v>
      </c>
      <c r="AG118" s="109"/>
      <c r="AH118" s="109"/>
      <c r="AI118" s="109"/>
      <c r="AJ118" s="108"/>
      <c r="AK118" s="100"/>
      <c r="AL118" s="142"/>
      <c r="AM118" s="142"/>
      <c r="AN118" s="100"/>
      <c r="AO118" s="100"/>
      <c r="AP118" s="142"/>
      <c r="AQ118" s="100"/>
      <c r="AR118" s="100"/>
      <c r="AS118" s="142"/>
      <c r="AT118" s="100"/>
      <c r="AU118" s="100"/>
      <c r="AV118" s="100"/>
    </row>
    <row r="119" spans="1:48" ht="16.3">
      <c r="A119" s="87" t="s">
        <v>363</v>
      </c>
      <c r="B119" s="260">
        <f>SUM(B117+B118)</f>
        <v>6</v>
      </c>
      <c r="C119" s="214">
        <f>SUM(C117+C118)</f>
        <v>165</v>
      </c>
      <c r="D119" s="133"/>
      <c r="E119" s="134"/>
      <c r="F119" s="135"/>
      <c r="G119" s="136"/>
      <c r="H119" s="683"/>
      <c r="I119" s="676"/>
      <c r="J119" s="534"/>
      <c r="K119" s="96"/>
      <c r="L119" s="104"/>
      <c r="M119" s="75"/>
      <c r="N119" s="75"/>
      <c r="O119" s="75"/>
      <c r="P119" s="75"/>
      <c r="Q119" s="97"/>
      <c r="R119" s="163"/>
      <c r="S119" s="109"/>
      <c r="T119" s="109"/>
      <c r="U119" s="100"/>
      <c r="V119" s="110"/>
      <c r="W119" s="110"/>
      <c r="X119" s="100"/>
      <c r="Y119" s="100"/>
      <c r="Z119" s="100"/>
      <c r="AA119" s="110"/>
      <c r="AB119" s="110"/>
      <c r="AC119" s="100"/>
      <c r="AD119" s="108"/>
      <c r="AE119" s="109"/>
      <c r="AF119" s="109"/>
      <c r="AG119" s="109"/>
      <c r="AH119" s="109"/>
      <c r="AI119" s="109"/>
      <c r="AJ119" s="108"/>
      <c r="AK119" s="100"/>
      <c r="AL119" s="142"/>
      <c r="AM119" s="142"/>
      <c r="AN119" s="100"/>
      <c r="AO119" s="100"/>
      <c r="AP119" s="142"/>
      <c r="AQ119" s="100"/>
      <c r="AR119" s="100"/>
      <c r="AS119" s="142"/>
      <c r="AT119" s="100"/>
      <c r="AU119" s="100"/>
      <c r="AV119" s="100"/>
    </row>
    <row r="120" spans="1:48" ht="16.3">
      <c r="A120" s="246" t="s">
        <v>366</v>
      </c>
      <c r="B120" s="261">
        <f>SUM(L120+M120+N120+O120+P120+U120+X120+Y120+Z120+AC120+AK120+AL120+AK120+AO120+AR120+AS120+AU120+AV120+AW120+AX120+AP120)</f>
        <v>0</v>
      </c>
      <c r="C120" s="215">
        <f>SUM(L120+M120+N120+O120+P120+U120+Y120+Z120+X120+AC120+AL120+AK120+AL120+AP120+AS120+AO120+AV120+AW120+AX120+AY120+AR120+AU120)+1</f>
        <v>1</v>
      </c>
      <c r="D120" s="133"/>
      <c r="E120" s="134"/>
      <c r="F120" s="135"/>
      <c r="G120" s="136"/>
      <c r="H120" s="683"/>
      <c r="I120" s="676"/>
      <c r="J120" s="534"/>
      <c r="K120" s="96"/>
      <c r="L120" s="104"/>
      <c r="M120" s="75"/>
      <c r="N120" s="75"/>
      <c r="O120" s="75"/>
      <c r="P120" s="75"/>
      <c r="Q120" s="97"/>
      <c r="R120" s="163"/>
      <c r="S120" s="109"/>
      <c r="T120" s="109"/>
      <c r="U120" s="100"/>
      <c r="V120" s="110"/>
      <c r="W120" s="110"/>
      <c r="X120" s="100"/>
      <c r="Y120" s="100"/>
      <c r="Z120" s="100"/>
      <c r="AA120" s="110"/>
      <c r="AB120" s="110"/>
      <c r="AC120" s="100"/>
      <c r="AD120" s="108"/>
      <c r="AE120" s="109"/>
      <c r="AF120" s="109"/>
      <c r="AG120" s="109"/>
      <c r="AH120" s="109"/>
      <c r="AI120" s="109"/>
      <c r="AJ120" s="108"/>
      <c r="AK120" s="100"/>
      <c r="AL120" s="142"/>
      <c r="AM120" s="142"/>
      <c r="AN120" s="100"/>
      <c r="AO120" s="100"/>
      <c r="AP120" s="142"/>
      <c r="AQ120" s="100"/>
      <c r="AR120" s="100"/>
      <c r="AS120" s="142"/>
      <c r="AT120" s="100"/>
      <c r="AU120" s="100"/>
      <c r="AV120" s="100"/>
    </row>
    <row r="121" spans="1:48" ht="16.3">
      <c r="A121" s="246" t="s">
        <v>362</v>
      </c>
      <c r="B121" s="261">
        <f>SUM(L121+M121+N121+O121+P121+U121+X121+Y121+Z121+AC121+AK121+AL121+AK121+AO121+AR121+AS121+AU121+AV121+AW121+AX121+AP121)</f>
        <v>0</v>
      </c>
      <c r="C121" s="215">
        <f>SUM(L121+M121+N121+O121+P121+U121+Y121+Z121+X121+AC121+AL121+AK121+AL121+AP121+AS121+AO121+AV121+AW121+AX121+AY121+AR121+AU121)+1</f>
        <v>1</v>
      </c>
      <c r="D121" s="133"/>
      <c r="E121" s="134"/>
      <c r="F121" s="135"/>
      <c r="G121" s="136"/>
      <c r="H121" s="683"/>
      <c r="I121" s="676"/>
      <c r="J121" s="534"/>
      <c r="K121" s="96"/>
      <c r="L121" s="104"/>
      <c r="M121" s="75"/>
      <c r="N121" s="75"/>
      <c r="O121" s="75"/>
      <c r="P121" s="75"/>
      <c r="Q121" s="97"/>
      <c r="R121" s="163"/>
      <c r="S121" s="109"/>
      <c r="T121" s="109"/>
      <c r="U121" s="100"/>
      <c r="V121" s="110"/>
      <c r="W121" s="110"/>
      <c r="X121" s="100"/>
      <c r="Y121" s="100"/>
      <c r="Z121" s="100"/>
      <c r="AA121" s="110"/>
      <c r="AB121" s="110"/>
      <c r="AC121" s="100"/>
      <c r="AD121" s="108"/>
      <c r="AE121" s="109"/>
      <c r="AF121" s="109"/>
      <c r="AG121" s="109"/>
      <c r="AH121" s="109"/>
      <c r="AI121" s="109"/>
      <c r="AJ121" s="108"/>
      <c r="AK121" s="100"/>
      <c r="AL121" s="142"/>
      <c r="AM121" s="142"/>
      <c r="AN121" s="100"/>
      <c r="AO121" s="100"/>
      <c r="AP121" s="142"/>
      <c r="AQ121" s="100"/>
      <c r="AR121" s="100"/>
      <c r="AS121" s="142"/>
      <c r="AT121" s="100"/>
      <c r="AU121" s="100"/>
      <c r="AV121" s="100"/>
    </row>
    <row r="122" spans="1:48" ht="16.3">
      <c r="A122" s="87" t="s">
        <v>3</v>
      </c>
      <c r="B122" s="260">
        <f>SUM(L122+M122+N122+O122+P122+U122+X122+Y122+Z122+AC122+AK122+AL122+AK122+AO122+AR122+AS122+AU122+AV122+AW122+AX122+AP122)</f>
        <v>0</v>
      </c>
      <c r="C122" s="214">
        <f>SUM(L122+M122+N122+O122+P122+U122+Y122+Z122+X122+AC122+AL122+AK122+AL122+AP122+AS122+AO122+AV122+AW122+AX122+AY122+AR122+AU122)+35</f>
        <v>35</v>
      </c>
      <c r="D122" s="133"/>
      <c r="E122" s="134"/>
      <c r="F122" s="135"/>
      <c r="G122" s="136"/>
      <c r="H122" s="683"/>
      <c r="I122" s="676"/>
      <c r="J122" s="534"/>
      <c r="K122" s="96"/>
      <c r="L122" s="104"/>
      <c r="M122" s="75"/>
      <c r="N122" s="75"/>
      <c r="O122" s="75"/>
      <c r="P122" s="75"/>
      <c r="Q122" s="97"/>
      <c r="R122" s="163"/>
      <c r="S122" s="109"/>
      <c r="T122" s="109"/>
      <c r="U122" s="100"/>
      <c r="V122" s="110"/>
      <c r="W122" s="110"/>
      <c r="X122" s="100"/>
      <c r="Y122" s="100"/>
      <c r="Z122" s="100"/>
      <c r="AA122" s="110"/>
      <c r="AB122" s="110"/>
      <c r="AC122" s="100"/>
      <c r="AD122" s="108"/>
      <c r="AE122" s="109"/>
      <c r="AF122" s="109"/>
      <c r="AG122" s="109"/>
      <c r="AH122" s="109"/>
      <c r="AI122" s="109"/>
      <c r="AJ122" s="108"/>
      <c r="AK122" s="100"/>
      <c r="AL122" s="142"/>
      <c r="AM122" s="142"/>
      <c r="AN122" s="100"/>
      <c r="AO122" s="100"/>
      <c r="AP122" s="142"/>
      <c r="AQ122" s="100"/>
      <c r="AR122" s="100"/>
      <c r="AS122" s="142"/>
      <c r="AT122" s="100"/>
      <c r="AU122" s="100"/>
      <c r="AV122" s="100"/>
    </row>
    <row r="123" spans="1:48" ht="17" thickBot="1">
      <c r="A123" s="88" t="s">
        <v>4</v>
      </c>
      <c r="B123" s="262">
        <f>SUM(L123+M123+N123+O123+P123+U123+X123+Y123+Z123+AC123+AK123+AL123+AK123+AO123+AR123+AS123+AU123+AV123+AW123+AX123+AP123)</f>
        <v>0</v>
      </c>
      <c r="C123" s="217">
        <f>SUM(L123+M123+N123+O123+P123+U123+Y123+Z123+X123+AC123+AL123+AK123+AL123+AP123+AS123+AO123+AV123+AW123+AX123+AY123+AR123+AU123)+175</f>
        <v>175</v>
      </c>
      <c r="D123" s="144"/>
      <c r="E123" s="145"/>
      <c r="F123" s="146"/>
      <c r="G123" s="147"/>
      <c r="H123" s="684"/>
      <c r="I123" s="677"/>
      <c r="J123" s="535"/>
      <c r="K123" s="114"/>
      <c r="L123" s="113"/>
      <c r="M123" s="112"/>
      <c r="N123" s="112"/>
      <c r="O123" s="112"/>
      <c r="P123" s="112"/>
      <c r="Q123" s="115"/>
      <c r="R123" s="164"/>
      <c r="S123" s="118"/>
      <c r="T123" s="118"/>
      <c r="U123" s="116"/>
      <c r="V123" s="120"/>
      <c r="W123" s="120"/>
      <c r="X123" s="116"/>
      <c r="Y123" s="116"/>
      <c r="Z123" s="116"/>
      <c r="AA123" s="120"/>
      <c r="AB123" s="120"/>
      <c r="AC123" s="116"/>
      <c r="AD123" s="117"/>
      <c r="AE123" s="118"/>
      <c r="AF123" s="118"/>
      <c r="AG123" s="118"/>
      <c r="AH123" s="118"/>
      <c r="AI123" s="118"/>
      <c r="AJ123" s="117"/>
      <c r="AK123" s="116"/>
      <c r="AL123" s="149"/>
      <c r="AM123" s="149"/>
      <c r="AN123" s="116"/>
      <c r="AO123" s="116"/>
      <c r="AP123" s="149"/>
      <c r="AQ123" s="116"/>
      <c r="AR123" s="116"/>
      <c r="AS123" s="149"/>
      <c r="AT123" s="116"/>
      <c r="AU123" s="116"/>
      <c r="AV123" s="116"/>
    </row>
    <row r="124" spans="1:48" ht="21.1">
      <c r="A124" s="82" t="s">
        <v>160</v>
      </c>
      <c r="B124" s="260"/>
      <c r="C124" s="214"/>
      <c r="D124" s="133"/>
      <c r="E124" s="134"/>
      <c r="F124" s="135"/>
      <c r="G124" s="136"/>
      <c r="H124" s="683"/>
      <c r="I124" s="676"/>
      <c r="J124" s="534"/>
      <c r="K124" s="96">
        <v>13</v>
      </c>
      <c r="L124" s="104"/>
      <c r="M124" s="75"/>
      <c r="N124" s="75"/>
      <c r="O124" s="75" t="s">
        <v>377</v>
      </c>
      <c r="P124" s="75"/>
      <c r="Q124" s="97"/>
      <c r="R124" s="163"/>
      <c r="S124" s="109"/>
      <c r="T124" s="109"/>
      <c r="U124" s="100"/>
      <c r="V124" s="110"/>
      <c r="W124" s="110" t="s">
        <v>375</v>
      </c>
      <c r="X124" s="100" t="s">
        <v>367</v>
      </c>
      <c r="Y124" s="100"/>
      <c r="Z124" s="100" t="s">
        <v>375</v>
      </c>
      <c r="AA124" s="110"/>
      <c r="AB124" s="110"/>
      <c r="AC124" s="100">
        <v>14</v>
      </c>
      <c r="AD124" s="108"/>
      <c r="AE124" s="109" t="s">
        <v>803</v>
      </c>
      <c r="AF124" s="109" t="s">
        <v>803</v>
      </c>
      <c r="AG124" s="109" t="s">
        <v>803</v>
      </c>
      <c r="AH124" s="109"/>
      <c r="AI124" s="109" t="s">
        <v>803</v>
      </c>
      <c r="AJ124" s="108"/>
      <c r="AK124" s="100"/>
      <c r="AL124" s="142"/>
      <c r="AM124" s="142"/>
      <c r="AN124" s="100"/>
      <c r="AO124" s="100"/>
      <c r="AP124" s="142"/>
      <c r="AQ124" s="100"/>
      <c r="AR124" s="100"/>
      <c r="AS124" s="142"/>
      <c r="AT124" s="100"/>
      <c r="AU124" s="100"/>
      <c r="AV124" s="100"/>
    </row>
    <row r="125" spans="1:48" ht="16.3">
      <c r="A125" s="246" t="s">
        <v>1</v>
      </c>
      <c r="B125" s="261">
        <f>SUM(L125+M125+N125+O125+P125+U125+X125+Y125+Z125+AC125+AK125+AL125+AK125+AO125+AR125+AS125+AU125+AV125+AW125+AX125+AP125)+4</f>
        <v>7</v>
      </c>
      <c r="C125" s="215">
        <f>B125</f>
        <v>7</v>
      </c>
      <c r="D125" s="139"/>
      <c r="E125" s="140"/>
      <c r="F125" s="135"/>
      <c r="G125" s="136"/>
      <c r="H125" s="683"/>
      <c r="I125" s="676"/>
      <c r="J125" s="534"/>
      <c r="K125" s="96">
        <v>1</v>
      </c>
      <c r="L125" s="104"/>
      <c r="M125" s="75"/>
      <c r="N125" s="75"/>
      <c r="O125" s="75">
        <v>1</v>
      </c>
      <c r="P125" s="75"/>
      <c r="Q125" s="97"/>
      <c r="R125" s="163"/>
      <c r="S125" s="109"/>
      <c r="T125" s="109"/>
      <c r="U125" s="100"/>
      <c r="V125" s="110"/>
      <c r="W125" s="110"/>
      <c r="X125" s="100">
        <v>1</v>
      </c>
      <c r="Y125" s="100"/>
      <c r="Z125" s="100"/>
      <c r="AA125" s="110"/>
      <c r="AB125" s="110"/>
      <c r="AC125" s="100">
        <v>1</v>
      </c>
      <c r="AD125" s="108"/>
      <c r="AE125" s="109"/>
      <c r="AF125" s="109"/>
      <c r="AG125" s="109"/>
      <c r="AH125" s="109"/>
      <c r="AI125" s="109"/>
      <c r="AJ125" s="108"/>
      <c r="AK125" s="100"/>
      <c r="AL125" s="142"/>
      <c r="AM125" s="142"/>
      <c r="AN125" s="100"/>
      <c r="AO125" s="100"/>
      <c r="AP125" s="142"/>
      <c r="AQ125" s="100"/>
      <c r="AR125" s="100"/>
      <c r="AS125" s="142"/>
      <c r="AT125" s="100"/>
      <c r="AU125" s="100"/>
      <c r="AV125" s="100"/>
    </row>
    <row r="126" spans="1:48" ht="16.3">
      <c r="A126" s="246" t="s">
        <v>2</v>
      </c>
      <c r="B126" s="261">
        <f>SUM(L126+M126+N126+O126+P126+U126+X126+Y126+Z126+AC126+AK126+AL126+AK126+AO126+AR126+AS126+AU126+AV126+AW126+AX126)+2</f>
        <v>3</v>
      </c>
      <c r="C126" s="215">
        <f t="shared" ref="C126:C129" si="19">B126</f>
        <v>3</v>
      </c>
      <c r="D126" s="139"/>
      <c r="E126" s="140"/>
      <c r="F126" s="135"/>
      <c r="G126" s="136"/>
      <c r="H126" s="683"/>
      <c r="I126" s="676"/>
      <c r="J126" s="534"/>
      <c r="K126" s="96"/>
      <c r="L126" s="104"/>
      <c r="M126" s="75"/>
      <c r="N126" s="75"/>
      <c r="O126" s="75"/>
      <c r="P126" s="75"/>
      <c r="Q126" s="97"/>
      <c r="R126" s="163"/>
      <c r="S126" s="109"/>
      <c r="T126" s="109"/>
      <c r="U126" s="100"/>
      <c r="V126" s="110"/>
      <c r="W126" s="110">
        <v>1</v>
      </c>
      <c r="X126" s="100"/>
      <c r="Y126" s="100"/>
      <c r="Z126" s="100">
        <v>1</v>
      </c>
      <c r="AA126" s="110"/>
      <c r="AB126" s="110"/>
      <c r="AC126" s="100"/>
      <c r="AD126" s="108"/>
      <c r="AE126" s="109"/>
      <c r="AF126" s="109"/>
      <c r="AG126" s="109"/>
      <c r="AH126" s="109"/>
      <c r="AI126" s="109"/>
      <c r="AJ126" s="108"/>
      <c r="AK126" s="100"/>
      <c r="AL126" s="142"/>
      <c r="AM126" s="142"/>
      <c r="AN126" s="100"/>
      <c r="AO126" s="100"/>
      <c r="AP126" s="142"/>
      <c r="AQ126" s="100"/>
      <c r="AR126" s="100"/>
      <c r="AS126" s="142"/>
      <c r="AT126" s="100"/>
      <c r="AU126" s="100"/>
      <c r="AV126" s="100"/>
    </row>
    <row r="127" spans="1:48" ht="16.3">
      <c r="A127" s="87" t="s">
        <v>363</v>
      </c>
      <c r="B127" s="260">
        <f>SUM(B125+B126)</f>
        <v>10</v>
      </c>
      <c r="C127" s="214">
        <f t="shared" si="19"/>
        <v>10</v>
      </c>
      <c r="D127" s="133"/>
      <c r="E127" s="134"/>
      <c r="F127" s="135"/>
      <c r="G127" s="136"/>
      <c r="H127" s="683"/>
      <c r="I127" s="676"/>
      <c r="J127" s="534"/>
      <c r="K127" s="96"/>
      <c r="L127" s="104"/>
      <c r="M127" s="75"/>
      <c r="N127" s="75"/>
      <c r="O127" s="75"/>
      <c r="P127" s="75"/>
      <c r="Q127" s="97"/>
      <c r="R127" s="163"/>
      <c r="S127" s="109"/>
      <c r="T127" s="109"/>
      <c r="U127" s="100"/>
      <c r="V127" s="110"/>
      <c r="W127" s="110"/>
      <c r="X127" s="100"/>
      <c r="Y127" s="100"/>
      <c r="Z127" s="100"/>
      <c r="AA127" s="110"/>
      <c r="AB127" s="110"/>
      <c r="AC127" s="100"/>
      <c r="AD127" s="108"/>
      <c r="AE127" s="109"/>
      <c r="AF127" s="109"/>
      <c r="AG127" s="109"/>
      <c r="AH127" s="109"/>
      <c r="AI127" s="109"/>
      <c r="AJ127" s="108"/>
      <c r="AK127" s="100"/>
      <c r="AL127" s="142"/>
      <c r="AM127" s="142"/>
      <c r="AN127" s="100"/>
      <c r="AO127" s="100"/>
      <c r="AP127" s="142"/>
      <c r="AQ127" s="100"/>
      <c r="AR127" s="100"/>
      <c r="AS127" s="142"/>
      <c r="AT127" s="100"/>
      <c r="AU127" s="100"/>
      <c r="AV127" s="100"/>
    </row>
    <row r="128" spans="1:48" ht="16.3">
      <c r="A128" s="87" t="s">
        <v>3</v>
      </c>
      <c r="B128" s="260">
        <f>SUM(L128+M128+N128+O128+P128+U128+X128+Y128+Z128+AC128+AK128+AL128+AK128+AO128+AR128+AS128+AU128+AV128+AW128+AX128)+3</f>
        <v>4</v>
      </c>
      <c r="C128" s="214">
        <f t="shared" si="19"/>
        <v>4</v>
      </c>
      <c r="D128" s="133"/>
      <c r="E128" s="134"/>
      <c r="F128" s="135"/>
      <c r="G128" s="136"/>
      <c r="H128" s="683"/>
      <c r="I128" s="676"/>
      <c r="J128" s="534"/>
      <c r="K128" s="96">
        <v>1</v>
      </c>
      <c r="L128" s="104"/>
      <c r="M128" s="75"/>
      <c r="N128" s="75"/>
      <c r="O128" s="75"/>
      <c r="P128" s="75"/>
      <c r="Q128" s="97"/>
      <c r="R128" s="163"/>
      <c r="S128" s="109"/>
      <c r="T128" s="109"/>
      <c r="U128" s="100"/>
      <c r="V128" s="110"/>
      <c r="W128" s="110">
        <v>1</v>
      </c>
      <c r="X128" s="100"/>
      <c r="Y128" s="100"/>
      <c r="Z128" s="100"/>
      <c r="AA128" s="110"/>
      <c r="AB128" s="110"/>
      <c r="AC128" s="100">
        <v>1</v>
      </c>
      <c r="AD128" s="108"/>
      <c r="AE128" s="109"/>
      <c r="AF128" s="109"/>
      <c r="AG128" s="109"/>
      <c r="AH128" s="109"/>
      <c r="AI128" s="109"/>
      <c r="AJ128" s="108"/>
      <c r="AK128" s="100"/>
      <c r="AL128" s="142"/>
      <c r="AM128" s="142"/>
      <c r="AN128" s="100"/>
      <c r="AO128" s="100"/>
      <c r="AP128" s="142"/>
      <c r="AQ128" s="100"/>
      <c r="AR128" s="100"/>
      <c r="AS128" s="142"/>
      <c r="AT128" s="100"/>
      <c r="AU128" s="100"/>
      <c r="AV128" s="100"/>
    </row>
    <row r="129" spans="1:48" ht="17" thickBot="1">
      <c r="A129" s="88" t="s">
        <v>4</v>
      </c>
      <c r="B129" s="262">
        <f>SUM(L129+M129+N129+O129+P129+U129+X129+Y129+Z129+AC129+AK129+AL129+AK129+AO129+AR129+AS129+AU129+AV129+AW129+AX129)+15</f>
        <v>20</v>
      </c>
      <c r="C129" s="217">
        <f t="shared" si="19"/>
        <v>20</v>
      </c>
      <c r="D129" s="144"/>
      <c r="E129" s="145"/>
      <c r="F129" s="146"/>
      <c r="G129" s="147"/>
      <c r="H129" s="684"/>
      <c r="I129" s="677"/>
      <c r="J129" s="535"/>
      <c r="K129" s="114">
        <v>5</v>
      </c>
      <c r="L129" s="113"/>
      <c r="M129" s="112"/>
      <c r="N129" s="112"/>
      <c r="O129" s="112"/>
      <c r="P129" s="112"/>
      <c r="Q129" s="115"/>
      <c r="R129" s="164"/>
      <c r="S129" s="118"/>
      <c r="T129" s="118"/>
      <c r="U129" s="116"/>
      <c r="V129" s="120"/>
      <c r="W129" s="120">
        <v>5</v>
      </c>
      <c r="X129" s="116"/>
      <c r="Y129" s="116"/>
      <c r="Z129" s="116"/>
      <c r="AA129" s="120"/>
      <c r="AB129" s="120"/>
      <c r="AC129" s="116">
        <v>5</v>
      </c>
      <c r="AD129" s="117"/>
      <c r="AE129" s="118"/>
      <c r="AF129" s="118"/>
      <c r="AG129" s="118"/>
      <c r="AH129" s="118"/>
      <c r="AI129" s="118"/>
      <c r="AJ129" s="117"/>
      <c r="AK129" s="116"/>
      <c r="AL129" s="149"/>
      <c r="AM129" s="149"/>
      <c r="AN129" s="116"/>
      <c r="AO129" s="116"/>
      <c r="AP129" s="149"/>
      <c r="AQ129" s="116"/>
      <c r="AR129" s="116"/>
      <c r="AS129" s="149"/>
      <c r="AT129" s="116"/>
      <c r="AU129" s="116"/>
      <c r="AV129" s="116"/>
    </row>
    <row r="130" spans="1:48" ht="21.1">
      <c r="A130" s="82" t="s">
        <v>1019</v>
      </c>
      <c r="B130" s="260"/>
      <c r="C130" s="214"/>
      <c r="D130" s="133"/>
      <c r="E130" s="134"/>
      <c r="F130" s="135"/>
      <c r="G130" s="136"/>
      <c r="H130" s="683"/>
      <c r="I130" s="676"/>
      <c r="J130" s="534"/>
      <c r="K130" s="96"/>
      <c r="L130" s="104"/>
      <c r="M130" s="75"/>
      <c r="N130" s="75"/>
      <c r="O130" s="75"/>
      <c r="P130" s="75"/>
      <c r="Q130" s="97"/>
      <c r="R130" s="163"/>
      <c r="S130" s="109"/>
      <c r="T130" s="109"/>
      <c r="U130" s="100"/>
      <c r="V130" s="110"/>
      <c r="W130" s="110"/>
      <c r="X130" s="100"/>
      <c r="Y130" s="100"/>
      <c r="Z130" s="100"/>
      <c r="AA130" s="110"/>
      <c r="AB130" s="110"/>
      <c r="AC130" s="100"/>
      <c r="AD130" s="108"/>
      <c r="AE130" s="109" t="s">
        <v>1020</v>
      </c>
      <c r="AF130" s="109"/>
      <c r="AG130" s="109"/>
      <c r="AH130" s="109"/>
      <c r="AI130" s="109" t="s">
        <v>375</v>
      </c>
      <c r="AJ130" s="108"/>
      <c r="AK130" s="100"/>
      <c r="AL130" s="142"/>
      <c r="AM130" s="142"/>
      <c r="AN130" s="100"/>
      <c r="AO130" s="100"/>
      <c r="AP130" s="142"/>
      <c r="AQ130" s="100"/>
      <c r="AR130" s="100"/>
      <c r="AS130" s="142"/>
      <c r="AT130" s="100"/>
      <c r="AU130" s="100"/>
      <c r="AV130" s="100"/>
    </row>
    <row r="131" spans="1:48" ht="16.3">
      <c r="A131" s="246" t="s">
        <v>1</v>
      </c>
      <c r="B131" s="261">
        <f>SUM(L131+M131+N131+O131+P131+U131+X131+Y131+Z131+AC131+AK131+AL131+AK131+AO131+AR131+AS131+AU131+AV131+AW131+AX131+AP131)</f>
        <v>0</v>
      </c>
      <c r="C131" s="215">
        <f>B131</f>
        <v>0</v>
      </c>
      <c r="D131" s="133"/>
      <c r="E131" s="134"/>
      <c r="F131" s="135"/>
      <c r="G131" s="136"/>
      <c r="H131" s="683"/>
      <c r="I131" s="676"/>
      <c r="J131" s="534"/>
      <c r="K131" s="96"/>
      <c r="L131" s="104"/>
      <c r="M131" s="75"/>
      <c r="N131" s="75"/>
      <c r="O131" s="75"/>
      <c r="P131" s="75"/>
      <c r="Q131" s="97"/>
      <c r="R131" s="163"/>
      <c r="S131" s="109"/>
      <c r="T131" s="109"/>
      <c r="U131" s="100"/>
      <c r="V131" s="110"/>
      <c r="W131" s="110"/>
      <c r="X131" s="100"/>
      <c r="Y131" s="100"/>
      <c r="Z131" s="100"/>
      <c r="AA131" s="110"/>
      <c r="AB131" s="110"/>
      <c r="AC131" s="100"/>
      <c r="AD131" s="108"/>
      <c r="AE131" s="109">
        <v>1</v>
      </c>
      <c r="AF131" s="109"/>
      <c r="AG131" s="109"/>
      <c r="AH131" s="109"/>
      <c r="AI131" s="109"/>
      <c r="AJ131" s="108"/>
      <c r="AK131" s="100"/>
      <c r="AL131" s="142"/>
      <c r="AM131" s="142"/>
      <c r="AN131" s="100"/>
      <c r="AO131" s="100"/>
      <c r="AP131" s="142"/>
      <c r="AQ131" s="100"/>
      <c r="AR131" s="100"/>
      <c r="AS131" s="142"/>
      <c r="AT131" s="100"/>
      <c r="AU131" s="100"/>
      <c r="AV131" s="100"/>
    </row>
    <row r="132" spans="1:48" ht="16.3">
      <c r="A132" s="246" t="s">
        <v>2</v>
      </c>
      <c r="B132" s="261">
        <f>SUM(L132+M132+N132+O132+P132+U132+X132+Y132+Z132+AC132+AK132+AL132+AK132+AO132+AR132+AS132+AU132+AV132+AW132+AX132)</f>
        <v>0</v>
      </c>
      <c r="C132" s="215">
        <f t="shared" ref="C132:C135" si="20">B132</f>
        <v>0</v>
      </c>
      <c r="D132" s="133"/>
      <c r="E132" s="134"/>
      <c r="F132" s="135"/>
      <c r="G132" s="136"/>
      <c r="H132" s="683"/>
      <c r="I132" s="676"/>
      <c r="J132" s="534"/>
      <c r="K132" s="96"/>
      <c r="L132" s="104"/>
      <c r="M132" s="75"/>
      <c r="N132" s="75"/>
      <c r="O132" s="75"/>
      <c r="P132" s="75"/>
      <c r="Q132" s="97"/>
      <c r="R132" s="163"/>
      <c r="S132" s="109"/>
      <c r="T132" s="109"/>
      <c r="U132" s="100"/>
      <c r="V132" s="110"/>
      <c r="W132" s="110"/>
      <c r="X132" s="100"/>
      <c r="Y132" s="100"/>
      <c r="Z132" s="100"/>
      <c r="AA132" s="110"/>
      <c r="AB132" s="110"/>
      <c r="AC132" s="100"/>
      <c r="AD132" s="108"/>
      <c r="AE132" s="109"/>
      <c r="AF132" s="109"/>
      <c r="AG132" s="109"/>
      <c r="AH132" s="109"/>
      <c r="AI132" s="109">
        <v>1</v>
      </c>
      <c r="AJ132" s="108"/>
      <c r="AK132" s="100"/>
      <c r="AL132" s="142"/>
      <c r="AM132" s="142"/>
      <c r="AN132" s="100"/>
      <c r="AO132" s="100"/>
      <c r="AP132" s="142"/>
      <c r="AQ132" s="100"/>
      <c r="AR132" s="100"/>
      <c r="AS132" s="142"/>
      <c r="AT132" s="100"/>
      <c r="AU132" s="100"/>
      <c r="AV132" s="100"/>
    </row>
    <row r="133" spans="1:48" ht="16.3">
      <c r="A133" s="87" t="s">
        <v>363</v>
      </c>
      <c r="B133" s="260">
        <f>SUM(B131+B132)</f>
        <v>0</v>
      </c>
      <c r="C133" s="214">
        <f t="shared" si="20"/>
        <v>0</v>
      </c>
      <c r="D133" s="133"/>
      <c r="E133" s="134"/>
      <c r="F133" s="135"/>
      <c r="G133" s="136"/>
      <c r="H133" s="683"/>
      <c r="I133" s="676"/>
      <c r="J133" s="534"/>
      <c r="K133" s="96"/>
      <c r="L133" s="104"/>
      <c r="M133" s="75"/>
      <c r="N133" s="75"/>
      <c r="O133" s="75"/>
      <c r="P133" s="75"/>
      <c r="Q133" s="97"/>
      <c r="R133" s="163"/>
      <c r="S133" s="109"/>
      <c r="T133" s="109"/>
      <c r="U133" s="100"/>
      <c r="V133" s="110"/>
      <c r="W133" s="110"/>
      <c r="X133" s="100"/>
      <c r="Y133" s="100"/>
      <c r="Z133" s="100"/>
      <c r="AA133" s="110"/>
      <c r="AB133" s="110"/>
      <c r="AC133" s="100"/>
      <c r="AD133" s="108"/>
      <c r="AE133" s="109"/>
      <c r="AF133" s="109"/>
      <c r="AG133" s="109"/>
      <c r="AH133" s="109"/>
      <c r="AI133" s="109"/>
      <c r="AJ133" s="108"/>
      <c r="AK133" s="100"/>
      <c r="AL133" s="142"/>
      <c r="AM133" s="142"/>
      <c r="AN133" s="100"/>
      <c r="AO133" s="100"/>
      <c r="AP133" s="142"/>
      <c r="AQ133" s="100"/>
      <c r="AR133" s="100"/>
      <c r="AS133" s="142"/>
      <c r="AT133" s="100"/>
      <c r="AU133" s="100"/>
      <c r="AV133" s="100"/>
    </row>
    <row r="134" spans="1:48" ht="16.3">
      <c r="A134" s="87" t="s">
        <v>3</v>
      </c>
      <c r="B134" s="260">
        <f>SUM(L134+M134+N134+O134+P134+U134+X134+Y134+Z134+AC134+AK134+AL134+AK134+AO134+AR134+AS134+AU134+AV134+AW134+AX134)</f>
        <v>0</v>
      </c>
      <c r="C134" s="214">
        <f t="shared" si="20"/>
        <v>0</v>
      </c>
      <c r="D134" s="133"/>
      <c r="E134" s="134"/>
      <c r="F134" s="135"/>
      <c r="G134" s="136"/>
      <c r="H134" s="683"/>
      <c r="I134" s="676"/>
      <c r="J134" s="534"/>
      <c r="K134" s="96"/>
      <c r="L134" s="104"/>
      <c r="M134" s="75"/>
      <c r="N134" s="75"/>
      <c r="O134" s="75"/>
      <c r="P134" s="75"/>
      <c r="Q134" s="97"/>
      <c r="R134" s="163"/>
      <c r="S134" s="109"/>
      <c r="T134" s="109"/>
      <c r="U134" s="100"/>
      <c r="V134" s="110"/>
      <c r="W134" s="110"/>
      <c r="X134" s="100"/>
      <c r="Y134" s="100"/>
      <c r="Z134" s="100"/>
      <c r="AA134" s="110"/>
      <c r="AB134" s="110"/>
      <c r="AC134" s="100"/>
      <c r="AD134" s="108"/>
      <c r="AE134" s="109"/>
      <c r="AF134" s="109"/>
      <c r="AG134" s="109"/>
      <c r="AH134" s="109"/>
      <c r="AI134" s="109"/>
      <c r="AJ134" s="108"/>
      <c r="AK134" s="100"/>
      <c r="AL134" s="142"/>
      <c r="AM134" s="142"/>
      <c r="AN134" s="100"/>
      <c r="AO134" s="100"/>
      <c r="AP134" s="142"/>
      <c r="AQ134" s="100"/>
      <c r="AR134" s="100"/>
      <c r="AS134" s="142"/>
      <c r="AT134" s="100"/>
      <c r="AU134" s="100"/>
      <c r="AV134" s="100"/>
    </row>
    <row r="135" spans="1:48" ht="17" thickBot="1">
      <c r="A135" s="88" t="s">
        <v>4</v>
      </c>
      <c r="B135" s="262">
        <f>SUM(L135+M135+N135+O135+P135+U135+X135+Y135+Z135+AC135+AK135+AL135+AK135+AO135+AR135+AS135+AU135+AV135+AW135+AX135)</f>
        <v>0</v>
      </c>
      <c r="C135" s="217">
        <f t="shared" si="20"/>
        <v>0</v>
      </c>
      <c r="D135" s="144"/>
      <c r="E135" s="145"/>
      <c r="F135" s="146"/>
      <c r="G135" s="147"/>
      <c r="H135" s="684"/>
      <c r="I135" s="677"/>
      <c r="J135" s="535"/>
      <c r="K135" s="114"/>
      <c r="L135" s="113"/>
      <c r="M135" s="112"/>
      <c r="N135" s="112"/>
      <c r="O135" s="112"/>
      <c r="P135" s="112"/>
      <c r="Q135" s="115"/>
      <c r="R135" s="164"/>
      <c r="S135" s="118"/>
      <c r="T135" s="118"/>
      <c r="U135" s="116"/>
      <c r="V135" s="120"/>
      <c r="W135" s="120"/>
      <c r="X135" s="116"/>
      <c r="Y135" s="116"/>
      <c r="Z135" s="116"/>
      <c r="AA135" s="120"/>
      <c r="AB135" s="120"/>
      <c r="AC135" s="116"/>
      <c r="AD135" s="117"/>
      <c r="AE135" s="118"/>
      <c r="AF135" s="118"/>
      <c r="AG135" s="118"/>
      <c r="AH135" s="118"/>
      <c r="AI135" s="118"/>
      <c r="AJ135" s="117"/>
      <c r="AK135" s="116"/>
      <c r="AL135" s="149"/>
      <c r="AM135" s="149"/>
      <c r="AN135" s="116"/>
      <c r="AO135" s="116"/>
      <c r="AP135" s="149"/>
      <c r="AQ135" s="116"/>
      <c r="AR135" s="116"/>
      <c r="AS135" s="149"/>
      <c r="AT135" s="116"/>
      <c r="AU135" s="116"/>
      <c r="AV135" s="116"/>
    </row>
    <row r="136" spans="1:48" ht="21.1">
      <c r="A136" s="82" t="s">
        <v>260</v>
      </c>
      <c r="B136" s="260"/>
      <c r="C136" s="214"/>
      <c r="D136" s="133"/>
      <c r="E136" s="134"/>
      <c r="F136" s="135"/>
      <c r="G136" s="136"/>
      <c r="H136" s="683"/>
      <c r="I136" s="676"/>
      <c r="J136" s="534"/>
      <c r="K136" s="96" t="s">
        <v>501</v>
      </c>
      <c r="L136" s="104" t="s">
        <v>501</v>
      </c>
      <c r="M136" s="75" t="s">
        <v>501</v>
      </c>
      <c r="N136" s="75" t="s">
        <v>750</v>
      </c>
      <c r="O136" s="75">
        <v>10</v>
      </c>
      <c r="P136" s="75">
        <v>10</v>
      </c>
      <c r="Q136" s="97"/>
      <c r="R136" s="163"/>
      <c r="S136" s="109" t="s">
        <v>783</v>
      </c>
      <c r="T136" s="109" t="s">
        <v>783</v>
      </c>
      <c r="U136" s="100">
        <v>10</v>
      </c>
      <c r="V136" s="110">
        <v>10</v>
      </c>
      <c r="W136" s="110" t="s">
        <v>808</v>
      </c>
      <c r="X136" s="100"/>
      <c r="Y136" s="100">
        <v>10</v>
      </c>
      <c r="Z136" s="100">
        <v>10</v>
      </c>
      <c r="AA136" s="110">
        <v>10</v>
      </c>
      <c r="AB136" s="110">
        <v>10</v>
      </c>
      <c r="AC136" s="100">
        <v>10</v>
      </c>
      <c r="AD136" s="108"/>
      <c r="AE136" s="109" t="s">
        <v>783</v>
      </c>
      <c r="AF136" s="109" t="s">
        <v>783</v>
      </c>
      <c r="AG136" s="109" t="s">
        <v>783</v>
      </c>
      <c r="AH136" s="109"/>
      <c r="AI136" s="109" t="s">
        <v>783</v>
      </c>
      <c r="AJ136" s="108"/>
      <c r="AK136" s="100"/>
      <c r="AL136" s="142"/>
      <c r="AM136" s="142"/>
      <c r="AN136" s="100"/>
      <c r="AO136" s="100"/>
      <c r="AP136" s="142"/>
      <c r="AQ136" s="100"/>
      <c r="AR136" s="100"/>
      <c r="AS136" s="142"/>
      <c r="AT136" s="100"/>
      <c r="AU136" s="100"/>
      <c r="AV136" s="100"/>
    </row>
    <row r="137" spans="1:48" ht="16.3">
      <c r="A137" s="246" t="s">
        <v>1</v>
      </c>
      <c r="B137" s="261">
        <f>SUM(L137+M137+N137+O137+P137+U137+X137+Y137+Z137+AC137+AK137+AL137+AK137+AO137+AR137+AS137+AU137+AV137+AW137+AX137+AP137)+32</f>
        <v>39</v>
      </c>
      <c r="C137" s="215">
        <f>B137</f>
        <v>39</v>
      </c>
      <c r="D137" s="139"/>
      <c r="E137" s="140"/>
      <c r="F137" s="135"/>
      <c r="G137" s="136"/>
      <c r="H137" s="683"/>
      <c r="I137" s="676"/>
      <c r="J137" s="534"/>
      <c r="K137" s="96"/>
      <c r="L137" s="104"/>
      <c r="M137" s="75"/>
      <c r="N137" s="75">
        <v>1</v>
      </c>
      <c r="O137" s="75">
        <v>1</v>
      </c>
      <c r="P137" s="75">
        <v>1</v>
      </c>
      <c r="Q137" s="97"/>
      <c r="R137" s="163"/>
      <c r="S137" s="109"/>
      <c r="T137" s="109"/>
      <c r="U137" s="100">
        <v>1</v>
      </c>
      <c r="V137" s="110">
        <v>1</v>
      </c>
      <c r="W137" s="110">
        <v>1</v>
      </c>
      <c r="X137" s="100"/>
      <c r="Y137" s="100">
        <v>1</v>
      </c>
      <c r="Z137" s="100">
        <v>1</v>
      </c>
      <c r="AA137" s="110">
        <v>1</v>
      </c>
      <c r="AB137" s="110">
        <v>1</v>
      </c>
      <c r="AC137" s="100">
        <v>1</v>
      </c>
      <c r="AD137" s="108"/>
      <c r="AE137" s="109"/>
      <c r="AF137" s="109"/>
      <c r="AG137" s="109"/>
      <c r="AH137" s="109"/>
      <c r="AI137" s="109"/>
      <c r="AJ137" s="108"/>
      <c r="AK137" s="100"/>
      <c r="AL137" s="142"/>
      <c r="AM137" s="142"/>
      <c r="AN137" s="100"/>
      <c r="AO137" s="100"/>
      <c r="AP137" s="142"/>
      <c r="AQ137" s="100"/>
      <c r="AR137" s="100"/>
      <c r="AS137" s="142"/>
      <c r="AT137" s="100"/>
      <c r="AU137" s="100"/>
      <c r="AV137" s="100"/>
    </row>
    <row r="138" spans="1:48" ht="16.3">
      <c r="A138" s="246" t="s">
        <v>2</v>
      </c>
      <c r="B138" s="261">
        <f>SUM(L138+M138+N138+O138+P138+U138+X138+Y138+Z138+AC138+AK138+AL138+AK138+AO138+AR138+AS138+AU138+AV138+AW138+AX138)+2</f>
        <v>2</v>
      </c>
      <c r="C138" s="215">
        <f t="shared" ref="C138:C141" si="21">B138</f>
        <v>2</v>
      </c>
      <c r="D138" s="139"/>
      <c r="E138" s="140"/>
      <c r="F138" s="135"/>
      <c r="G138" s="136"/>
      <c r="H138" s="683"/>
      <c r="I138" s="676"/>
      <c r="J138" s="534"/>
      <c r="K138" s="96"/>
      <c r="L138" s="104"/>
      <c r="M138" s="75"/>
      <c r="N138" s="75"/>
      <c r="O138" s="75"/>
      <c r="P138" s="75"/>
      <c r="Q138" s="97"/>
      <c r="R138" s="163"/>
      <c r="S138" s="109"/>
      <c r="T138" s="109"/>
      <c r="U138" s="100"/>
      <c r="V138" s="110"/>
      <c r="W138" s="110"/>
      <c r="X138" s="100"/>
      <c r="Y138" s="100"/>
      <c r="Z138" s="100"/>
      <c r="AA138" s="110"/>
      <c r="AB138" s="110"/>
      <c r="AC138" s="100"/>
      <c r="AD138" s="108"/>
      <c r="AE138" s="109"/>
      <c r="AF138" s="109"/>
      <c r="AG138" s="109"/>
      <c r="AH138" s="109"/>
      <c r="AI138" s="109"/>
      <c r="AJ138" s="108"/>
      <c r="AK138" s="100"/>
      <c r="AL138" s="142"/>
      <c r="AM138" s="142"/>
      <c r="AN138" s="100"/>
      <c r="AO138" s="100"/>
      <c r="AP138" s="142"/>
      <c r="AQ138" s="100"/>
      <c r="AR138" s="100"/>
      <c r="AS138" s="142"/>
      <c r="AT138" s="100"/>
      <c r="AU138" s="100"/>
      <c r="AV138" s="100"/>
    </row>
    <row r="139" spans="1:48" ht="16.3">
      <c r="A139" s="87" t="s">
        <v>363</v>
      </c>
      <c r="B139" s="260">
        <f>SUM(B137+B138)</f>
        <v>41</v>
      </c>
      <c r="C139" s="214">
        <f t="shared" si="21"/>
        <v>41</v>
      </c>
      <c r="D139" s="133"/>
      <c r="E139" s="134"/>
      <c r="F139" s="135"/>
      <c r="G139" s="136"/>
      <c r="H139" s="683"/>
      <c r="I139" s="676"/>
      <c r="J139" s="534"/>
      <c r="K139" s="96"/>
      <c r="L139" s="104"/>
      <c r="M139" s="75"/>
      <c r="N139" s="75"/>
      <c r="O139" s="75"/>
      <c r="P139" s="75"/>
      <c r="Q139" s="97"/>
      <c r="R139" s="163"/>
      <c r="S139" s="109"/>
      <c r="T139" s="109"/>
      <c r="U139" s="100"/>
      <c r="V139" s="110"/>
      <c r="W139" s="110"/>
      <c r="X139" s="100"/>
      <c r="Y139" s="100"/>
      <c r="Z139" s="100"/>
      <c r="AA139" s="110"/>
      <c r="AB139" s="110"/>
      <c r="AC139" s="100"/>
      <c r="AD139" s="108"/>
      <c r="AE139" s="109"/>
      <c r="AF139" s="109"/>
      <c r="AG139" s="109"/>
      <c r="AH139" s="109"/>
      <c r="AI139" s="109"/>
      <c r="AJ139" s="108"/>
      <c r="AK139" s="100"/>
      <c r="AL139" s="142"/>
      <c r="AM139" s="142"/>
      <c r="AN139" s="100"/>
      <c r="AO139" s="100"/>
      <c r="AP139" s="142"/>
      <c r="AQ139" s="100"/>
      <c r="AR139" s="100"/>
      <c r="AS139" s="142"/>
      <c r="AT139" s="100"/>
      <c r="AU139" s="100"/>
      <c r="AV139" s="100"/>
    </row>
    <row r="140" spans="1:48" ht="16.3">
      <c r="A140" s="246" t="s">
        <v>366</v>
      </c>
      <c r="B140" s="261">
        <f>SUM(L140+M140+N140+O140+P140+U140+X140+Y140+Z140+AC140+AK140+AL140+AK140+AO140+AR140+AS140+AU140+AV140+AW140+AX140)</f>
        <v>1</v>
      </c>
      <c r="C140" s="215">
        <f t="shared" si="21"/>
        <v>1</v>
      </c>
      <c r="D140" s="133"/>
      <c r="E140" s="134"/>
      <c r="F140" s="135"/>
      <c r="G140" s="136"/>
      <c r="H140" s="683"/>
      <c r="I140" s="676"/>
      <c r="J140" s="534"/>
      <c r="K140" s="96"/>
      <c r="L140" s="104"/>
      <c r="M140" s="75"/>
      <c r="N140" s="75">
        <v>1</v>
      </c>
      <c r="O140" s="75"/>
      <c r="P140" s="75"/>
      <c r="Q140" s="97"/>
      <c r="R140" s="163"/>
      <c r="S140" s="109"/>
      <c r="T140" s="109"/>
      <c r="U140" s="100"/>
      <c r="V140" s="110"/>
      <c r="W140" s="110">
        <v>1</v>
      </c>
      <c r="X140" s="100"/>
      <c r="Y140" s="100"/>
      <c r="Z140" s="100"/>
      <c r="AA140" s="110"/>
      <c r="AB140" s="110"/>
      <c r="AC140" s="100"/>
      <c r="AD140" s="108"/>
      <c r="AE140" s="109"/>
      <c r="AF140" s="109"/>
      <c r="AG140" s="109"/>
      <c r="AH140" s="109"/>
      <c r="AI140" s="109"/>
      <c r="AJ140" s="108"/>
      <c r="AK140" s="100"/>
      <c r="AL140" s="142"/>
      <c r="AM140" s="142"/>
      <c r="AN140" s="100"/>
      <c r="AO140" s="100"/>
      <c r="AP140" s="142"/>
      <c r="AQ140" s="100"/>
      <c r="AR140" s="100"/>
      <c r="AS140" s="142"/>
      <c r="AT140" s="100"/>
      <c r="AU140" s="100"/>
      <c r="AV140" s="100"/>
    </row>
    <row r="141" spans="1:48" ht="16.3">
      <c r="A141" s="246" t="s">
        <v>5</v>
      </c>
      <c r="B141" s="261">
        <f>SUM(L141+M141+N141+O141+P141+U141+X141+Y141+Z141+AC141+AK141+AL141+AK141+AO141+AR141+AS141+AU141+AV141+AW141+AX141)+142</f>
        <v>171</v>
      </c>
      <c r="C141" s="215">
        <f t="shared" si="21"/>
        <v>171</v>
      </c>
      <c r="D141" s="139"/>
      <c r="E141" s="140"/>
      <c r="F141" s="135"/>
      <c r="G141" s="136"/>
      <c r="H141" s="683"/>
      <c r="I141" s="676"/>
      <c r="J141" s="534"/>
      <c r="K141" s="96"/>
      <c r="L141" s="104"/>
      <c r="M141" s="75"/>
      <c r="N141" s="75">
        <v>6</v>
      </c>
      <c r="O141" s="75">
        <v>2</v>
      </c>
      <c r="P141" s="75">
        <v>5</v>
      </c>
      <c r="Q141" s="97"/>
      <c r="R141" s="163"/>
      <c r="S141" s="109"/>
      <c r="T141" s="109"/>
      <c r="U141" s="100">
        <v>5</v>
      </c>
      <c r="V141" s="110">
        <v>4</v>
      </c>
      <c r="W141" s="110">
        <v>6</v>
      </c>
      <c r="X141" s="100"/>
      <c r="Y141" s="100">
        <v>3</v>
      </c>
      <c r="Z141" s="100">
        <v>4</v>
      </c>
      <c r="AA141" s="110">
        <v>6</v>
      </c>
      <c r="AB141" s="110">
        <v>8</v>
      </c>
      <c r="AC141" s="100">
        <v>4</v>
      </c>
      <c r="AD141" s="108"/>
      <c r="AE141" s="109"/>
      <c r="AF141" s="109"/>
      <c r="AG141" s="109"/>
      <c r="AH141" s="109"/>
      <c r="AI141" s="109"/>
      <c r="AJ141" s="108"/>
      <c r="AK141" s="100"/>
      <c r="AL141" s="142"/>
      <c r="AM141" s="142"/>
      <c r="AN141" s="100"/>
      <c r="AO141" s="100"/>
      <c r="AP141" s="142"/>
      <c r="AQ141" s="100"/>
      <c r="AR141" s="100"/>
      <c r="AS141" s="142"/>
      <c r="AT141" s="100"/>
      <c r="AU141" s="100"/>
      <c r="AV141" s="100"/>
    </row>
    <row r="142" spans="1:48" ht="16.3">
      <c r="A142" s="246" t="s">
        <v>6</v>
      </c>
      <c r="B142" s="261">
        <f>SUM(L142+M142+N142+O142+P142+U142+X142+Y142+Z142+AC142+AK142+AL142+AK142+AO142+AR142+AS142+AU142+AV142+AW142+AX142)+186</f>
        <v>222</v>
      </c>
      <c r="C142" s="215">
        <f t="shared" ref="C142:C145" si="22">B142</f>
        <v>222</v>
      </c>
      <c r="D142" s="139"/>
      <c r="E142" s="140"/>
      <c r="F142" s="135"/>
      <c r="G142" s="136"/>
      <c r="H142" s="683"/>
      <c r="I142" s="676"/>
      <c r="J142" s="534"/>
      <c r="K142" s="96"/>
      <c r="L142" s="104"/>
      <c r="M142" s="75"/>
      <c r="N142" s="75">
        <v>6</v>
      </c>
      <c r="O142" s="75">
        <v>4</v>
      </c>
      <c r="P142" s="75">
        <v>6</v>
      </c>
      <c r="Q142" s="97"/>
      <c r="R142" s="163"/>
      <c r="S142" s="109"/>
      <c r="T142" s="109"/>
      <c r="U142" s="100">
        <v>6</v>
      </c>
      <c r="V142" s="110">
        <v>5</v>
      </c>
      <c r="W142" s="110">
        <v>6</v>
      </c>
      <c r="X142" s="100"/>
      <c r="Y142" s="100">
        <v>3</v>
      </c>
      <c r="Z142" s="100">
        <v>5</v>
      </c>
      <c r="AA142" s="110">
        <v>7</v>
      </c>
      <c r="AB142" s="110">
        <v>8</v>
      </c>
      <c r="AC142" s="100">
        <v>6</v>
      </c>
      <c r="AD142" s="108"/>
      <c r="AE142" s="109"/>
      <c r="AF142" s="109"/>
      <c r="AG142" s="109"/>
      <c r="AH142" s="109"/>
      <c r="AI142" s="109"/>
      <c r="AJ142" s="108"/>
      <c r="AK142" s="100"/>
      <c r="AL142" s="142"/>
      <c r="AM142" s="142"/>
      <c r="AN142" s="100"/>
      <c r="AO142" s="100"/>
      <c r="AP142" s="142"/>
      <c r="AQ142" s="100"/>
      <c r="AR142" s="100"/>
      <c r="AS142" s="142"/>
      <c r="AT142" s="100"/>
      <c r="AU142" s="100"/>
      <c r="AV142" s="100"/>
    </row>
    <row r="143" spans="1:48" ht="16.3">
      <c r="A143" s="246" t="s">
        <v>368</v>
      </c>
      <c r="B143" s="263">
        <f>SUM(B141/B142)*100</f>
        <v>77.027027027027032</v>
      </c>
      <c r="C143" s="216">
        <f t="shared" si="22"/>
        <v>77.027027027027032</v>
      </c>
      <c r="D143" s="139"/>
      <c r="E143" s="140"/>
      <c r="F143" s="135"/>
      <c r="G143" s="136"/>
      <c r="H143" s="683"/>
      <c r="I143" s="676"/>
      <c r="J143" s="534"/>
      <c r="K143" s="96"/>
      <c r="L143" s="104"/>
      <c r="M143" s="75"/>
      <c r="N143" s="75">
        <v>100</v>
      </c>
      <c r="O143" s="75">
        <v>50</v>
      </c>
      <c r="P143" s="75">
        <v>83</v>
      </c>
      <c r="Q143" s="97"/>
      <c r="R143" s="163"/>
      <c r="S143" s="109"/>
      <c r="T143" s="109"/>
      <c r="U143" s="100">
        <v>83</v>
      </c>
      <c r="V143" s="110">
        <v>80</v>
      </c>
      <c r="W143" s="110">
        <v>100</v>
      </c>
      <c r="X143" s="100"/>
      <c r="Y143" s="100">
        <v>100</v>
      </c>
      <c r="Z143" s="100">
        <v>80</v>
      </c>
      <c r="AA143" s="110">
        <v>86</v>
      </c>
      <c r="AB143" s="110">
        <v>100</v>
      </c>
      <c r="AC143" s="100">
        <v>67</v>
      </c>
      <c r="AD143" s="108"/>
      <c r="AE143" s="109"/>
      <c r="AF143" s="109"/>
      <c r="AG143" s="109"/>
      <c r="AH143" s="109"/>
      <c r="AI143" s="109"/>
      <c r="AJ143" s="108"/>
      <c r="AK143" s="100"/>
      <c r="AL143" s="142"/>
      <c r="AM143" s="142"/>
      <c r="AN143" s="100"/>
      <c r="AO143" s="100"/>
      <c r="AP143" s="142"/>
      <c r="AQ143" s="100"/>
      <c r="AR143" s="100"/>
      <c r="AS143" s="142"/>
      <c r="AT143" s="100"/>
      <c r="AU143" s="100"/>
      <c r="AV143" s="100"/>
    </row>
    <row r="144" spans="1:48" ht="16.3">
      <c r="A144" s="87" t="s">
        <v>3</v>
      </c>
      <c r="B144" s="260">
        <f>SUM(L144+M144+N144+O144+P144+U144+X144+Y144+Z144+AC144+AK144+AL144+AK144+AO144+AR144+AS144+AU144+AV144+AW144+AX144)+3</f>
        <v>4</v>
      </c>
      <c r="C144" s="214">
        <f t="shared" si="22"/>
        <v>4</v>
      </c>
      <c r="D144" s="133"/>
      <c r="E144" s="134"/>
      <c r="F144" s="135"/>
      <c r="G144" s="136"/>
      <c r="H144" s="683"/>
      <c r="I144" s="676"/>
      <c r="J144" s="534"/>
      <c r="K144" s="96"/>
      <c r="L144" s="104"/>
      <c r="M144" s="75"/>
      <c r="N144" s="75"/>
      <c r="O144" s="75"/>
      <c r="P144" s="75"/>
      <c r="Q144" s="97"/>
      <c r="R144" s="163"/>
      <c r="S144" s="109"/>
      <c r="T144" s="109"/>
      <c r="U144" s="100"/>
      <c r="V144" s="110"/>
      <c r="W144" s="110"/>
      <c r="X144" s="100"/>
      <c r="Y144" s="100"/>
      <c r="Z144" s="100"/>
      <c r="AA144" s="110"/>
      <c r="AB144" s="110"/>
      <c r="AC144" s="100">
        <v>1</v>
      </c>
      <c r="AD144" s="108"/>
      <c r="AE144" s="109"/>
      <c r="AF144" s="109"/>
      <c r="AG144" s="109"/>
      <c r="AH144" s="109"/>
      <c r="AI144" s="109"/>
      <c r="AJ144" s="108"/>
      <c r="AK144" s="100"/>
      <c r="AL144" s="142"/>
      <c r="AM144" s="142"/>
      <c r="AN144" s="100"/>
      <c r="AO144" s="100"/>
      <c r="AP144" s="142"/>
      <c r="AQ144" s="100"/>
      <c r="AR144" s="100"/>
      <c r="AS144" s="142"/>
      <c r="AT144" s="100"/>
      <c r="AU144" s="100"/>
      <c r="AV144" s="100"/>
    </row>
    <row r="145" spans="1:48" ht="17" thickBot="1">
      <c r="A145" s="88" t="s">
        <v>4</v>
      </c>
      <c r="B145" s="262">
        <f>SUM(L145+M145+N145+O145+P145+U145+X145+Y145+Z145+AC145+AK145+AL145+AK145+AO145+AR145+AS145+AU145+AV145+AW145+AX145)+338</f>
        <v>406</v>
      </c>
      <c r="C145" s="217">
        <f t="shared" si="22"/>
        <v>406</v>
      </c>
      <c r="D145" s="144"/>
      <c r="E145" s="145"/>
      <c r="F145" s="146"/>
      <c r="G145" s="147"/>
      <c r="H145" s="684"/>
      <c r="I145" s="677"/>
      <c r="J145" s="535"/>
      <c r="K145" s="114"/>
      <c r="L145" s="113"/>
      <c r="M145" s="112"/>
      <c r="N145" s="112">
        <v>13</v>
      </c>
      <c r="O145" s="112">
        <v>5</v>
      </c>
      <c r="P145" s="112">
        <v>10</v>
      </c>
      <c r="Q145" s="115"/>
      <c r="R145" s="164"/>
      <c r="S145" s="118"/>
      <c r="T145" s="114"/>
      <c r="U145" s="112">
        <v>11</v>
      </c>
      <c r="V145" s="110">
        <v>8</v>
      </c>
      <c r="W145" s="120">
        <v>14</v>
      </c>
      <c r="X145" s="116"/>
      <c r="Y145" s="116">
        <v>6</v>
      </c>
      <c r="Z145" s="116">
        <v>8</v>
      </c>
      <c r="AA145" s="119">
        <v>13</v>
      </c>
      <c r="AB145" s="110">
        <v>16</v>
      </c>
      <c r="AC145" s="100">
        <v>15</v>
      </c>
      <c r="AD145" s="108"/>
      <c r="AE145" s="109"/>
      <c r="AF145" s="109"/>
      <c r="AG145" s="109"/>
      <c r="AH145" s="118"/>
      <c r="AI145" s="118"/>
      <c r="AJ145" s="117"/>
      <c r="AK145" s="116"/>
      <c r="AL145" s="149"/>
      <c r="AM145" s="149"/>
      <c r="AN145" s="116"/>
      <c r="AO145" s="116"/>
      <c r="AP145" s="149"/>
      <c r="AQ145" s="116"/>
      <c r="AR145" s="116"/>
      <c r="AS145" s="149"/>
      <c r="AT145" s="116"/>
      <c r="AU145" s="116"/>
      <c r="AV145" s="116"/>
    </row>
    <row r="146" spans="1:48" ht="21.1">
      <c r="A146" s="82" t="s">
        <v>157</v>
      </c>
      <c r="B146" s="260"/>
      <c r="C146" s="214"/>
      <c r="D146" s="133"/>
      <c r="E146" s="134"/>
      <c r="F146" s="135"/>
      <c r="G146" s="136"/>
      <c r="H146" s="683"/>
      <c r="I146" s="676"/>
      <c r="J146" s="534"/>
      <c r="K146" s="96" t="s">
        <v>339</v>
      </c>
      <c r="L146" s="104" t="s">
        <v>339</v>
      </c>
      <c r="M146" s="75" t="s">
        <v>339</v>
      </c>
      <c r="N146" s="75" t="s">
        <v>339</v>
      </c>
      <c r="O146" s="75" t="s">
        <v>339</v>
      </c>
      <c r="P146" s="75" t="s">
        <v>339</v>
      </c>
      <c r="Q146" s="97" t="s">
        <v>339</v>
      </c>
      <c r="R146" s="163"/>
      <c r="S146" s="109" t="s">
        <v>339</v>
      </c>
      <c r="T146" s="109" t="s">
        <v>339</v>
      </c>
      <c r="U146" s="100" t="s">
        <v>339</v>
      </c>
      <c r="V146" s="101" t="s">
        <v>339</v>
      </c>
      <c r="W146" s="101" t="s">
        <v>339</v>
      </c>
      <c r="X146" s="102" t="s">
        <v>339</v>
      </c>
      <c r="Y146" s="102" t="s">
        <v>339</v>
      </c>
      <c r="Z146" s="102" t="s">
        <v>339</v>
      </c>
      <c r="AA146" s="101" t="s">
        <v>339</v>
      </c>
      <c r="AB146" s="101" t="s">
        <v>339</v>
      </c>
      <c r="AC146" s="102" t="s">
        <v>339</v>
      </c>
      <c r="AD146" s="98"/>
      <c r="AE146" s="99" t="s">
        <v>339</v>
      </c>
      <c r="AF146" s="99" t="s">
        <v>339</v>
      </c>
      <c r="AG146" s="99" t="s">
        <v>339</v>
      </c>
      <c r="AH146" s="109" t="s">
        <v>339</v>
      </c>
      <c r="AI146" s="109" t="s">
        <v>339</v>
      </c>
      <c r="AJ146" s="98"/>
      <c r="AK146" s="102"/>
      <c r="AL146" s="138"/>
      <c r="AM146" s="138"/>
      <c r="AN146" s="102"/>
      <c r="AO146" s="102"/>
      <c r="AP146" s="138"/>
      <c r="AQ146" s="102"/>
      <c r="AR146" s="102"/>
      <c r="AS146" s="138"/>
      <c r="AT146" s="102"/>
      <c r="AU146" s="102"/>
      <c r="AV146" s="102"/>
    </row>
    <row r="147" spans="1:48" ht="16.3">
      <c r="A147" s="246" t="s">
        <v>1</v>
      </c>
      <c r="B147" s="261">
        <f>SUM(L147+M147+N147+O147+P147+U147+X147+Y147+Z147+AC147+AK147+AL147+AK147+AO147+AR147+AS147+AU147+AV147+AW147+AX147+AP147)+2</f>
        <v>2</v>
      </c>
      <c r="C147" s="215">
        <f>B147</f>
        <v>2</v>
      </c>
      <c r="D147" s="139"/>
      <c r="E147" s="140"/>
      <c r="F147" s="135"/>
      <c r="G147" s="136"/>
      <c r="H147" s="683"/>
      <c r="I147" s="676"/>
      <c r="J147" s="534"/>
      <c r="K147" s="96"/>
      <c r="L147" s="104"/>
      <c r="M147" s="75"/>
      <c r="N147" s="75"/>
      <c r="O147" s="75"/>
      <c r="P147" s="75"/>
      <c r="Q147" s="97"/>
      <c r="R147" s="163"/>
      <c r="S147" s="109"/>
      <c r="T147" s="109"/>
      <c r="U147" s="100"/>
      <c r="V147" s="110"/>
      <c r="W147" s="110"/>
      <c r="X147" s="100"/>
      <c r="Y147" s="100"/>
      <c r="Z147" s="100"/>
      <c r="AA147" s="110"/>
      <c r="AB147" s="110"/>
      <c r="AC147" s="100"/>
      <c r="AD147" s="108"/>
      <c r="AE147" s="109"/>
      <c r="AF147" s="109"/>
      <c r="AG147" s="109"/>
      <c r="AH147" s="109"/>
      <c r="AI147" s="109"/>
      <c r="AJ147" s="108"/>
      <c r="AK147" s="100"/>
      <c r="AL147" s="142"/>
      <c r="AM147" s="142"/>
      <c r="AN147" s="100"/>
      <c r="AO147" s="100"/>
      <c r="AP147" s="142"/>
      <c r="AQ147" s="100"/>
      <c r="AR147" s="100"/>
      <c r="AS147" s="142"/>
      <c r="AT147" s="100"/>
      <c r="AU147" s="100"/>
      <c r="AV147" s="100"/>
    </row>
    <row r="148" spans="1:48" ht="16.3">
      <c r="A148" s="246" t="s">
        <v>2</v>
      </c>
      <c r="B148" s="261">
        <f>SUM(L148+M148+N148+O148+P148+U148+X148+Y148+Z148+AC148+AK148+AL148+AK148+AO148+AR148+AS148+AU148+AV148+AW148+AX148)+3</f>
        <v>3</v>
      </c>
      <c r="C148" s="215">
        <f t="shared" ref="C148:C152" si="23">B148</f>
        <v>3</v>
      </c>
      <c r="D148" s="139"/>
      <c r="E148" s="140"/>
      <c r="F148" s="135"/>
      <c r="G148" s="136"/>
      <c r="H148" s="683"/>
      <c r="I148" s="676"/>
      <c r="J148" s="534"/>
      <c r="K148" s="96"/>
      <c r="L148" s="104"/>
      <c r="M148" s="75"/>
      <c r="N148" s="75"/>
      <c r="O148" s="75"/>
      <c r="P148" s="75"/>
      <c r="Q148" s="97"/>
      <c r="R148" s="163"/>
      <c r="S148" s="109"/>
      <c r="T148" s="109"/>
      <c r="U148" s="100"/>
      <c r="V148" s="110"/>
      <c r="W148" s="110"/>
      <c r="X148" s="100"/>
      <c r="Y148" s="100"/>
      <c r="Z148" s="100"/>
      <c r="AA148" s="110"/>
      <c r="AB148" s="110"/>
      <c r="AC148" s="100"/>
      <c r="AD148" s="108"/>
      <c r="AE148" s="109"/>
      <c r="AF148" s="109"/>
      <c r="AG148" s="109"/>
      <c r="AH148" s="109"/>
      <c r="AI148" s="109"/>
      <c r="AJ148" s="108"/>
      <c r="AK148" s="100"/>
      <c r="AL148" s="142"/>
      <c r="AM148" s="142"/>
      <c r="AN148" s="100"/>
      <c r="AO148" s="100"/>
      <c r="AP148" s="142"/>
      <c r="AQ148" s="100"/>
      <c r="AR148" s="100"/>
      <c r="AS148" s="142"/>
      <c r="AT148" s="100"/>
      <c r="AU148" s="100"/>
      <c r="AV148" s="100"/>
    </row>
    <row r="149" spans="1:48" ht="16.3">
      <c r="A149" s="87" t="s">
        <v>363</v>
      </c>
      <c r="B149" s="260">
        <f>SUM(B147+B148)</f>
        <v>5</v>
      </c>
      <c r="C149" s="214">
        <f t="shared" si="23"/>
        <v>5</v>
      </c>
      <c r="D149" s="133"/>
      <c r="E149" s="134"/>
      <c r="F149" s="135"/>
      <c r="G149" s="136"/>
      <c r="H149" s="683"/>
      <c r="I149" s="676"/>
      <c r="J149" s="534"/>
      <c r="K149" s="96"/>
      <c r="L149" s="104"/>
      <c r="M149" s="75"/>
      <c r="N149" s="75"/>
      <c r="O149" s="75"/>
      <c r="P149" s="75"/>
      <c r="Q149" s="97"/>
      <c r="R149" s="163"/>
      <c r="S149" s="109"/>
      <c r="T149" s="109"/>
      <c r="U149" s="100"/>
      <c r="V149" s="110"/>
      <c r="W149" s="110"/>
      <c r="X149" s="100"/>
      <c r="Y149" s="100"/>
      <c r="Z149" s="100"/>
      <c r="AA149" s="110"/>
      <c r="AB149" s="110"/>
      <c r="AC149" s="100"/>
      <c r="AD149" s="108"/>
      <c r="AE149" s="109"/>
      <c r="AF149" s="109"/>
      <c r="AG149" s="109"/>
      <c r="AH149" s="109"/>
      <c r="AI149" s="109"/>
      <c r="AJ149" s="108"/>
      <c r="AK149" s="100"/>
      <c r="AL149" s="142"/>
      <c r="AM149" s="142"/>
      <c r="AN149" s="100"/>
      <c r="AO149" s="100"/>
      <c r="AP149" s="142"/>
      <c r="AQ149" s="100"/>
      <c r="AR149" s="100"/>
      <c r="AS149" s="142"/>
      <c r="AT149" s="100"/>
      <c r="AU149" s="100"/>
      <c r="AV149" s="100"/>
    </row>
    <row r="150" spans="1:48" ht="16.3">
      <c r="A150" s="246" t="s">
        <v>5</v>
      </c>
      <c r="B150" s="261">
        <f>SUM(L150+M150+N150+O150+P150+U150+X150+Y150+Z150+AC150+AK150+AL150+AK150+AO150+AR150+AS150+AU150+AV150+AW150+AX150)+1</f>
        <v>1</v>
      </c>
      <c r="C150" s="215">
        <f t="shared" si="23"/>
        <v>1</v>
      </c>
      <c r="D150" s="139"/>
      <c r="E150" s="140"/>
      <c r="F150" s="135"/>
      <c r="G150" s="136"/>
      <c r="H150" s="683"/>
      <c r="I150" s="676"/>
      <c r="J150" s="534"/>
      <c r="K150" s="96"/>
      <c r="L150" s="104"/>
      <c r="M150" s="75"/>
      <c r="N150" s="75"/>
      <c r="O150" s="75"/>
      <c r="P150" s="75"/>
      <c r="Q150" s="97"/>
      <c r="R150" s="163"/>
      <c r="S150" s="109"/>
      <c r="T150" s="109"/>
      <c r="U150" s="100"/>
      <c r="V150" s="110"/>
      <c r="W150" s="110"/>
      <c r="X150" s="100"/>
      <c r="Y150" s="100"/>
      <c r="Z150" s="100"/>
      <c r="AA150" s="110"/>
      <c r="AB150" s="110"/>
      <c r="AC150" s="100"/>
      <c r="AD150" s="108"/>
      <c r="AE150" s="109"/>
      <c r="AF150" s="109"/>
      <c r="AG150" s="109"/>
      <c r="AH150" s="109"/>
      <c r="AI150" s="109"/>
      <c r="AJ150" s="108"/>
      <c r="AK150" s="100"/>
      <c r="AL150" s="142"/>
      <c r="AM150" s="142"/>
      <c r="AN150" s="100"/>
      <c r="AO150" s="100"/>
      <c r="AP150" s="142"/>
      <c r="AQ150" s="100"/>
      <c r="AR150" s="100"/>
      <c r="AS150" s="142"/>
      <c r="AT150" s="100"/>
      <c r="AU150" s="100"/>
      <c r="AV150" s="100"/>
    </row>
    <row r="151" spans="1:48" ht="16.3">
      <c r="A151" s="246" t="s">
        <v>6</v>
      </c>
      <c r="B151" s="261">
        <f>SUM(L151+M151+N151+O151+P151+U151+X151+Y151+Z151+AC151+AK151+AL151+AK151+AO151+AR151+AS151+AU151+AV151+AW151+AX151)+2</f>
        <v>2</v>
      </c>
      <c r="C151" s="215">
        <f t="shared" si="23"/>
        <v>2</v>
      </c>
      <c r="D151" s="139"/>
      <c r="E151" s="140"/>
      <c r="F151" s="135"/>
      <c r="G151" s="136"/>
      <c r="H151" s="683"/>
      <c r="I151" s="676"/>
      <c r="J151" s="534"/>
      <c r="K151" s="96"/>
      <c r="L151" s="104"/>
      <c r="M151" s="75"/>
      <c r="N151" s="75"/>
      <c r="O151" s="75"/>
      <c r="P151" s="75"/>
      <c r="Q151" s="97"/>
      <c r="R151" s="163"/>
      <c r="S151" s="109"/>
      <c r="T151" s="109"/>
      <c r="U151" s="100"/>
      <c r="V151" s="110"/>
      <c r="W151" s="110"/>
      <c r="X151" s="100"/>
      <c r="Y151" s="100"/>
      <c r="Z151" s="100"/>
      <c r="AA151" s="110"/>
      <c r="AB151" s="110"/>
      <c r="AC151" s="100"/>
      <c r="AD151" s="108"/>
      <c r="AE151" s="109"/>
      <c r="AF151" s="109"/>
      <c r="AG151" s="109"/>
      <c r="AH151" s="109"/>
      <c r="AI151" s="109"/>
      <c r="AJ151" s="108"/>
      <c r="AK151" s="100"/>
      <c r="AL151" s="142"/>
      <c r="AM151" s="142"/>
      <c r="AN151" s="100"/>
      <c r="AO151" s="100"/>
      <c r="AP151" s="142"/>
      <c r="AQ151" s="100"/>
      <c r="AR151" s="100"/>
      <c r="AS151" s="142"/>
      <c r="AT151" s="100"/>
      <c r="AU151" s="100"/>
      <c r="AV151" s="100"/>
    </row>
    <row r="152" spans="1:48" ht="16.3">
      <c r="A152" s="246" t="s">
        <v>368</v>
      </c>
      <c r="B152" s="261">
        <f>SUM(B150/B151)*100</f>
        <v>50</v>
      </c>
      <c r="C152" s="215">
        <f t="shared" si="23"/>
        <v>50</v>
      </c>
      <c r="D152" s="139"/>
      <c r="E152" s="140"/>
      <c r="F152" s="135"/>
      <c r="G152" s="136"/>
      <c r="H152" s="683"/>
      <c r="I152" s="676"/>
      <c r="J152" s="534"/>
      <c r="K152" s="96"/>
      <c r="L152" s="104"/>
      <c r="M152" s="75"/>
      <c r="N152" s="75"/>
      <c r="O152" s="75"/>
      <c r="P152" s="75"/>
      <c r="Q152" s="97"/>
      <c r="R152" s="163"/>
      <c r="S152" s="109"/>
      <c r="T152" s="109"/>
      <c r="U152" s="100"/>
      <c r="V152" s="110"/>
      <c r="W152" s="110"/>
      <c r="X152" s="100"/>
      <c r="Y152" s="100"/>
      <c r="Z152" s="100"/>
      <c r="AA152" s="110"/>
      <c r="AB152" s="110"/>
      <c r="AC152" s="100"/>
      <c r="AD152" s="108"/>
      <c r="AE152" s="109"/>
      <c r="AF152" s="109"/>
      <c r="AG152" s="109"/>
      <c r="AH152" s="109"/>
      <c r="AI152" s="109"/>
      <c r="AJ152" s="108"/>
      <c r="AK152" s="100"/>
      <c r="AL152" s="142"/>
      <c r="AM152" s="142"/>
      <c r="AN152" s="100"/>
      <c r="AO152" s="100"/>
      <c r="AP152" s="142"/>
      <c r="AQ152" s="100"/>
      <c r="AR152" s="100"/>
      <c r="AS152" s="142"/>
      <c r="AT152" s="100"/>
      <c r="AU152" s="100"/>
      <c r="AV152" s="100"/>
    </row>
    <row r="153" spans="1:48" ht="16.3">
      <c r="A153" s="87" t="s">
        <v>3</v>
      </c>
      <c r="B153" s="260">
        <f>SUM(L153+M153+N153+O153+P153+U153+X153+Y153+Z153+AC153+AK153+AL153+AK153+AO153+AR153+AS153+AU153+AV153+AW153+AX153)+1</f>
        <v>1</v>
      </c>
      <c r="C153" s="214">
        <f t="shared" ref="C153:C154" si="24">B153</f>
        <v>1</v>
      </c>
      <c r="D153" s="133"/>
      <c r="E153" s="134"/>
      <c r="F153" s="135"/>
      <c r="G153" s="136"/>
      <c r="H153" s="683"/>
      <c r="I153" s="676"/>
      <c r="J153" s="534"/>
      <c r="K153" s="96"/>
      <c r="L153" s="104"/>
      <c r="M153" s="75"/>
      <c r="N153" s="75"/>
      <c r="O153" s="75"/>
      <c r="P153" s="75"/>
      <c r="Q153" s="97"/>
      <c r="R153" s="163"/>
      <c r="S153" s="109"/>
      <c r="T153" s="109"/>
      <c r="U153" s="100"/>
      <c r="V153" s="110"/>
      <c r="W153" s="110"/>
      <c r="X153" s="100"/>
      <c r="Y153" s="100"/>
      <c r="Z153" s="100"/>
      <c r="AA153" s="110"/>
      <c r="AB153" s="110"/>
      <c r="AC153" s="100"/>
      <c r="AD153" s="108"/>
      <c r="AE153" s="109"/>
      <c r="AF153" s="109"/>
      <c r="AG153" s="109"/>
      <c r="AH153" s="109"/>
      <c r="AI153" s="109"/>
      <c r="AJ153" s="108"/>
      <c r="AK153" s="100"/>
      <c r="AL153" s="142"/>
      <c r="AM153" s="142"/>
      <c r="AN153" s="100"/>
      <c r="AO153" s="100"/>
      <c r="AP153" s="142"/>
      <c r="AQ153" s="100"/>
      <c r="AR153" s="100"/>
      <c r="AS153" s="142"/>
      <c r="AT153" s="100"/>
      <c r="AU153" s="100"/>
      <c r="AV153" s="100"/>
    </row>
    <row r="154" spans="1:48" ht="17" thickBot="1">
      <c r="A154" s="88" t="s">
        <v>4</v>
      </c>
      <c r="B154" s="262">
        <f>SUM(L154+M154+N154+O154+P154+U154+X154+Y154+Z154+AC154+AK154+AL154+AK154+AO154+AR154+AS154+AU154+AV154+AW154+AX154)+7</f>
        <v>7</v>
      </c>
      <c r="C154" s="217">
        <f t="shared" si="24"/>
        <v>7</v>
      </c>
      <c r="D154" s="144"/>
      <c r="E154" s="145"/>
      <c r="F154" s="146"/>
      <c r="G154" s="147"/>
      <c r="H154" s="684"/>
      <c r="I154" s="677"/>
      <c r="J154" s="535"/>
      <c r="K154" s="114"/>
      <c r="L154" s="113"/>
      <c r="M154" s="112"/>
      <c r="N154" s="112"/>
      <c r="O154" s="112"/>
      <c r="P154" s="112"/>
      <c r="Q154" s="115"/>
      <c r="R154" s="164"/>
      <c r="S154" s="118"/>
      <c r="T154" s="114"/>
      <c r="U154" s="116"/>
      <c r="V154" s="120"/>
      <c r="W154" s="120"/>
      <c r="X154" s="116"/>
      <c r="Y154" s="116"/>
      <c r="Z154" s="116"/>
      <c r="AA154" s="120"/>
      <c r="AB154" s="120"/>
      <c r="AC154" s="116"/>
      <c r="AD154" s="117"/>
      <c r="AE154" s="118"/>
      <c r="AF154" s="118"/>
      <c r="AG154" s="118"/>
      <c r="AH154" s="118"/>
      <c r="AI154" s="118"/>
      <c r="AJ154" s="117"/>
      <c r="AK154" s="116"/>
      <c r="AL154" s="149"/>
      <c r="AM154" s="149"/>
      <c r="AN154" s="116"/>
      <c r="AO154" s="116"/>
      <c r="AP154" s="149"/>
      <c r="AQ154" s="116"/>
      <c r="AR154" s="116"/>
      <c r="AS154" s="149"/>
      <c r="AT154" s="116"/>
      <c r="AU154" s="116"/>
      <c r="AV154" s="116"/>
    </row>
    <row r="155" spans="1:48" ht="21.1">
      <c r="A155" s="82" t="s">
        <v>200</v>
      </c>
      <c r="B155" s="260"/>
      <c r="C155" s="214"/>
      <c r="D155" s="133"/>
      <c r="E155" s="134"/>
      <c r="F155" s="135"/>
      <c r="G155" s="136"/>
      <c r="H155" s="683"/>
      <c r="I155" s="676"/>
      <c r="J155" s="534"/>
      <c r="K155" s="96" t="s">
        <v>339</v>
      </c>
      <c r="L155" s="104" t="s">
        <v>339</v>
      </c>
      <c r="M155" s="75" t="s">
        <v>339</v>
      </c>
      <c r="N155" s="75" t="s">
        <v>339</v>
      </c>
      <c r="O155" s="75" t="s">
        <v>339</v>
      </c>
      <c r="P155" s="75" t="s">
        <v>339</v>
      </c>
      <c r="Q155" s="97" t="s">
        <v>339</v>
      </c>
      <c r="R155" s="163"/>
      <c r="S155" s="109" t="s">
        <v>339</v>
      </c>
      <c r="T155" s="109" t="s">
        <v>339</v>
      </c>
      <c r="U155" s="100" t="s">
        <v>339</v>
      </c>
      <c r="V155" s="110" t="s">
        <v>339</v>
      </c>
      <c r="W155" s="110" t="s">
        <v>339</v>
      </c>
      <c r="X155" s="100" t="s">
        <v>339</v>
      </c>
      <c r="Y155" s="100" t="s">
        <v>339</v>
      </c>
      <c r="Z155" s="100" t="s">
        <v>339</v>
      </c>
      <c r="AA155" s="110" t="s">
        <v>339</v>
      </c>
      <c r="AB155" s="110" t="s">
        <v>339</v>
      </c>
      <c r="AC155" s="100" t="s">
        <v>339</v>
      </c>
      <c r="AD155" s="108"/>
      <c r="AE155" s="109" t="s">
        <v>339</v>
      </c>
      <c r="AF155" s="109" t="s">
        <v>339</v>
      </c>
      <c r="AG155" s="109" t="s">
        <v>339</v>
      </c>
      <c r="AH155" s="109" t="s">
        <v>339</v>
      </c>
      <c r="AI155" s="109" t="s">
        <v>339</v>
      </c>
      <c r="AJ155" s="108"/>
      <c r="AK155" s="100"/>
      <c r="AL155" s="142"/>
      <c r="AM155" s="142"/>
      <c r="AN155" s="100"/>
      <c r="AO155" s="100"/>
      <c r="AP155" s="142"/>
      <c r="AQ155" s="100"/>
      <c r="AR155" s="100"/>
      <c r="AS155" s="142"/>
      <c r="AT155" s="100"/>
      <c r="AU155" s="100"/>
      <c r="AV155" s="100"/>
    </row>
    <row r="156" spans="1:48" ht="16.3">
      <c r="A156" s="246" t="s">
        <v>1</v>
      </c>
      <c r="B156" s="261">
        <f>SUM(L156+M156+N156+O156+P156+U156+X156+Y156+Z156+AC156+AK156+AL156+AK156+AO156+AR156+AS156+AU156+AV156+AW156+AX156+AP156)+3</f>
        <v>3</v>
      </c>
      <c r="C156" s="215">
        <f>B156</f>
        <v>3</v>
      </c>
      <c r="D156" s="139"/>
      <c r="E156" s="140"/>
      <c r="F156" s="135"/>
      <c r="G156" s="136"/>
      <c r="H156" s="683"/>
      <c r="I156" s="676"/>
      <c r="J156" s="534"/>
      <c r="K156" s="96"/>
      <c r="L156" s="104"/>
      <c r="M156" s="75"/>
      <c r="N156" s="75"/>
      <c r="O156" s="75"/>
      <c r="P156" s="75"/>
      <c r="Q156" s="97"/>
      <c r="R156" s="163"/>
      <c r="S156" s="109"/>
      <c r="T156" s="109"/>
      <c r="U156" s="100"/>
      <c r="V156" s="110"/>
      <c r="W156" s="110"/>
      <c r="X156" s="100"/>
      <c r="Y156" s="100"/>
      <c r="Z156" s="100"/>
      <c r="AA156" s="110"/>
      <c r="AB156" s="110"/>
      <c r="AC156" s="100"/>
      <c r="AD156" s="108"/>
      <c r="AE156" s="109"/>
      <c r="AF156" s="109"/>
      <c r="AG156" s="109"/>
      <c r="AH156" s="109"/>
      <c r="AI156" s="109"/>
      <c r="AJ156" s="108"/>
      <c r="AK156" s="100"/>
      <c r="AL156" s="142"/>
      <c r="AM156" s="142"/>
      <c r="AN156" s="100"/>
      <c r="AO156" s="100"/>
      <c r="AP156" s="142"/>
      <c r="AQ156" s="100"/>
      <c r="AR156" s="100"/>
      <c r="AS156" s="142"/>
      <c r="AT156" s="100"/>
      <c r="AU156" s="100"/>
      <c r="AV156" s="100"/>
    </row>
    <row r="157" spans="1:48" ht="16.3">
      <c r="A157" s="246" t="s">
        <v>2</v>
      </c>
      <c r="B157" s="261">
        <f>SUM(L157+M157+N157+O157+P157+U157+X157+Y157+Z157+AC157+AK157+AL157+AK157+AO157+AR157+AS157+AU157+AV157+AW157+AX157)+1</f>
        <v>1</v>
      </c>
      <c r="C157" s="215">
        <f t="shared" ref="C157:C161" si="25">B157</f>
        <v>1</v>
      </c>
      <c r="D157" s="139"/>
      <c r="E157" s="140"/>
      <c r="F157" s="135"/>
      <c r="G157" s="136"/>
      <c r="H157" s="683"/>
      <c r="I157" s="676"/>
      <c r="J157" s="534"/>
      <c r="K157" s="96"/>
      <c r="L157" s="104"/>
      <c r="M157" s="75"/>
      <c r="N157" s="75"/>
      <c r="O157" s="75"/>
      <c r="P157" s="75"/>
      <c r="Q157" s="97"/>
      <c r="R157" s="163"/>
      <c r="S157" s="109"/>
      <c r="T157" s="109"/>
      <c r="U157" s="100"/>
      <c r="V157" s="110"/>
      <c r="W157" s="110"/>
      <c r="X157" s="100"/>
      <c r="Y157" s="100"/>
      <c r="Z157" s="100"/>
      <c r="AA157" s="110"/>
      <c r="AB157" s="110"/>
      <c r="AC157" s="100"/>
      <c r="AD157" s="108"/>
      <c r="AE157" s="109"/>
      <c r="AF157" s="109"/>
      <c r="AG157" s="109"/>
      <c r="AH157" s="109"/>
      <c r="AI157" s="109"/>
      <c r="AJ157" s="108"/>
      <c r="AK157" s="100"/>
      <c r="AL157" s="142"/>
      <c r="AM157" s="142"/>
      <c r="AN157" s="100"/>
      <c r="AO157" s="100"/>
      <c r="AP157" s="142"/>
      <c r="AQ157" s="100"/>
      <c r="AR157" s="100"/>
      <c r="AS157" s="142"/>
      <c r="AT157" s="100"/>
      <c r="AU157" s="100"/>
      <c r="AV157" s="100"/>
    </row>
    <row r="158" spans="1:48" ht="16.3">
      <c r="A158" s="87" t="s">
        <v>363</v>
      </c>
      <c r="B158" s="260">
        <f>SUM(B156+B157)</f>
        <v>4</v>
      </c>
      <c r="C158" s="214">
        <f t="shared" si="25"/>
        <v>4</v>
      </c>
      <c r="D158" s="139"/>
      <c r="E158" s="140"/>
      <c r="F158" s="135"/>
      <c r="G158" s="136"/>
      <c r="H158" s="683"/>
      <c r="I158" s="676"/>
      <c r="J158" s="534"/>
      <c r="K158" s="96"/>
      <c r="L158" s="104"/>
      <c r="M158" s="75"/>
      <c r="N158" s="75"/>
      <c r="O158" s="75"/>
      <c r="P158" s="75"/>
      <c r="Q158" s="97"/>
      <c r="R158" s="163"/>
      <c r="S158" s="109"/>
      <c r="T158" s="109"/>
      <c r="U158" s="100"/>
      <c r="V158" s="110"/>
      <c r="W158" s="110"/>
      <c r="X158" s="100"/>
      <c r="Y158" s="100"/>
      <c r="Z158" s="100"/>
      <c r="AA158" s="110"/>
      <c r="AB158" s="110"/>
      <c r="AC158" s="100"/>
      <c r="AD158" s="108"/>
      <c r="AE158" s="109"/>
      <c r="AF158" s="109"/>
      <c r="AG158" s="109"/>
      <c r="AH158" s="109"/>
      <c r="AI158" s="109"/>
      <c r="AJ158" s="108"/>
      <c r="AK158" s="100"/>
      <c r="AL158" s="142"/>
      <c r="AM158" s="142"/>
      <c r="AN158" s="100"/>
      <c r="AO158" s="100"/>
      <c r="AP158" s="142"/>
      <c r="AQ158" s="100"/>
      <c r="AR158" s="100"/>
      <c r="AS158" s="142"/>
      <c r="AT158" s="100"/>
      <c r="AU158" s="100"/>
      <c r="AV158" s="100"/>
    </row>
    <row r="159" spans="1:48" ht="16.3">
      <c r="A159" s="246" t="s">
        <v>5</v>
      </c>
      <c r="B159" s="261">
        <f>SUM(L159+M159+N159+O159+P159+U159+X159+Y159+Z159+AC159+AK159+AL159+AK159+AO159+AR159+AS159+AU159+AV159+AW159+AX159)+7</f>
        <v>7</v>
      </c>
      <c r="C159" s="215">
        <f t="shared" si="25"/>
        <v>7</v>
      </c>
      <c r="D159" s="139"/>
      <c r="E159" s="140"/>
      <c r="F159" s="135"/>
      <c r="G159" s="136"/>
      <c r="H159" s="683"/>
      <c r="I159" s="676"/>
      <c r="J159" s="534"/>
      <c r="K159" s="96"/>
      <c r="L159" s="104"/>
      <c r="M159" s="75"/>
      <c r="N159" s="75"/>
      <c r="O159" s="75"/>
      <c r="P159" s="75"/>
      <c r="Q159" s="97"/>
      <c r="R159" s="163"/>
      <c r="S159" s="109"/>
      <c r="T159" s="109"/>
      <c r="U159" s="100"/>
      <c r="V159" s="110"/>
      <c r="W159" s="110"/>
      <c r="X159" s="100"/>
      <c r="Y159" s="100"/>
      <c r="Z159" s="100"/>
      <c r="AA159" s="110"/>
      <c r="AB159" s="110"/>
      <c r="AC159" s="100"/>
      <c r="AD159" s="108"/>
      <c r="AE159" s="109"/>
      <c r="AF159" s="109"/>
      <c r="AG159" s="109"/>
      <c r="AH159" s="109"/>
      <c r="AI159" s="109"/>
      <c r="AJ159" s="108"/>
      <c r="AK159" s="100"/>
      <c r="AL159" s="142"/>
      <c r="AM159" s="142"/>
      <c r="AN159" s="100"/>
      <c r="AO159" s="100"/>
      <c r="AP159" s="142"/>
      <c r="AQ159" s="100"/>
      <c r="AR159" s="100"/>
      <c r="AS159" s="142"/>
      <c r="AT159" s="100"/>
      <c r="AU159" s="100"/>
      <c r="AV159" s="100"/>
    </row>
    <row r="160" spans="1:48" ht="16.3">
      <c r="A160" s="246" t="s">
        <v>6</v>
      </c>
      <c r="B160" s="261">
        <f>SUM(L160+M160+N160+O160+P160+U160+X160+Y160+Z160+AC160+AK160+AL160+AK160+AO160+AR160+AS160+AU160+AV160+AW160+AX160)+7</f>
        <v>7</v>
      </c>
      <c r="C160" s="215">
        <f t="shared" si="25"/>
        <v>7</v>
      </c>
      <c r="D160" s="139"/>
      <c r="E160" s="140"/>
      <c r="F160" s="135"/>
      <c r="G160" s="136"/>
      <c r="H160" s="683"/>
      <c r="I160" s="676"/>
      <c r="J160" s="534"/>
      <c r="K160" s="96"/>
      <c r="L160" s="104"/>
      <c r="M160" s="75"/>
      <c r="N160" s="75"/>
      <c r="O160" s="75"/>
      <c r="P160" s="75"/>
      <c r="Q160" s="97"/>
      <c r="R160" s="163"/>
      <c r="S160" s="109"/>
      <c r="T160" s="109"/>
      <c r="U160" s="100"/>
      <c r="V160" s="110"/>
      <c r="W160" s="110"/>
      <c r="X160" s="100"/>
      <c r="Y160" s="100"/>
      <c r="Z160" s="100"/>
      <c r="AA160" s="110"/>
      <c r="AB160" s="110"/>
      <c r="AC160" s="100"/>
      <c r="AD160" s="108"/>
      <c r="AE160" s="109"/>
      <c r="AF160" s="109"/>
      <c r="AG160" s="109"/>
      <c r="AH160" s="109"/>
      <c r="AI160" s="109"/>
      <c r="AJ160" s="108"/>
      <c r="AK160" s="100"/>
      <c r="AL160" s="142"/>
      <c r="AM160" s="142"/>
      <c r="AN160" s="100"/>
      <c r="AO160" s="100"/>
      <c r="AP160" s="142"/>
      <c r="AQ160" s="100"/>
      <c r="AR160" s="100"/>
      <c r="AS160" s="142"/>
      <c r="AT160" s="100"/>
      <c r="AU160" s="100"/>
      <c r="AV160" s="100"/>
    </row>
    <row r="161" spans="1:48" ht="16.3">
      <c r="A161" s="246" t="s">
        <v>368</v>
      </c>
      <c r="B161" s="261">
        <f>SUM(B159/B160)*100</f>
        <v>100</v>
      </c>
      <c r="C161" s="215">
        <f t="shared" si="25"/>
        <v>100</v>
      </c>
      <c r="D161" s="139"/>
      <c r="E161" s="140"/>
      <c r="F161" s="135"/>
      <c r="G161" s="136"/>
      <c r="H161" s="683"/>
      <c r="I161" s="676"/>
      <c r="J161" s="534"/>
      <c r="K161" s="96"/>
      <c r="L161" s="104"/>
      <c r="M161" s="75"/>
      <c r="N161" s="75"/>
      <c r="O161" s="75"/>
      <c r="P161" s="75"/>
      <c r="Q161" s="97"/>
      <c r="R161" s="163"/>
      <c r="S161" s="109"/>
      <c r="T161" s="109"/>
      <c r="U161" s="100"/>
      <c r="V161" s="110"/>
      <c r="W161" s="110"/>
      <c r="X161" s="100"/>
      <c r="Y161" s="100"/>
      <c r="Z161" s="100"/>
      <c r="AA161" s="110"/>
      <c r="AB161" s="110"/>
      <c r="AC161" s="100"/>
      <c r="AD161" s="108"/>
      <c r="AE161" s="109"/>
      <c r="AF161" s="109"/>
      <c r="AG161" s="109"/>
      <c r="AH161" s="109"/>
      <c r="AI161" s="109"/>
      <c r="AJ161" s="108"/>
      <c r="AK161" s="100"/>
      <c r="AL161" s="142"/>
      <c r="AM161" s="142"/>
      <c r="AN161" s="100"/>
      <c r="AO161" s="100"/>
      <c r="AP161" s="142"/>
      <c r="AQ161" s="100"/>
      <c r="AR161" s="100"/>
      <c r="AS161" s="142"/>
      <c r="AT161" s="100"/>
      <c r="AU161" s="100"/>
      <c r="AV161" s="100"/>
    </row>
    <row r="162" spans="1:48" ht="16.3">
      <c r="A162" s="87" t="s">
        <v>3</v>
      </c>
      <c r="B162" s="260">
        <f>SUM(L162+M162+N162+O162+P162+U162+X162+Y162+Z162+AC162+AK162+AL162+AK162+AO162+AR162+AS162+AU162+AV162+AW162+AX162)+2</f>
        <v>2</v>
      </c>
      <c r="C162" s="214">
        <f t="shared" ref="C162:C163" si="26">B162</f>
        <v>2</v>
      </c>
      <c r="D162" s="133"/>
      <c r="E162" s="134"/>
      <c r="F162" s="135"/>
      <c r="G162" s="136"/>
      <c r="H162" s="683"/>
      <c r="I162" s="676"/>
      <c r="J162" s="534"/>
      <c r="K162" s="96"/>
      <c r="L162" s="104"/>
      <c r="M162" s="75"/>
      <c r="N162" s="75"/>
      <c r="O162" s="75"/>
      <c r="P162" s="75"/>
      <c r="Q162" s="97"/>
      <c r="R162" s="163"/>
      <c r="S162" s="109"/>
      <c r="T162" s="109"/>
      <c r="U162" s="100"/>
      <c r="V162" s="110"/>
      <c r="W162" s="110"/>
      <c r="X162" s="100"/>
      <c r="Y162" s="100"/>
      <c r="Z162" s="100"/>
      <c r="AA162" s="110"/>
      <c r="AB162" s="110"/>
      <c r="AC162" s="100"/>
      <c r="AD162" s="108"/>
      <c r="AE162" s="109"/>
      <c r="AF162" s="109"/>
      <c r="AG162" s="109"/>
      <c r="AH162" s="109"/>
      <c r="AI162" s="109"/>
      <c r="AJ162" s="108"/>
      <c r="AK162" s="100"/>
      <c r="AL162" s="142"/>
      <c r="AM162" s="142"/>
      <c r="AN162" s="100"/>
      <c r="AO162" s="100"/>
      <c r="AP162" s="142"/>
      <c r="AQ162" s="100"/>
      <c r="AR162" s="100"/>
      <c r="AS162" s="142"/>
      <c r="AT162" s="100"/>
      <c r="AU162" s="100"/>
      <c r="AV162" s="100"/>
    </row>
    <row r="163" spans="1:48" ht="17" thickBot="1">
      <c r="A163" s="88" t="s">
        <v>4</v>
      </c>
      <c r="B163" s="262">
        <f>SUM(L163+M163+N163+O163+P163+U163+X163+Y163+Z163+AC163+AK163+AL163+AK163+AO163+AR163+AS163+AU163+AV163+AW163+AX163)+25</f>
        <v>25</v>
      </c>
      <c r="C163" s="217">
        <f t="shared" si="26"/>
        <v>25</v>
      </c>
      <c r="D163" s="144"/>
      <c r="E163" s="145"/>
      <c r="F163" s="146"/>
      <c r="G163" s="147"/>
      <c r="H163" s="684"/>
      <c r="I163" s="677"/>
      <c r="J163" s="535"/>
      <c r="K163" s="114"/>
      <c r="L163" s="113"/>
      <c r="M163" s="112"/>
      <c r="N163" s="112"/>
      <c r="O163" s="112"/>
      <c r="P163" s="112"/>
      <c r="Q163" s="115"/>
      <c r="R163" s="164"/>
      <c r="S163" s="118"/>
      <c r="T163" s="118"/>
      <c r="U163" s="116"/>
      <c r="V163" s="120"/>
      <c r="W163" s="120"/>
      <c r="X163" s="116"/>
      <c r="Y163" s="116"/>
      <c r="Z163" s="116"/>
      <c r="AA163" s="120"/>
      <c r="AB163" s="120"/>
      <c r="AC163" s="116"/>
      <c r="AD163" s="117"/>
      <c r="AE163" s="118"/>
      <c r="AF163" s="118"/>
      <c r="AG163" s="118"/>
      <c r="AH163" s="118"/>
      <c r="AI163" s="118"/>
      <c r="AJ163" s="117"/>
      <c r="AK163" s="116"/>
      <c r="AL163" s="149"/>
      <c r="AM163" s="149"/>
      <c r="AN163" s="116"/>
      <c r="AO163" s="116"/>
      <c r="AP163" s="149"/>
      <c r="AQ163" s="116"/>
      <c r="AR163" s="116"/>
      <c r="AS163" s="149"/>
      <c r="AT163" s="116"/>
      <c r="AU163" s="116"/>
      <c r="AV163" s="116"/>
    </row>
    <row r="164" spans="1:48" ht="21.1">
      <c r="A164" s="82" t="s">
        <v>664</v>
      </c>
      <c r="B164" s="260"/>
      <c r="C164" s="214"/>
      <c r="D164" s="133"/>
      <c r="E164" s="134"/>
      <c r="F164" s="135"/>
      <c r="G164" s="136"/>
      <c r="H164" s="683"/>
      <c r="I164" s="676"/>
      <c r="J164" s="534"/>
      <c r="K164" s="96" t="s">
        <v>452</v>
      </c>
      <c r="L164" s="104"/>
      <c r="M164" s="75"/>
      <c r="N164" s="75"/>
      <c r="O164" s="75"/>
      <c r="P164" s="75"/>
      <c r="Q164" s="97" t="s">
        <v>375</v>
      </c>
      <c r="R164" s="163"/>
      <c r="S164" s="109" t="s">
        <v>384</v>
      </c>
      <c r="T164" s="109"/>
      <c r="U164" s="100"/>
      <c r="V164" s="110"/>
      <c r="W164" s="110"/>
      <c r="X164" s="100"/>
      <c r="Y164" s="100"/>
      <c r="Z164" s="100"/>
      <c r="AA164" s="110"/>
      <c r="AB164" s="110" t="s">
        <v>984</v>
      </c>
      <c r="AC164" s="100" t="s">
        <v>984</v>
      </c>
      <c r="AD164" s="108"/>
      <c r="AE164" s="109" t="s">
        <v>375</v>
      </c>
      <c r="AF164" s="109" t="s">
        <v>375</v>
      </c>
      <c r="AG164" s="109" t="s">
        <v>375</v>
      </c>
      <c r="AH164" s="109"/>
      <c r="AI164" s="109" t="s">
        <v>375</v>
      </c>
      <c r="AJ164" s="108"/>
      <c r="AK164" s="100"/>
      <c r="AL164" s="142"/>
      <c r="AM164" s="142"/>
      <c r="AN164" s="100"/>
      <c r="AO164" s="100"/>
      <c r="AP164" s="142"/>
      <c r="AQ164" s="100"/>
      <c r="AR164" s="100"/>
      <c r="AS164" s="142"/>
      <c r="AT164" s="100"/>
      <c r="AU164" s="100"/>
      <c r="AV164" s="100"/>
    </row>
    <row r="165" spans="1:48" ht="16.3">
      <c r="A165" s="246" t="s">
        <v>1</v>
      </c>
      <c r="B165" s="261">
        <f>SUM(L165+M165+N165+O165+P165+U165+X165+Y165+Z165+AC165+AK165+AL165+AK165+AO165+AR165+AS165+AU165+AV165+AW165+AX165+AP165)</f>
        <v>0</v>
      </c>
      <c r="C165" s="215">
        <f>B165</f>
        <v>0</v>
      </c>
      <c r="D165" s="133"/>
      <c r="E165" s="134"/>
      <c r="F165" s="135"/>
      <c r="G165" s="136"/>
      <c r="H165" s="683"/>
      <c r="I165" s="676"/>
      <c r="J165" s="534"/>
      <c r="K165" s="96">
        <v>1</v>
      </c>
      <c r="L165" s="104"/>
      <c r="M165" s="75"/>
      <c r="N165" s="75"/>
      <c r="O165" s="75"/>
      <c r="P165" s="75"/>
      <c r="Q165" s="97"/>
      <c r="R165" s="163"/>
      <c r="S165" s="109">
        <v>1</v>
      </c>
      <c r="T165" s="109"/>
      <c r="U165" s="100"/>
      <c r="V165" s="110"/>
      <c r="W165" s="110"/>
      <c r="X165" s="100"/>
      <c r="Y165" s="100"/>
      <c r="Z165" s="100"/>
      <c r="AA165" s="110"/>
      <c r="AB165" s="110"/>
      <c r="AC165" s="100"/>
      <c r="AD165" s="108"/>
      <c r="AE165" s="109"/>
      <c r="AF165" s="109"/>
      <c r="AG165" s="109"/>
      <c r="AH165" s="109"/>
      <c r="AI165" s="109"/>
      <c r="AJ165" s="108"/>
      <c r="AK165" s="100"/>
      <c r="AL165" s="142"/>
      <c r="AM165" s="142"/>
      <c r="AN165" s="100"/>
      <c r="AO165" s="100"/>
      <c r="AP165" s="142"/>
      <c r="AQ165" s="100"/>
      <c r="AR165" s="100"/>
      <c r="AS165" s="142"/>
      <c r="AT165" s="100"/>
      <c r="AU165" s="100"/>
      <c r="AV165" s="100"/>
    </row>
    <row r="166" spans="1:48" ht="16.3">
      <c r="A166" s="246" t="s">
        <v>2</v>
      </c>
      <c r="B166" s="261">
        <f>SUM(L166+M166+N166+O166+P166+U166+X166+Y166+Z166+AC166+AK166+AL166+AK166+AO166+AR166+AS166+AU166+AV166+AW166+AX166)</f>
        <v>0</v>
      </c>
      <c r="C166" s="215">
        <f t="shared" ref="C166:C170" si="27">B166</f>
        <v>0</v>
      </c>
      <c r="D166" s="133"/>
      <c r="E166" s="134"/>
      <c r="F166" s="135"/>
      <c r="G166" s="136"/>
      <c r="H166" s="683"/>
      <c r="I166" s="676"/>
      <c r="J166" s="534"/>
      <c r="K166" s="96"/>
      <c r="L166" s="104"/>
      <c r="M166" s="75"/>
      <c r="N166" s="75"/>
      <c r="O166" s="75"/>
      <c r="P166" s="75"/>
      <c r="Q166" s="97">
        <v>1</v>
      </c>
      <c r="R166" s="163"/>
      <c r="S166" s="109"/>
      <c r="T166" s="109"/>
      <c r="U166" s="100"/>
      <c r="V166" s="110"/>
      <c r="W166" s="110"/>
      <c r="X166" s="100"/>
      <c r="Y166" s="100"/>
      <c r="Z166" s="100"/>
      <c r="AA166" s="110"/>
      <c r="AB166" s="110"/>
      <c r="AC166" s="100"/>
      <c r="AD166" s="108"/>
      <c r="AE166" s="109">
        <v>1</v>
      </c>
      <c r="AF166" s="109">
        <v>1</v>
      </c>
      <c r="AG166" s="109">
        <v>1</v>
      </c>
      <c r="AH166" s="109"/>
      <c r="AI166" s="109">
        <v>1</v>
      </c>
      <c r="AJ166" s="108"/>
      <c r="AK166" s="100"/>
      <c r="AL166" s="142"/>
      <c r="AM166" s="142"/>
      <c r="AN166" s="100"/>
      <c r="AO166" s="100"/>
      <c r="AP166" s="142"/>
      <c r="AQ166" s="100"/>
      <c r="AR166" s="100"/>
      <c r="AS166" s="142"/>
      <c r="AT166" s="100"/>
      <c r="AU166" s="100"/>
      <c r="AV166" s="100"/>
    </row>
    <row r="167" spans="1:48" ht="16.3">
      <c r="A167" s="87" t="s">
        <v>363</v>
      </c>
      <c r="B167" s="260">
        <f>SUM(B165+B166)</f>
        <v>0</v>
      </c>
      <c r="C167" s="214">
        <f t="shared" si="27"/>
        <v>0</v>
      </c>
      <c r="D167" s="133"/>
      <c r="E167" s="134"/>
      <c r="F167" s="135"/>
      <c r="G167" s="136"/>
      <c r="H167" s="683"/>
      <c r="I167" s="676"/>
      <c r="J167" s="534"/>
      <c r="K167" s="96"/>
      <c r="L167" s="104"/>
      <c r="M167" s="75"/>
      <c r="N167" s="75"/>
      <c r="O167" s="75"/>
      <c r="P167" s="75"/>
      <c r="Q167" s="97"/>
      <c r="R167" s="163"/>
      <c r="S167" s="109"/>
      <c r="T167" s="109"/>
      <c r="U167" s="100"/>
      <c r="V167" s="110"/>
      <c r="W167" s="110"/>
      <c r="X167" s="100"/>
      <c r="Y167" s="100"/>
      <c r="Z167" s="100"/>
      <c r="AA167" s="110"/>
      <c r="AB167" s="110"/>
      <c r="AC167" s="100"/>
      <c r="AD167" s="108"/>
      <c r="AE167" s="109"/>
      <c r="AF167" s="109"/>
      <c r="AG167" s="109"/>
      <c r="AH167" s="109"/>
      <c r="AI167" s="109"/>
      <c r="AJ167" s="108"/>
      <c r="AK167" s="100"/>
      <c r="AL167" s="142"/>
      <c r="AM167" s="142"/>
      <c r="AN167" s="100"/>
      <c r="AO167" s="100"/>
      <c r="AP167" s="142"/>
      <c r="AQ167" s="100"/>
      <c r="AR167" s="100"/>
      <c r="AS167" s="142"/>
      <c r="AT167" s="100"/>
      <c r="AU167" s="100"/>
      <c r="AV167" s="100"/>
    </row>
    <row r="168" spans="1:48" ht="16.3">
      <c r="A168" s="246" t="s">
        <v>5</v>
      </c>
      <c r="B168" s="261">
        <f>SUM(L168+M168+N168+O168+P168+U168+X168+Y168+Z168+AC168+AK168+AL168+AK168+AO168+AR168+AS168+AU168+AV168+AW168+AX168+AP168)</f>
        <v>0</v>
      </c>
      <c r="C168" s="215">
        <f t="shared" si="27"/>
        <v>0</v>
      </c>
      <c r="D168" s="133"/>
      <c r="E168" s="134"/>
      <c r="F168" s="135"/>
      <c r="G168" s="136"/>
      <c r="H168" s="683"/>
      <c r="I168" s="676"/>
      <c r="J168" s="534"/>
      <c r="K168" s="96">
        <v>2</v>
      </c>
      <c r="L168" s="104"/>
      <c r="M168" s="75"/>
      <c r="N168" s="75"/>
      <c r="O168" s="75"/>
      <c r="P168" s="75"/>
      <c r="Q168" s="97"/>
      <c r="R168" s="163"/>
      <c r="S168" s="109">
        <v>1</v>
      </c>
      <c r="T168" s="109"/>
      <c r="U168" s="100"/>
      <c r="V168" s="110"/>
      <c r="W168" s="110"/>
      <c r="X168" s="100"/>
      <c r="Y168" s="100"/>
      <c r="Z168" s="100"/>
      <c r="AA168" s="110"/>
      <c r="AB168" s="110"/>
      <c r="AC168" s="100"/>
      <c r="AD168" s="108"/>
      <c r="AE168" s="109">
        <v>0</v>
      </c>
      <c r="AF168" s="109"/>
      <c r="AG168" s="109">
        <v>0</v>
      </c>
      <c r="AH168" s="109"/>
      <c r="AI168" s="109">
        <v>1</v>
      </c>
      <c r="AJ168" s="108"/>
      <c r="AK168" s="100"/>
      <c r="AL168" s="142"/>
      <c r="AM168" s="142"/>
      <c r="AN168" s="100"/>
      <c r="AO168" s="100"/>
      <c r="AP168" s="142"/>
      <c r="AQ168" s="100"/>
      <c r="AR168" s="100"/>
      <c r="AS168" s="142"/>
      <c r="AT168" s="100"/>
      <c r="AU168" s="100"/>
      <c r="AV168" s="100"/>
    </row>
    <row r="169" spans="1:48" ht="16.3">
      <c r="A169" s="246" t="s">
        <v>6</v>
      </c>
      <c r="B169" s="261">
        <f>SUM(L169+M169+N169+O169+P169+U169+X169+Y169+Z169+AC169+AK169+AL169+AK169+AO169+AR169+AS169+AU169+AV169+AW169+AX169+AP169)</f>
        <v>0</v>
      </c>
      <c r="C169" s="215">
        <f t="shared" si="27"/>
        <v>0</v>
      </c>
      <c r="D169" s="133"/>
      <c r="E169" s="134"/>
      <c r="F169" s="135"/>
      <c r="G169" s="136"/>
      <c r="H169" s="683"/>
      <c r="I169" s="676"/>
      <c r="J169" s="534"/>
      <c r="K169" s="96">
        <v>2</v>
      </c>
      <c r="L169" s="104"/>
      <c r="M169" s="75"/>
      <c r="N169" s="75"/>
      <c r="O169" s="75"/>
      <c r="P169" s="75"/>
      <c r="Q169" s="97"/>
      <c r="R169" s="163"/>
      <c r="S169" s="109">
        <v>4</v>
      </c>
      <c r="T169" s="109"/>
      <c r="U169" s="100"/>
      <c r="V169" s="110"/>
      <c r="W169" s="110"/>
      <c r="X169" s="100"/>
      <c r="Y169" s="100"/>
      <c r="Z169" s="100"/>
      <c r="AA169" s="110"/>
      <c r="AB169" s="110"/>
      <c r="AC169" s="100"/>
      <c r="AD169" s="108"/>
      <c r="AE169" s="109">
        <v>2</v>
      </c>
      <c r="AF169" s="109"/>
      <c r="AG169" s="109">
        <v>1</v>
      </c>
      <c r="AH169" s="109"/>
      <c r="AI169" s="109">
        <v>1</v>
      </c>
      <c r="AJ169" s="108"/>
      <c r="AK169" s="100"/>
      <c r="AL169" s="142"/>
      <c r="AM169" s="142"/>
      <c r="AN169" s="100"/>
      <c r="AO169" s="100"/>
      <c r="AP169" s="142"/>
      <c r="AQ169" s="100"/>
      <c r="AR169" s="100"/>
      <c r="AS169" s="142"/>
      <c r="AT169" s="100"/>
      <c r="AU169" s="100"/>
      <c r="AV169" s="100"/>
    </row>
    <row r="170" spans="1:48" ht="16.3">
      <c r="A170" s="246" t="s">
        <v>368</v>
      </c>
      <c r="B170" s="261">
        <v>0</v>
      </c>
      <c r="C170" s="215">
        <f t="shared" si="27"/>
        <v>0</v>
      </c>
      <c r="D170" s="133"/>
      <c r="E170" s="134"/>
      <c r="F170" s="135"/>
      <c r="G170" s="136"/>
      <c r="H170" s="683"/>
      <c r="I170" s="676"/>
      <c r="J170" s="534"/>
      <c r="K170" s="96">
        <v>100</v>
      </c>
      <c r="L170" s="104"/>
      <c r="M170" s="75"/>
      <c r="N170" s="75"/>
      <c r="O170" s="75"/>
      <c r="P170" s="75"/>
      <c r="Q170" s="97"/>
      <c r="R170" s="163"/>
      <c r="S170" s="109">
        <v>25</v>
      </c>
      <c r="T170" s="109"/>
      <c r="U170" s="100"/>
      <c r="V170" s="110"/>
      <c r="W170" s="110"/>
      <c r="X170" s="100"/>
      <c r="Y170" s="100"/>
      <c r="Z170" s="100"/>
      <c r="AA170" s="110"/>
      <c r="AB170" s="110"/>
      <c r="AC170" s="100"/>
      <c r="AD170" s="108"/>
      <c r="AE170" s="109">
        <v>0</v>
      </c>
      <c r="AF170" s="109"/>
      <c r="AG170" s="109">
        <v>0</v>
      </c>
      <c r="AH170" s="109"/>
      <c r="AI170" s="109">
        <v>100</v>
      </c>
      <c r="AJ170" s="108"/>
      <c r="AK170" s="100"/>
      <c r="AL170" s="142"/>
      <c r="AM170" s="142"/>
      <c r="AN170" s="100"/>
      <c r="AO170" s="100"/>
      <c r="AP170" s="142"/>
      <c r="AQ170" s="100"/>
      <c r="AR170" s="100"/>
      <c r="AS170" s="142"/>
      <c r="AT170" s="100"/>
      <c r="AU170" s="100"/>
      <c r="AV170" s="100"/>
    </row>
    <row r="171" spans="1:48" ht="16.3">
      <c r="A171" s="87" t="s">
        <v>3</v>
      </c>
      <c r="B171" s="260">
        <f>SUM(L171+M171+N171+O171+P171+U171+X171+Y171+Z171+AC171+AK171+AL171+AK171+AO171+AR171+AS171+AU171+AV171+AW171+AX171+AP171)</f>
        <v>0</v>
      </c>
      <c r="C171" s="214">
        <f t="shared" ref="C171:C172" si="28">B171</f>
        <v>0</v>
      </c>
      <c r="D171" s="133"/>
      <c r="E171" s="134"/>
      <c r="F171" s="135"/>
      <c r="G171" s="136"/>
      <c r="H171" s="683"/>
      <c r="I171" s="676"/>
      <c r="J171" s="534"/>
      <c r="K171" s="96"/>
      <c r="L171" s="104"/>
      <c r="M171" s="75"/>
      <c r="N171" s="75"/>
      <c r="O171" s="75"/>
      <c r="P171" s="75"/>
      <c r="Q171" s="97"/>
      <c r="R171" s="163"/>
      <c r="S171" s="109"/>
      <c r="T171" s="109"/>
      <c r="U171" s="100"/>
      <c r="V171" s="110"/>
      <c r="W171" s="110"/>
      <c r="X171" s="100"/>
      <c r="Y171" s="100"/>
      <c r="Z171" s="100"/>
      <c r="AA171" s="110"/>
      <c r="AB171" s="110"/>
      <c r="AC171" s="100"/>
      <c r="AD171" s="108"/>
      <c r="AE171" s="109"/>
      <c r="AF171" s="109"/>
      <c r="AG171" s="109"/>
      <c r="AH171" s="109"/>
      <c r="AI171" s="109"/>
      <c r="AJ171" s="108"/>
      <c r="AK171" s="100"/>
      <c r="AL171" s="142"/>
      <c r="AM171" s="142"/>
      <c r="AN171" s="100"/>
      <c r="AO171" s="100"/>
      <c r="AP171" s="142"/>
      <c r="AQ171" s="100"/>
      <c r="AR171" s="100"/>
      <c r="AS171" s="142"/>
      <c r="AT171" s="100"/>
      <c r="AU171" s="100"/>
      <c r="AV171" s="100"/>
    </row>
    <row r="172" spans="1:48" ht="17" thickBot="1">
      <c r="A172" s="88" t="s">
        <v>4</v>
      </c>
      <c r="B172" s="262">
        <f>SUM(L172+M172+N172+O172+P172+U172+X172+Y172+Z172+AC172+AK172+AL172+AK172+AO172+AR172+AS172+AU172+AV172+AW172+AX172+AP172)</f>
        <v>0</v>
      </c>
      <c r="C172" s="217">
        <f t="shared" si="28"/>
        <v>0</v>
      </c>
      <c r="D172" s="144"/>
      <c r="E172" s="145"/>
      <c r="F172" s="146"/>
      <c r="G172" s="147"/>
      <c r="H172" s="684"/>
      <c r="I172" s="677"/>
      <c r="J172" s="535"/>
      <c r="K172" s="114">
        <v>4</v>
      </c>
      <c r="L172" s="113"/>
      <c r="M172" s="112"/>
      <c r="N172" s="112"/>
      <c r="O172" s="112"/>
      <c r="P172" s="112"/>
      <c r="Q172" s="115"/>
      <c r="R172" s="164"/>
      <c r="S172" s="118">
        <v>2</v>
      </c>
      <c r="T172" s="118"/>
      <c r="U172" s="116"/>
      <c r="V172" s="120"/>
      <c r="W172" s="120"/>
      <c r="X172" s="116"/>
      <c r="Y172" s="116"/>
      <c r="Z172" s="116"/>
      <c r="AA172" s="120"/>
      <c r="AB172" s="120"/>
      <c r="AC172" s="116"/>
      <c r="AD172" s="117"/>
      <c r="AE172" s="118">
        <v>0</v>
      </c>
      <c r="AF172" s="118"/>
      <c r="AG172" s="118">
        <v>0</v>
      </c>
      <c r="AH172" s="118"/>
      <c r="AI172" s="118">
        <v>2</v>
      </c>
      <c r="AJ172" s="117"/>
      <c r="AK172" s="116"/>
      <c r="AL172" s="149"/>
      <c r="AM172" s="149"/>
      <c r="AN172" s="116"/>
      <c r="AO172" s="116"/>
      <c r="AP172" s="149"/>
      <c r="AQ172" s="116"/>
      <c r="AR172" s="116"/>
      <c r="AS172" s="149"/>
      <c r="AT172" s="116"/>
      <c r="AU172" s="116"/>
      <c r="AV172" s="116"/>
    </row>
    <row r="173" spans="1:48" ht="21.1">
      <c r="A173" s="86" t="s">
        <v>806</v>
      </c>
      <c r="B173" s="260"/>
      <c r="C173" s="214"/>
      <c r="D173" s="133"/>
      <c r="E173" s="134"/>
      <c r="F173" s="135"/>
      <c r="G173" s="136"/>
      <c r="H173" s="683"/>
      <c r="I173" s="676"/>
      <c r="J173" s="534"/>
      <c r="K173" s="96"/>
      <c r="L173" s="104"/>
      <c r="M173" s="75"/>
      <c r="N173" s="75"/>
      <c r="O173" s="75"/>
      <c r="P173" s="75"/>
      <c r="Q173" s="97"/>
      <c r="R173" s="163"/>
      <c r="S173" s="109" t="s">
        <v>432</v>
      </c>
      <c r="T173" s="109"/>
      <c r="U173" s="100"/>
      <c r="V173" s="110"/>
      <c r="W173" s="110"/>
      <c r="X173" s="100"/>
      <c r="Y173" s="100"/>
      <c r="Z173" s="100"/>
      <c r="AA173" s="110"/>
      <c r="AB173" s="110"/>
      <c r="AC173" s="100"/>
      <c r="AD173" s="108"/>
      <c r="AE173" s="109" t="s">
        <v>384</v>
      </c>
      <c r="AF173" s="109" t="s">
        <v>384</v>
      </c>
      <c r="AG173" s="109" t="s">
        <v>384</v>
      </c>
      <c r="AH173" s="109" t="s">
        <v>375</v>
      </c>
      <c r="AI173" s="109" t="s">
        <v>384</v>
      </c>
      <c r="AJ173" s="108"/>
      <c r="AK173" s="100"/>
      <c r="AL173" s="142"/>
      <c r="AM173" s="142"/>
      <c r="AN173" s="100"/>
      <c r="AO173" s="100"/>
      <c r="AP173" s="142"/>
      <c r="AQ173" s="100"/>
      <c r="AR173" s="100"/>
      <c r="AS173" s="142"/>
      <c r="AT173" s="100"/>
      <c r="AU173" s="100"/>
      <c r="AV173" s="100"/>
    </row>
    <row r="174" spans="1:48" ht="16.3">
      <c r="A174" s="246" t="s">
        <v>1</v>
      </c>
      <c r="B174" s="261">
        <f>SUM(L174+M174+N174+O174+P174+U174+X174+Y174+Z174+AC174+AK174+AL174+AK174+AO174+AR174+AS174+AU174+AV174+AW174+AX174+AP174)</f>
        <v>0</v>
      </c>
      <c r="C174" s="215">
        <f>B174</f>
        <v>0</v>
      </c>
      <c r="D174" s="133"/>
      <c r="E174" s="134"/>
      <c r="F174" s="135"/>
      <c r="G174" s="136"/>
      <c r="H174" s="683"/>
      <c r="I174" s="676"/>
      <c r="J174" s="534"/>
      <c r="K174" s="96"/>
      <c r="L174" s="104"/>
      <c r="M174" s="75"/>
      <c r="N174" s="75"/>
      <c r="O174" s="75"/>
      <c r="P174" s="75"/>
      <c r="Q174" s="97"/>
      <c r="R174" s="163"/>
      <c r="S174" s="109"/>
      <c r="T174" s="109"/>
      <c r="U174" s="100"/>
      <c r="V174" s="110"/>
      <c r="W174" s="110"/>
      <c r="X174" s="100"/>
      <c r="Y174" s="100"/>
      <c r="Z174" s="100"/>
      <c r="AA174" s="110"/>
      <c r="AB174" s="110"/>
      <c r="AC174" s="100"/>
      <c r="AD174" s="108"/>
      <c r="AE174" s="109">
        <v>1</v>
      </c>
      <c r="AF174" s="109">
        <v>1</v>
      </c>
      <c r="AG174" s="109">
        <v>1</v>
      </c>
      <c r="AH174" s="109"/>
      <c r="AI174" s="109">
        <v>1</v>
      </c>
      <c r="AJ174" s="108"/>
      <c r="AK174" s="100"/>
      <c r="AL174" s="142"/>
      <c r="AM174" s="142"/>
      <c r="AN174" s="100"/>
      <c r="AO174" s="100"/>
      <c r="AP174" s="142"/>
      <c r="AQ174" s="100"/>
      <c r="AR174" s="100"/>
      <c r="AS174" s="142"/>
      <c r="AT174" s="100"/>
      <c r="AU174" s="100"/>
      <c r="AV174" s="100"/>
    </row>
    <row r="175" spans="1:48" ht="16.3">
      <c r="A175" s="246" t="s">
        <v>2</v>
      </c>
      <c r="B175" s="261">
        <f>SUM(L175+M175+N175+O175+P175+U175+X175+Y175+Z175+AC175+AK175+AL175+AK175+AO175+AR175+AS175+AU175+AV175+AW175+AX175)</f>
        <v>0</v>
      </c>
      <c r="C175" s="215">
        <f t="shared" ref="C175:C181" si="29">B175</f>
        <v>0</v>
      </c>
      <c r="D175" s="133"/>
      <c r="E175" s="134"/>
      <c r="F175" s="135"/>
      <c r="G175" s="136"/>
      <c r="H175" s="683"/>
      <c r="I175" s="676"/>
      <c r="J175" s="534"/>
      <c r="K175" s="96"/>
      <c r="L175" s="104"/>
      <c r="M175" s="75"/>
      <c r="N175" s="75"/>
      <c r="O175" s="75"/>
      <c r="P175" s="75"/>
      <c r="Q175" s="97"/>
      <c r="R175" s="163"/>
      <c r="S175" s="109">
        <v>1</v>
      </c>
      <c r="T175" s="109"/>
      <c r="U175" s="100"/>
      <c r="V175" s="110"/>
      <c r="W175" s="110"/>
      <c r="X175" s="100"/>
      <c r="Y175" s="100"/>
      <c r="Z175" s="100"/>
      <c r="AA175" s="110"/>
      <c r="AB175" s="110"/>
      <c r="AC175" s="100"/>
      <c r="AD175" s="108"/>
      <c r="AE175" s="109"/>
      <c r="AF175" s="109"/>
      <c r="AG175" s="109"/>
      <c r="AH175" s="109">
        <v>1</v>
      </c>
      <c r="AI175" s="109"/>
      <c r="AJ175" s="108"/>
      <c r="AK175" s="100"/>
      <c r="AL175" s="142"/>
      <c r="AM175" s="142"/>
      <c r="AN175" s="100"/>
      <c r="AO175" s="100"/>
      <c r="AP175" s="142"/>
      <c r="AQ175" s="100"/>
      <c r="AR175" s="100"/>
      <c r="AS175" s="142"/>
      <c r="AT175" s="100"/>
      <c r="AU175" s="100"/>
      <c r="AV175" s="100"/>
    </row>
    <row r="176" spans="1:48" ht="16.3">
      <c r="A176" s="87" t="s">
        <v>363</v>
      </c>
      <c r="B176" s="260">
        <f>SUM(B174+B175)</f>
        <v>0</v>
      </c>
      <c r="C176" s="214">
        <f t="shared" si="29"/>
        <v>0</v>
      </c>
      <c r="D176" s="133"/>
      <c r="E176" s="134"/>
      <c r="F176" s="135"/>
      <c r="G176" s="136"/>
      <c r="H176" s="683"/>
      <c r="I176" s="676"/>
      <c r="J176" s="534"/>
      <c r="K176" s="96"/>
      <c r="L176" s="104"/>
      <c r="M176" s="75"/>
      <c r="N176" s="75"/>
      <c r="O176" s="75"/>
      <c r="P176" s="75"/>
      <c r="Q176" s="97"/>
      <c r="R176" s="163"/>
      <c r="S176" s="109"/>
      <c r="T176" s="109"/>
      <c r="U176" s="100"/>
      <c r="V176" s="110"/>
      <c r="W176" s="110"/>
      <c r="X176" s="100"/>
      <c r="Y176" s="100"/>
      <c r="Z176" s="100"/>
      <c r="AA176" s="110"/>
      <c r="AB176" s="110"/>
      <c r="AC176" s="100"/>
      <c r="AD176" s="108"/>
      <c r="AE176" s="109"/>
      <c r="AF176" s="109"/>
      <c r="AG176" s="109"/>
      <c r="AH176" s="109"/>
      <c r="AI176" s="109"/>
      <c r="AJ176" s="108"/>
      <c r="AK176" s="100"/>
      <c r="AL176" s="142"/>
      <c r="AM176" s="142"/>
      <c r="AN176" s="100"/>
      <c r="AO176" s="100"/>
      <c r="AP176" s="142"/>
      <c r="AQ176" s="100"/>
      <c r="AR176" s="100"/>
      <c r="AS176" s="142"/>
      <c r="AT176" s="100"/>
      <c r="AU176" s="100"/>
      <c r="AV176" s="100"/>
    </row>
    <row r="177" spans="1:48" ht="16.3">
      <c r="A177" s="234" t="s">
        <v>5</v>
      </c>
      <c r="B177" s="261">
        <f>SUM(L177+M177+N177+O177+P177+U177+X177+Y177+Z177+AC177+AK177+AL177+AK177+AO177+AR177+AS177+AU177+AV177+AW177+AX177+AP177)</f>
        <v>0</v>
      </c>
      <c r="C177" s="215">
        <f t="shared" si="29"/>
        <v>0</v>
      </c>
      <c r="D177" s="133"/>
      <c r="E177" s="134"/>
      <c r="F177" s="135"/>
      <c r="G177" s="136"/>
      <c r="H177" s="683"/>
      <c r="I177" s="676"/>
      <c r="J177" s="534"/>
      <c r="K177" s="96"/>
      <c r="L177" s="104"/>
      <c r="M177" s="75"/>
      <c r="N177" s="75"/>
      <c r="O177" s="75"/>
      <c r="P177" s="75"/>
      <c r="Q177" s="97"/>
      <c r="R177" s="163"/>
      <c r="S177" s="109"/>
      <c r="T177" s="109"/>
      <c r="U177" s="100"/>
      <c r="V177" s="110"/>
      <c r="W177" s="110"/>
      <c r="X177" s="100"/>
      <c r="Y177" s="100"/>
      <c r="Z177" s="100"/>
      <c r="AA177" s="110"/>
      <c r="AB177" s="110"/>
      <c r="AC177" s="100"/>
      <c r="AD177" s="108"/>
      <c r="AE177" s="109">
        <v>5</v>
      </c>
      <c r="AF177" s="109">
        <v>3</v>
      </c>
      <c r="AG177" s="109">
        <v>2</v>
      </c>
      <c r="AH177" s="109"/>
      <c r="AI177" s="109">
        <v>2</v>
      </c>
      <c r="AJ177" s="108"/>
      <c r="AK177" s="100"/>
      <c r="AL177" s="142"/>
      <c r="AM177" s="142"/>
      <c r="AN177" s="100"/>
      <c r="AO177" s="100"/>
      <c r="AP177" s="142"/>
      <c r="AQ177" s="100"/>
      <c r="AR177" s="100"/>
      <c r="AS177" s="142"/>
      <c r="AT177" s="100"/>
      <c r="AU177" s="100"/>
      <c r="AV177" s="100"/>
    </row>
    <row r="178" spans="1:48" ht="16.3">
      <c r="A178" s="234" t="s">
        <v>6</v>
      </c>
      <c r="B178" s="261">
        <f>SUM(L178+M178+N178+O178+P178+U178+X178+Y178+Z178+AC178+AK178+AL178+AK178+AO178+AR178+AS178+AU178+AV178+AW178+AX178+AP178)</f>
        <v>0</v>
      </c>
      <c r="C178" s="215">
        <f t="shared" si="29"/>
        <v>0</v>
      </c>
      <c r="D178" s="133"/>
      <c r="E178" s="134"/>
      <c r="F178" s="135"/>
      <c r="G178" s="136"/>
      <c r="H178" s="683"/>
      <c r="I178" s="676"/>
      <c r="J178" s="534"/>
      <c r="K178" s="96"/>
      <c r="L178" s="104"/>
      <c r="M178" s="75"/>
      <c r="N178" s="75"/>
      <c r="O178" s="75"/>
      <c r="P178" s="75"/>
      <c r="Q178" s="97"/>
      <c r="R178" s="163"/>
      <c r="S178" s="109"/>
      <c r="T178" s="109"/>
      <c r="U178" s="100"/>
      <c r="V178" s="110"/>
      <c r="W178" s="110"/>
      <c r="X178" s="100"/>
      <c r="Y178" s="100"/>
      <c r="Z178" s="100"/>
      <c r="AA178" s="110"/>
      <c r="AB178" s="110"/>
      <c r="AC178" s="100"/>
      <c r="AD178" s="108"/>
      <c r="AE178" s="109">
        <v>8</v>
      </c>
      <c r="AF178" s="109">
        <v>4</v>
      </c>
      <c r="AG178" s="109">
        <v>2</v>
      </c>
      <c r="AH178" s="109"/>
      <c r="AI178" s="109">
        <v>2</v>
      </c>
      <c r="AJ178" s="108"/>
      <c r="AK178" s="100"/>
      <c r="AL178" s="142"/>
      <c r="AM178" s="142"/>
      <c r="AN178" s="100"/>
      <c r="AO178" s="100"/>
      <c r="AP178" s="142"/>
      <c r="AQ178" s="100"/>
      <c r="AR178" s="100"/>
      <c r="AS178" s="142"/>
      <c r="AT178" s="100"/>
      <c r="AU178" s="100"/>
      <c r="AV178" s="100"/>
    </row>
    <row r="179" spans="1:48" ht="16.3">
      <c r="A179" s="234" t="s">
        <v>368</v>
      </c>
      <c r="B179" s="261">
        <v>0</v>
      </c>
      <c r="C179" s="215">
        <f t="shared" si="29"/>
        <v>0</v>
      </c>
      <c r="D179" s="133"/>
      <c r="E179" s="134"/>
      <c r="F179" s="135"/>
      <c r="G179" s="136"/>
      <c r="H179" s="683"/>
      <c r="I179" s="676"/>
      <c r="J179" s="534"/>
      <c r="K179" s="96"/>
      <c r="L179" s="104"/>
      <c r="M179" s="75"/>
      <c r="N179" s="75"/>
      <c r="O179" s="75"/>
      <c r="P179" s="75"/>
      <c r="Q179" s="97"/>
      <c r="R179" s="163"/>
      <c r="S179" s="109"/>
      <c r="T179" s="109"/>
      <c r="U179" s="100"/>
      <c r="V179" s="110"/>
      <c r="W179" s="110"/>
      <c r="X179" s="100"/>
      <c r="Y179" s="100"/>
      <c r="Z179" s="100"/>
      <c r="AA179" s="110"/>
      <c r="AB179" s="110"/>
      <c r="AC179" s="100"/>
      <c r="AD179" s="108"/>
      <c r="AE179" s="109">
        <v>63</v>
      </c>
      <c r="AF179" s="109">
        <v>75</v>
      </c>
      <c r="AG179" s="109">
        <v>100</v>
      </c>
      <c r="AH179" s="109"/>
      <c r="AI179" s="109">
        <v>100</v>
      </c>
      <c r="AJ179" s="108"/>
      <c r="AK179" s="100"/>
      <c r="AL179" s="142"/>
      <c r="AM179" s="142"/>
      <c r="AN179" s="100"/>
      <c r="AO179" s="100"/>
      <c r="AP179" s="142"/>
      <c r="AQ179" s="100"/>
      <c r="AR179" s="100"/>
      <c r="AS179" s="142"/>
      <c r="AT179" s="100"/>
      <c r="AU179" s="100"/>
      <c r="AV179" s="100"/>
    </row>
    <row r="180" spans="1:48" ht="16.3">
      <c r="A180" s="87" t="s">
        <v>3</v>
      </c>
      <c r="B180" s="260">
        <f>SUM(L180+M180+N180+O180+P180+U180+X180+Y180+Z180+AC180+AK180+AL180+AK180+AO180+AR180+AS180+AU180+AV180+AW180+AX180+AP180)</f>
        <v>0</v>
      </c>
      <c r="C180" s="214">
        <f t="shared" si="29"/>
        <v>0</v>
      </c>
      <c r="D180" s="133"/>
      <c r="E180" s="134"/>
      <c r="F180" s="135"/>
      <c r="G180" s="136"/>
      <c r="H180" s="683"/>
      <c r="I180" s="676"/>
      <c r="J180" s="534"/>
      <c r="K180" s="96"/>
      <c r="L180" s="104"/>
      <c r="M180" s="75"/>
      <c r="N180" s="75"/>
      <c r="O180" s="75"/>
      <c r="P180" s="75"/>
      <c r="Q180" s="97"/>
      <c r="R180" s="163"/>
      <c r="S180" s="109"/>
      <c r="T180" s="109"/>
      <c r="U180" s="100"/>
      <c r="V180" s="110"/>
      <c r="W180" s="110"/>
      <c r="X180" s="100"/>
      <c r="Y180" s="100"/>
      <c r="Z180" s="100"/>
      <c r="AA180" s="110"/>
      <c r="AB180" s="110"/>
      <c r="AC180" s="100"/>
      <c r="AD180" s="108"/>
      <c r="AE180" s="109"/>
      <c r="AF180" s="109"/>
      <c r="AG180" s="109"/>
      <c r="AH180" s="109"/>
      <c r="AI180" s="109"/>
      <c r="AJ180" s="108"/>
      <c r="AK180" s="100"/>
      <c r="AL180" s="142"/>
      <c r="AM180" s="142"/>
      <c r="AN180" s="100"/>
      <c r="AO180" s="100"/>
      <c r="AP180" s="142"/>
      <c r="AQ180" s="100"/>
      <c r="AR180" s="100"/>
      <c r="AS180" s="142"/>
      <c r="AT180" s="100"/>
      <c r="AU180" s="100"/>
      <c r="AV180" s="100"/>
    </row>
    <row r="181" spans="1:48" ht="17" thickBot="1">
      <c r="A181" s="88" t="s">
        <v>4</v>
      </c>
      <c r="B181" s="262">
        <f>SUM(L181+M181+N181+O181+P181+U181+X181+Y181+Z181+AC181+AK181+AL181+AK181+AO181+AR181+AS181+AU181+AV181+AW181+AX181+AP181)</f>
        <v>0</v>
      </c>
      <c r="C181" s="217">
        <f t="shared" si="29"/>
        <v>0</v>
      </c>
      <c r="D181" s="144"/>
      <c r="E181" s="145"/>
      <c r="F181" s="146"/>
      <c r="G181" s="147"/>
      <c r="H181" s="684"/>
      <c r="I181" s="677"/>
      <c r="J181" s="535"/>
      <c r="K181" s="114"/>
      <c r="L181" s="113"/>
      <c r="M181" s="112"/>
      <c r="N181" s="112"/>
      <c r="O181" s="112"/>
      <c r="P181" s="112"/>
      <c r="Q181" s="115"/>
      <c r="R181" s="164"/>
      <c r="S181" s="118"/>
      <c r="T181" s="118"/>
      <c r="U181" s="116"/>
      <c r="V181" s="120"/>
      <c r="W181" s="120"/>
      <c r="X181" s="116"/>
      <c r="Y181" s="116"/>
      <c r="Z181" s="116"/>
      <c r="AA181" s="120"/>
      <c r="AB181" s="120"/>
      <c r="AC181" s="116"/>
      <c r="AD181" s="117"/>
      <c r="AE181" s="118">
        <v>10</v>
      </c>
      <c r="AF181" s="118">
        <v>6</v>
      </c>
      <c r="AG181" s="118">
        <v>4</v>
      </c>
      <c r="AH181" s="118"/>
      <c r="AI181" s="118">
        <v>4</v>
      </c>
      <c r="AJ181" s="117"/>
      <c r="AK181" s="116"/>
      <c r="AL181" s="149"/>
      <c r="AM181" s="149"/>
      <c r="AN181" s="116"/>
      <c r="AO181" s="116"/>
      <c r="AP181" s="149"/>
      <c r="AQ181" s="116"/>
      <c r="AR181" s="116"/>
      <c r="AS181" s="149"/>
      <c r="AT181" s="116"/>
      <c r="AU181" s="116"/>
      <c r="AV181" s="116"/>
    </row>
    <row r="182" spans="1:48" ht="21.1">
      <c r="A182" s="82" t="s">
        <v>58</v>
      </c>
      <c r="B182" s="260"/>
      <c r="C182" s="214"/>
      <c r="D182" s="133"/>
      <c r="E182" s="134"/>
      <c r="F182" s="135"/>
      <c r="G182" s="136"/>
      <c r="H182" s="683"/>
      <c r="I182" s="676"/>
      <c r="J182" s="534"/>
      <c r="K182" s="96"/>
      <c r="L182" s="75" t="s">
        <v>705</v>
      </c>
      <c r="M182" s="75" t="s">
        <v>671</v>
      </c>
      <c r="N182" s="75" t="s">
        <v>339</v>
      </c>
      <c r="O182" s="75" t="s">
        <v>710</v>
      </c>
      <c r="P182" s="75" t="s">
        <v>684</v>
      </c>
      <c r="Q182" s="96" t="s">
        <v>775</v>
      </c>
      <c r="R182" s="108"/>
      <c r="S182" s="109" t="s">
        <v>775</v>
      </c>
      <c r="T182" s="96" t="s">
        <v>775</v>
      </c>
      <c r="U182" s="100" t="s">
        <v>684</v>
      </c>
      <c r="V182" s="110" t="s">
        <v>858</v>
      </c>
      <c r="W182" s="106"/>
      <c r="X182" s="75" t="s">
        <v>375</v>
      </c>
      <c r="Y182" s="100" t="s">
        <v>684</v>
      </c>
      <c r="Z182" s="100" t="s">
        <v>710</v>
      </c>
      <c r="AA182" s="126" t="s">
        <v>930</v>
      </c>
      <c r="AB182" s="126" t="s">
        <v>952</v>
      </c>
      <c r="AC182" s="100" t="s">
        <v>684</v>
      </c>
      <c r="AD182" s="108"/>
      <c r="AE182" s="109" t="s">
        <v>775</v>
      </c>
      <c r="AF182" s="109" t="s">
        <v>775</v>
      </c>
      <c r="AG182" s="109" t="s">
        <v>775</v>
      </c>
      <c r="AH182" s="109" t="s">
        <v>775</v>
      </c>
      <c r="AI182" s="109" t="s">
        <v>775</v>
      </c>
      <c r="AJ182" s="105"/>
      <c r="AK182" s="75"/>
      <c r="AL182" s="142"/>
      <c r="AM182" s="142"/>
      <c r="AN182" s="75"/>
      <c r="AO182" s="75"/>
      <c r="AP182" s="142"/>
      <c r="AQ182" s="75"/>
      <c r="AR182" s="75"/>
      <c r="AS182" s="141"/>
      <c r="AT182" s="75"/>
      <c r="AU182" s="75"/>
      <c r="AV182" s="75"/>
    </row>
    <row r="183" spans="1:48" ht="16.3">
      <c r="A183" s="246" t="s">
        <v>1</v>
      </c>
      <c r="B183" s="261">
        <f>SUM(L183+M183+N183+O183+P183+U183+X183+Y183+Z183+AC183+AK183+AL183+AK183+AO183+AR183+AS183+AU183+AV183+AW183+AX183+AP183)+85</f>
        <v>93</v>
      </c>
      <c r="C183" s="215">
        <f>SUM(L183+M183+N183+O183+P183+U183+Y183+Z183+X183+AC183+AL183+AK183+AL183+AP183+AS183+AO183+AV183+AW183+AX183+AY183+AR183+AU183)+135</f>
        <v>143</v>
      </c>
      <c r="D183" s="139"/>
      <c r="E183" s="140"/>
      <c r="F183" s="135"/>
      <c r="G183" s="136"/>
      <c r="H183" s="683"/>
      <c r="I183" s="676"/>
      <c r="J183" s="534"/>
      <c r="K183" s="96"/>
      <c r="L183" s="75">
        <v>1</v>
      </c>
      <c r="M183" s="75">
        <v>1</v>
      </c>
      <c r="N183" s="75"/>
      <c r="O183" s="75">
        <v>1</v>
      </c>
      <c r="P183" s="75">
        <v>1</v>
      </c>
      <c r="Q183" s="96"/>
      <c r="R183" s="108"/>
      <c r="S183" s="109"/>
      <c r="T183" s="96"/>
      <c r="U183" s="100">
        <v>1</v>
      </c>
      <c r="V183" s="110">
        <v>1</v>
      </c>
      <c r="W183" s="106"/>
      <c r="X183" s="75"/>
      <c r="Y183" s="100">
        <v>1</v>
      </c>
      <c r="Z183" s="100">
        <v>1</v>
      </c>
      <c r="AA183" s="110">
        <v>1</v>
      </c>
      <c r="AB183" s="110">
        <v>1</v>
      </c>
      <c r="AC183" s="100">
        <v>1</v>
      </c>
      <c r="AD183" s="108"/>
      <c r="AE183" s="109"/>
      <c r="AF183" s="109"/>
      <c r="AG183" s="109"/>
      <c r="AH183" s="109"/>
      <c r="AI183" s="109"/>
      <c r="AJ183" s="105"/>
      <c r="AK183" s="75"/>
      <c r="AL183" s="142"/>
      <c r="AM183" s="142"/>
      <c r="AN183" s="75"/>
      <c r="AO183" s="75"/>
      <c r="AP183" s="142"/>
      <c r="AQ183" s="75"/>
      <c r="AR183" s="75"/>
      <c r="AS183" s="141"/>
      <c r="AT183" s="75"/>
      <c r="AU183" s="75"/>
      <c r="AV183" s="75"/>
    </row>
    <row r="184" spans="1:48" ht="16.3">
      <c r="A184" s="246" t="s">
        <v>2</v>
      </c>
      <c r="B184" s="261">
        <f>SUM(L184+M184+N184+O184+P184+U184+X184+Y184+Z184+AC184+AK184+AL184+AK184+AO184+AR184+AS184+AU184+AV184+AW184+AX184+AP184)+8</f>
        <v>9</v>
      </c>
      <c r="C184" s="215">
        <f>SUM(L184+M184+N184+O184+P184+U184+Y184+Z184+X184+AC184+AL184+AK184+AL184+AP184+AS184+AO184+AV184+AW184+AX184+AY184+AR184+AU184)+74</f>
        <v>75</v>
      </c>
      <c r="D184" s="139"/>
      <c r="E184" s="140"/>
      <c r="F184" s="135"/>
      <c r="G184" s="136"/>
      <c r="H184" s="683"/>
      <c r="I184" s="676"/>
      <c r="J184" s="534"/>
      <c r="K184" s="96"/>
      <c r="L184" s="104"/>
      <c r="M184" s="75"/>
      <c r="N184" s="75"/>
      <c r="O184" s="75"/>
      <c r="P184" s="75"/>
      <c r="Q184" s="97"/>
      <c r="R184" s="163"/>
      <c r="S184" s="109"/>
      <c r="T184" s="109"/>
      <c r="U184" s="100"/>
      <c r="V184" s="110"/>
      <c r="W184" s="110"/>
      <c r="X184" s="100">
        <v>1</v>
      </c>
      <c r="Y184" s="100"/>
      <c r="Z184" s="100"/>
      <c r="AA184" s="110"/>
      <c r="AB184" s="110"/>
      <c r="AC184" s="100"/>
      <c r="AD184" s="108"/>
      <c r="AE184" s="109"/>
      <c r="AF184" s="109"/>
      <c r="AG184" s="109"/>
      <c r="AH184" s="109"/>
      <c r="AI184" s="109"/>
      <c r="AJ184" s="108"/>
      <c r="AK184" s="100"/>
      <c r="AL184" s="142"/>
      <c r="AM184" s="142"/>
      <c r="AN184" s="100"/>
      <c r="AO184" s="100"/>
      <c r="AP184" s="142"/>
      <c r="AQ184" s="100"/>
      <c r="AR184" s="100"/>
      <c r="AS184" s="142"/>
      <c r="AT184" s="100"/>
      <c r="AU184" s="100"/>
      <c r="AV184" s="100"/>
    </row>
    <row r="185" spans="1:48" ht="16.3">
      <c r="A185" s="87" t="s">
        <v>363</v>
      </c>
      <c r="B185" s="260">
        <f>SUM(B183+B184)</f>
        <v>102</v>
      </c>
      <c r="C185" s="214">
        <f>SUM(C183+C184)</f>
        <v>218</v>
      </c>
      <c r="D185" s="133"/>
      <c r="E185" s="134"/>
      <c r="F185" s="135"/>
      <c r="G185" s="136"/>
      <c r="H185" s="683"/>
      <c r="I185" s="676"/>
      <c r="J185" s="534"/>
      <c r="K185" s="96"/>
      <c r="L185" s="104"/>
      <c r="M185" s="75"/>
      <c r="N185" s="75"/>
      <c r="O185" s="75"/>
      <c r="P185" s="75"/>
      <c r="Q185" s="97"/>
      <c r="R185" s="163"/>
      <c r="S185" s="109"/>
      <c r="T185" s="109"/>
      <c r="U185" s="100"/>
      <c r="V185" s="110"/>
      <c r="W185" s="110"/>
      <c r="X185" s="100"/>
      <c r="Y185" s="100"/>
      <c r="Z185" s="100"/>
      <c r="AA185" s="110"/>
      <c r="AB185" s="110"/>
      <c r="AC185" s="100"/>
      <c r="AD185" s="108"/>
      <c r="AE185" s="109"/>
      <c r="AF185" s="109"/>
      <c r="AG185" s="109"/>
      <c r="AH185" s="109"/>
      <c r="AI185" s="109"/>
      <c r="AJ185" s="108"/>
      <c r="AK185" s="100"/>
      <c r="AL185" s="142"/>
      <c r="AM185" s="142"/>
      <c r="AN185" s="100"/>
      <c r="AO185" s="100"/>
      <c r="AP185" s="142"/>
      <c r="AQ185" s="100"/>
      <c r="AR185" s="100"/>
      <c r="AS185" s="142"/>
      <c r="AT185" s="100"/>
      <c r="AU185" s="100"/>
      <c r="AV185" s="100"/>
    </row>
    <row r="186" spans="1:48" ht="16.3">
      <c r="A186" s="246" t="s">
        <v>366</v>
      </c>
      <c r="B186" s="261">
        <f>SUM(L186+M186+N186+O186+P186+U186+X186+Y186+Z186+AC186+AK186+AL186+AK186+AO186+AR186+AS186+AU186+AV186+AW186+AX186+AP186)+47</f>
        <v>55</v>
      </c>
      <c r="C186" s="215">
        <f>SUM(L186+M186+N186+O186+P186+U186+Y186+Z186+X186+AC186+AL186+AK186+AL186+AP186+AS186+AO186+AV186+AW186+AX186+AY186+AR186+AU186)+47</f>
        <v>55</v>
      </c>
      <c r="D186" s="133"/>
      <c r="E186" s="134"/>
      <c r="F186" s="135"/>
      <c r="G186" s="136"/>
      <c r="H186" s="683"/>
      <c r="I186" s="676"/>
      <c r="J186" s="534"/>
      <c r="K186" s="96"/>
      <c r="L186" s="104">
        <v>1</v>
      </c>
      <c r="M186" s="75">
        <v>1</v>
      </c>
      <c r="N186" s="75"/>
      <c r="O186" s="75">
        <v>1</v>
      </c>
      <c r="P186" s="75">
        <v>1</v>
      </c>
      <c r="Q186" s="97"/>
      <c r="R186" s="163"/>
      <c r="S186" s="109"/>
      <c r="T186" s="109"/>
      <c r="U186" s="100">
        <v>1</v>
      </c>
      <c r="V186" s="110">
        <v>1</v>
      </c>
      <c r="W186" s="110"/>
      <c r="X186" s="100"/>
      <c r="Y186" s="100">
        <v>1</v>
      </c>
      <c r="Z186" s="100">
        <v>1</v>
      </c>
      <c r="AA186" s="110">
        <v>1</v>
      </c>
      <c r="AB186" s="110">
        <v>1</v>
      </c>
      <c r="AC186" s="100">
        <v>1</v>
      </c>
      <c r="AD186" s="108"/>
      <c r="AE186" s="109"/>
      <c r="AF186" s="109"/>
      <c r="AG186" s="109"/>
      <c r="AH186" s="109"/>
      <c r="AI186" s="109"/>
      <c r="AJ186" s="108"/>
      <c r="AK186" s="100"/>
      <c r="AL186" s="142"/>
      <c r="AM186" s="142"/>
      <c r="AN186" s="100"/>
      <c r="AO186" s="100"/>
      <c r="AP186" s="142"/>
      <c r="AQ186" s="100"/>
      <c r="AR186" s="100"/>
      <c r="AS186" s="142"/>
      <c r="AT186" s="100"/>
      <c r="AU186" s="100"/>
      <c r="AV186" s="100"/>
    </row>
    <row r="187" spans="1:48" ht="16.3">
      <c r="A187" s="246" t="s">
        <v>362</v>
      </c>
      <c r="B187" s="261">
        <f>SUM(L187+M187+N187+O187+P187+U187+X187+Y187+Z187+AC187+AK187+AL187+AK187+AO187+AR187+AS187+AU187+AV187+AW187+AX187+AP187)+3</f>
        <v>3</v>
      </c>
      <c r="C187" s="215">
        <f>SUM(L187+M187+N187+O187+P187+U187+Y187+Z187+X187+AC187+AL187+AK187+AL187+AP187+AS187+AO187+AV187+AW187+AX187+AY187+AR187+AU187)+4</f>
        <v>4</v>
      </c>
      <c r="D187" s="133"/>
      <c r="E187" s="134"/>
      <c r="F187" s="135"/>
      <c r="G187" s="136"/>
      <c r="H187" s="683"/>
      <c r="I187" s="676"/>
      <c r="J187" s="534"/>
      <c r="K187" s="96"/>
      <c r="L187" s="104"/>
      <c r="M187" s="75"/>
      <c r="N187" s="75"/>
      <c r="O187" s="75"/>
      <c r="P187" s="75"/>
      <c r="Q187" s="97"/>
      <c r="R187" s="163"/>
      <c r="S187" s="109"/>
      <c r="T187" s="109"/>
      <c r="U187" s="100"/>
      <c r="V187" s="110"/>
      <c r="W187" s="110"/>
      <c r="X187" s="100"/>
      <c r="Y187" s="100"/>
      <c r="Z187" s="100"/>
      <c r="AA187" s="110"/>
      <c r="AB187" s="110"/>
      <c r="AC187" s="100"/>
      <c r="AD187" s="108"/>
      <c r="AE187" s="109"/>
      <c r="AF187" s="109"/>
      <c r="AG187" s="109"/>
      <c r="AH187" s="109"/>
      <c r="AI187" s="109"/>
      <c r="AJ187" s="108"/>
      <c r="AK187" s="100"/>
      <c r="AL187" s="142"/>
      <c r="AM187" s="142"/>
      <c r="AN187" s="100"/>
      <c r="AO187" s="100"/>
      <c r="AP187" s="142"/>
      <c r="AQ187" s="100"/>
      <c r="AR187" s="100"/>
      <c r="AS187" s="142"/>
      <c r="AT187" s="100"/>
      <c r="AU187" s="100"/>
      <c r="AV187" s="100"/>
    </row>
    <row r="188" spans="1:48" ht="16.3">
      <c r="A188" s="246" t="s">
        <v>5</v>
      </c>
      <c r="B188" s="261">
        <f>SUM(L188+M188+N188+O188+P188+U188+X188+Y188+Z188+AC188+AK188+AL188+AK188+AO188+AR188+AS188+AU188+AV188+AW188+AX188+AP188)+65</f>
        <v>74</v>
      </c>
      <c r="C188" s="215">
        <f>SUM(L188+M188+N188+O188+P188+U188+Y188+Z188+X188+AC188+AL188+AK188+AL188+AP188+AS188+AO188+AV188+AW188+AX188+AY188+AR188+AU188)+121</f>
        <v>130</v>
      </c>
      <c r="D188" s="133"/>
      <c r="E188" s="134"/>
      <c r="F188" s="135"/>
      <c r="G188" s="136"/>
      <c r="H188" s="683"/>
      <c r="I188" s="676"/>
      <c r="J188" s="534"/>
      <c r="K188" s="96"/>
      <c r="L188" s="104">
        <v>5</v>
      </c>
      <c r="M188" s="75">
        <v>4</v>
      </c>
      <c r="N188" s="75"/>
      <c r="O188" s="75"/>
      <c r="P188" s="75"/>
      <c r="Q188" s="97"/>
      <c r="R188" s="163"/>
      <c r="S188" s="109"/>
      <c r="T188" s="109"/>
      <c r="U188" s="100"/>
      <c r="V188" s="110"/>
      <c r="W188" s="110"/>
      <c r="X188" s="100"/>
      <c r="Y188" s="100"/>
      <c r="Z188" s="100"/>
      <c r="AA188" s="110"/>
      <c r="AB188" s="110"/>
      <c r="AC188" s="100"/>
      <c r="AD188" s="108"/>
      <c r="AE188" s="109"/>
      <c r="AF188" s="109"/>
      <c r="AG188" s="109"/>
      <c r="AH188" s="109"/>
      <c r="AI188" s="109"/>
      <c r="AJ188" s="108"/>
      <c r="AK188" s="100"/>
      <c r="AL188" s="142"/>
      <c r="AM188" s="142"/>
      <c r="AN188" s="100"/>
      <c r="AO188" s="100"/>
      <c r="AP188" s="142"/>
      <c r="AQ188" s="100"/>
      <c r="AR188" s="100"/>
      <c r="AS188" s="142"/>
      <c r="AT188" s="100"/>
      <c r="AU188" s="100"/>
      <c r="AV188" s="100"/>
    </row>
    <row r="189" spans="1:48" ht="16.3">
      <c r="A189" s="246" t="s">
        <v>6</v>
      </c>
      <c r="B189" s="261">
        <f>SUM(L189+M189+N189+O189+P189+U189+X189+Y189+Z189+AC189+AK189+AL189+AK189+AO189+AR189+AS189+AU189+AV189+AW189+AX189+AP189)+85</f>
        <v>96</v>
      </c>
      <c r="C189" s="215">
        <f>SUM(L189+M189+N189+O189+P189+U189+Y189+Z189+X189+AC189+AL189+AK189+AL189+AP189+AS189+AO189+AV189+AW189+AX189+AY189+AR189+AU189)+156</f>
        <v>167</v>
      </c>
      <c r="D189" s="133"/>
      <c r="E189" s="134"/>
      <c r="F189" s="135"/>
      <c r="G189" s="136"/>
      <c r="H189" s="683"/>
      <c r="I189" s="676"/>
      <c r="J189" s="534"/>
      <c r="K189" s="96"/>
      <c r="L189" s="104">
        <v>6</v>
      </c>
      <c r="M189" s="75">
        <v>5</v>
      </c>
      <c r="N189" s="75"/>
      <c r="O189" s="75"/>
      <c r="P189" s="75"/>
      <c r="Q189" s="97"/>
      <c r="R189" s="163"/>
      <c r="S189" s="109"/>
      <c r="T189" s="109"/>
      <c r="U189" s="100"/>
      <c r="V189" s="110"/>
      <c r="W189" s="110"/>
      <c r="X189" s="100"/>
      <c r="Y189" s="100"/>
      <c r="Z189" s="100"/>
      <c r="AA189" s="110"/>
      <c r="AB189" s="110"/>
      <c r="AC189" s="100"/>
      <c r="AD189" s="108"/>
      <c r="AE189" s="109"/>
      <c r="AF189" s="109"/>
      <c r="AG189" s="109"/>
      <c r="AH189" s="109"/>
      <c r="AI189" s="109"/>
      <c r="AJ189" s="108"/>
      <c r="AK189" s="100"/>
      <c r="AL189" s="142"/>
      <c r="AM189" s="142"/>
      <c r="AN189" s="100"/>
      <c r="AO189" s="100"/>
      <c r="AP189" s="142"/>
      <c r="AQ189" s="100"/>
      <c r="AR189" s="100"/>
      <c r="AS189" s="142"/>
      <c r="AT189" s="100"/>
      <c r="AU189" s="100"/>
      <c r="AV189" s="100"/>
    </row>
    <row r="190" spans="1:48" ht="16.3">
      <c r="A190" s="246" t="s">
        <v>368</v>
      </c>
      <c r="B190" s="263">
        <f>SUM(B188/B189)*100</f>
        <v>77.083333333333343</v>
      </c>
      <c r="C190" s="216">
        <f>SUM(C188/C189)*100</f>
        <v>77.844311377245518</v>
      </c>
      <c r="D190" s="133"/>
      <c r="E190" s="134"/>
      <c r="F190" s="135"/>
      <c r="G190" s="136"/>
      <c r="H190" s="683"/>
      <c r="I190" s="676"/>
      <c r="J190" s="534"/>
      <c r="K190" s="96"/>
      <c r="L190" s="104">
        <v>83</v>
      </c>
      <c r="M190" s="75">
        <v>80</v>
      </c>
      <c r="N190" s="75"/>
      <c r="O190" s="75"/>
      <c r="P190" s="75"/>
      <c r="Q190" s="97"/>
      <c r="R190" s="163"/>
      <c r="S190" s="109"/>
      <c r="T190" s="109"/>
      <c r="U190" s="100"/>
      <c r="V190" s="110"/>
      <c r="W190" s="110"/>
      <c r="X190" s="100"/>
      <c r="Y190" s="100"/>
      <c r="Z190" s="100"/>
      <c r="AA190" s="110"/>
      <c r="AB190" s="110"/>
      <c r="AC190" s="100"/>
      <c r="AD190" s="108"/>
      <c r="AE190" s="109"/>
      <c r="AF190" s="109"/>
      <c r="AG190" s="109"/>
      <c r="AH190" s="109"/>
      <c r="AI190" s="109"/>
      <c r="AJ190" s="108"/>
      <c r="AK190" s="100"/>
      <c r="AL190" s="142"/>
      <c r="AM190" s="142"/>
      <c r="AN190" s="100"/>
      <c r="AO190" s="100"/>
      <c r="AP190" s="142"/>
      <c r="AQ190" s="100"/>
      <c r="AR190" s="100"/>
      <c r="AS190" s="142"/>
      <c r="AT190" s="100"/>
      <c r="AU190" s="100"/>
      <c r="AV190" s="100"/>
    </row>
    <row r="191" spans="1:48" ht="16.3">
      <c r="A191" s="87" t="s">
        <v>3</v>
      </c>
      <c r="B191" s="260">
        <f>SUM(L191+M191+N191+O191+P191+U191+X191+Y191+Z191+AC191+AK191+AL191+AK191+AO191+AR191+AS191+AU191+AV191+AW191+AX191+AP191)+27</f>
        <v>28</v>
      </c>
      <c r="C191" s="214">
        <f>SUM(L191+M191+N191+O191+P191+U191+Y191+Z191+X191+AC191+AL191+AK191+AL191+AP191+AS191+AO191+AV191+AW191+AX191+AY191+AR191+AU191)+53</f>
        <v>54</v>
      </c>
      <c r="D191" s="133"/>
      <c r="E191" s="134"/>
      <c r="F191" s="135"/>
      <c r="G191" s="136"/>
      <c r="H191" s="683"/>
      <c r="I191" s="676"/>
      <c r="J191" s="534"/>
      <c r="K191" s="96"/>
      <c r="L191" s="104"/>
      <c r="M191" s="75"/>
      <c r="N191" s="75"/>
      <c r="O191" s="75"/>
      <c r="P191" s="75"/>
      <c r="Q191" s="97"/>
      <c r="R191" s="163"/>
      <c r="S191" s="109"/>
      <c r="T191" s="109"/>
      <c r="U191" s="100"/>
      <c r="V191" s="110"/>
      <c r="W191" s="110"/>
      <c r="X191" s="100">
        <v>1</v>
      </c>
      <c r="Y191" s="100"/>
      <c r="Z191" s="100"/>
      <c r="AA191" s="110"/>
      <c r="AB191" s="110">
        <v>1</v>
      </c>
      <c r="AC191" s="100"/>
      <c r="AD191" s="108"/>
      <c r="AE191" s="109"/>
      <c r="AF191" s="109"/>
      <c r="AG191" s="109"/>
      <c r="AH191" s="109"/>
      <c r="AI191" s="109"/>
      <c r="AJ191" s="108"/>
      <c r="AK191" s="100"/>
      <c r="AL191" s="142"/>
      <c r="AM191" s="142"/>
      <c r="AN191" s="100"/>
      <c r="AO191" s="100"/>
      <c r="AP191" s="142"/>
      <c r="AQ191" s="100"/>
      <c r="AR191" s="100"/>
      <c r="AS191" s="142"/>
      <c r="AT191" s="100"/>
      <c r="AU191" s="100"/>
      <c r="AV191" s="100"/>
    </row>
    <row r="192" spans="1:48" ht="17" thickBot="1">
      <c r="A192" s="88" t="s">
        <v>4</v>
      </c>
      <c r="B192" s="262">
        <f>SUM(L192+M192+N192+O192+P192+U192+X192+Y192+Z192+AC192+AK192+AL192+AK192+AO192+AR192+AS192+AU192+AV192+AW192+AX192+AP192)+281</f>
        <v>304</v>
      </c>
      <c r="C192" s="217">
        <f>SUM(L192+M192+N192+O192+P192+U192+Y192+Z192+X192+AC192+AL192+AK192+AL192+AP192+AS192+AO192+AV192+AW192+AX192+AY192+AR192+AU192)+552</f>
        <v>575</v>
      </c>
      <c r="D192" s="144"/>
      <c r="E192" s="145"/>
      <c r="F192" s="146"/>
      <c r="G192" s="147"/>
      <c r="H192" s="684"/>
      <c r="I192" s="677"/>
      <c r="J192" s="535"/>
      <c r="K192" s="114"/>
      <c r="L192" s="113">
        <v>10</v>
      </c>
      <c r="M192" s="112">
        <v>8</v>
      </c>
      <c r="N192" s="112"/>
      <c r="O192" s="112"/>
      <c r="P192" s="112"/>
      <c r="Q192" s="115"/>
      <c r="R192" s="164"/>
      <c r="S192" s="118"/>
      <c r="T192" s="114"/>
      <c r="U192" s="116"/>
      <c r="V192" s="120"/>
      <c r="W192" s="120"/>
      <c r="X192" s="116">
        <v>5</v>
      </c>
      <c r="Y192" s="116"/>
      <c r="Z192" s="116"/>
      <c r="AA192" s="120"/>
      <c r="AB192" s="120">
        <v>5</v>
      </c>
      <c r="AC192" s="116"/>
      <c r="AD192" s="117"/>
      <c r="AE192" s="118"/>
      <c r="AF192" s="118"/>
      <c r="AG192" s="118"/>
      <c r="AH192" s="118"/>
      <c r="AI192" s="118"/>
      <c r="AJ192" s="117"/>
      <c r="AK192" s="116"/>
      <c r="AL192" s="149"/>
      <c r="AM192" s="149"/>
      <c r="AN192" s="116"/>
      <c r="AO192" s="116"/>
      <c r="AP192" s="149"/>
      <c r="AQ192" s="116"/>
      <c r="AR192" s="116"/>
      <c r="AS192" s="149"/>
      <c r="AT192" s="116"/>
      <c r="AU192" s="116"/>
      <c r="AV192" s="116"/>
    </row>
    <row r="193" spans="1:48" ht="21.1">
      <c r="A193" s="86" t="s">
        <v>574</v>
      </c>
      <c r="B193" s="260"/>
      <c r="C193" s="214"/>
      <c r="D193" s="133"/>
      <c r="E193" s="134"/>
      <c r="F193" s="135"/>
      <c r="G193" s="136"/>
      <c r="H193" s="683"/>
      <c r="I193" s="676"/>
      <c r="J193" s="534"/>
      <c r="K193" s="96" t="s">
        <v>339</v>
      </c>
      <c r="L193" s="104" t="s">
        <v>339</v>
      </c>
      <c r="M193" s="104" t="s">
        <v>339</v>
      </c>
      <c r="N193" s="104" t="s">
        <v>339</v>
      </c>
      <c r="O193" s="75" t="s">
        <v>339</v>
      </c>
      <c r="P193" s="75" t="s">
        <v>339</v>
      </c>
      <c r="Q193" s="97" t="s">
        <v>339</v>
      </c>
      <c r="R193" s="163"/>
      <c r="S193" s="109" t="s">
        <v>339</v>
      </c>
      <c r="T193" s="109" t="s">
        <v>339</v>
      </c>
      <c r="U193" s="100" t="s">
        <v>339</v>
      </c>
      <c r="V193" s="110" t="s">
        <v>339</v>
      </c>
      <c r="W193" s="110" t="s">
        <v>339</v>
      </c>
      <c r="X193" s="100" t="s">
        <v>339</v>
      </c>
      <c r="Y193" s="100" t="s">
        <v>339</v>
      </c>
      <c r="Z193" s="100" t="s">
        <v>339</v>
      </c>
      <c r="AA193" s="110" t="s">
        <v>339</v>
      </c>
      <c r="AB193" s="110" t="s">
        <v>339</v>
      </c>
      <c r="AC193" s="100" t="s">
        <v>432</v>
      </c>
      <c r="AD193" s="108"/>
      <c r="AE193" s="109" t="s">
        <v>378</v>
      </c>
      <c r="AF193" s="109" t="s">
        <v>378</v>
      </c>
      <c r="AG193" s="109"/>
      <c r="AH193" s="109" t="s">
        <v>375</v>
      </c>
      <c r="AI193" s="109"/>
      <c r="AJ193" s="108"/>
      <c r="AK193" s="100"/>
      <c r="AL193" s="142"/>
      <c r="AM193" s="142"/>
      <c r="AN193" s="100"/>
      <c r="AO193" s="100"/>
      <c r="AP193" s="142"/>
      <c r="AQ193" s="100"/>
      <c r="AR193" s="100"/>
      <c r="AS193" s="142"/>
      <c r="AT193" s="100"/>
      <c r="AU193" s="100"/>
      <c r="AV193" s="100"/>
    </row>
    <row r="194" spans="1:48" ht="16.3">
      <c r="A194" s="246" t="s">
        <v>1</v>
      </c>
      <c r="B194" s="261">
        <f>SUM(L194+M194+N194+O194+P194+U194+X194+Y194+Z194+AC194+AK194+AL194+AK194+AO194+AR194+AS194+AU194+AV194+AW194+AX194+AP194)</f>
        <v>0</v>
      </c>
      <c r="C194" s="215">
        <f>B194</f>
        <v>0</v>
      </c>
      <c r="D194" s="139"/>
      <c r="E194" s="140"/>
      <c r="F194" s="135"/>
      <c r="G194" s="136"/>
      <c r="H194" s="683"/>
      <c r="I194" s="676"/>
      <c r="J194" s="534"/>
      <c r="K194" s="96"/>
      <c r="L194" s="104"/>
      <c r="M194" s="75"/>
      <c r="N194" s="75"/>
      <c r="O194" s="75"/>
      <c r="P194" s="75"/>
      <c r="Q194" s="97"/>
      <c r="R194" s="163"/>
      <c r="S194" s="109"/>
      <c r="T194" s="109"/>
      <c r="U194" s="100"/>
      <c r="V194" s="110"/>
      <c r="W194" s="110"/>
      <c r="X194" s="100"/>
      <c r="Y194" s="100"/>
      <c r="Z194" s="100"/>
      <c r="AA194" s="110"/>
      <c r="AB194" s="110"/>
      <c r="AC194" s="100"/>
      <c r="AD194" s="108"/>
      <c r="AE194" s="109">
        <v>1</v>
      </c>
      <c r="AF194" s="109">
        <v>1</v>
      </c>
      <c r="AG194" s="109"/>
      <c r="AH194" s="109"/>
      <c r="AI194" s="109"/>
      <c r="AJ194" s="108"/>
      <c r="AK194" s="100"/>
      <c r="AL194" s="142"/>
      <c r="AM194" s="142"/>
      <c r="AN194" s="100"/>
      <c r="AO194" s="100"/>
      <c r="AP194" s="142"/>
      <c r="AQ194" s="100"/>
      <c r="AR194" s="100"/>
      <c r="AS194" s="142"/>
      <c r="AT194" s="100"/>
      <c r="AU194" s="100"/>
      <c r="AV194" s="100"/>
    </row>
    <row r="195" spans="1:48" ht="16.3">
      <c r="A195" s="246" t="s">
        <v>2</v>
      </c>
      <c r="B195" s="261">
        <f>SUM(L195+M195+N195+O195+P195+U195+X195+Y195+Z195+AC195+AK195+AL195+AK195+AO195+AR195+AS195+AU195+AV195+AW195+AX195)</f>
        <v>1</v>
      </c>
      <c r="C195" s="215">
        <f t="shared" ref="C195:C198" si="30">B195</f>
        <v>1</v>
      </c>
      <c r="D195" s="139"/>
      <c r="E195" s="140"/>
      <c r="F195" s="135"/>
      <c r="G195" s="136"/>
      <c r="H195" s="683"/>
      <c r="I195" s="676"/>
      <c r="J195" s="534"/>
      <c r="K195" s="96"/>
      <c r="L195" s="104"/>
      <c r="M195" s="75"/>
      <c r="N195" s="75"/>
      <c r="O195" s="75"/>
      <c r="P195" s="75"/>
      <c r="Q195" s="97"/>
      <c r="R195" s="163"/>
      <c r="S195" s="109"/>
      <c r="T195" s="109"/>
      <c r="U195" s="100"/>
      <c r="V195" s="110"/>
      <c r="W195" s="110"/>
      <c r="X195" s="100"/>
      <c r="Y195" s="100"/>
      <c r="Z195" s="100"/>
      <c r="AA195" s="110"/>
      <c r="AB195" s="110"/>
      <c r="AC195" s="100">
        <v>1</v>
      </c>
      <c r="AD195" s="108"/>
      <c r="AE195" s="109"/>
      <c r="AF195" s="109"/>
      <c r="AG195" s="109"/>
      <c r="AH195" s="109">
        <v>1</v>
      </c>
      <c r="AI195" s="109"/>
      <c r="AJ195" s="108"/>
      <c r="AK195" s="100"/>
      <c r="AL195" s="142"/>
      <c r="AM195" s="142"/>
      <c r="AN195" s="100"/>
      <c r="AO195" s="100"/>
      <c r="AP195" s="142"/>
      <c r="AQ195" s="100"/>
      <c r="AR195" s="100"/>
      <c r="AS195" s="142"/>
      <c r="AT195" s="100"/>
      <c r="AU195" s="100"/>
      <c r="AV195" s="100"/>
    </row>
    <row r="196" spans="1:48" ht="16.3">
      <c r="A196" s="87" t="s">
        <v>363</v>
      </c>
      <c r="B196" s="260">
        <f>SUM(B194+B195)</f>
        <v>1</v>
      </c>
      <c r="C196" s="214">
        <f t="shared" si="30"/>
        <v>1</v>
      </c>
      <c r="D196" s="133"/>
      <c r="E196" s="134"/>
      <c r="F196" s="135"/>
      <c r="G196" s="136"/>
      <c r="H196" s="683"/>
      <c r="I196" s="676"/>
      <c r="J196" s="534"/>
      <c r="K196" s="96"/>
      <c r="L196" s="104"/>
      <c r="M196" s="75"/>
      <c r="N196" s="75"/>
      <c r="O196" s="75"/>
      <c r="P196" s="75"/>
      <c r="Q196" s="97"/>
      <c r="R196" s="163"/>
      <c r="S196" s="109"/>
      <c r="T196" s="109"/>
      <c r="U196" s="100"/>
      <c r="V196" s="110"/>
      <c r="W196" s="110"/>
      <c r="X196" s="100"/>
      <c r="Y196" s="100"/>
      <c r="Z196" s="100"/>
      <c r="AA196" s="110"/>
      <c r="AB196" s="110"/>
      <c r="AC196" s="100"/>
      <c r="AD196" s="108"/>
      <c r="AE196" s="109"/>
      <c r="AF196" s="109"/>
      <c r="AG196" s="109"/>
      <c r="AH196" s="109"/>
      <c r="AI196" s="109"/>
      <c r="AJ196" s="108"/>
      <c r="AK196" s="100"/>
      <c r="AL196" s="142"/>
      <c r="AM196" s="142"/>
      <c r="AN196" s="100"/>
      <c r="AO196" s="100"/>
      <c r="AP196" s="142"/>
      <c r="AQ196" s="100"/>
      <c r="AR196" s="100"/>
      <c r="AS196" s="142"/>
      <c r="AT196" s="100"/>
      <c r="AU196" s="100"/>
      <c r="AV196" s="100"/>
    </row>
    <row r="197" spans="1:48" ht="16.3">
      <c r="A197" s="87" t="s">
        <v>3</v>
      </c>
      <c r="B197" s="260">
        <f>SUM(L197+M197+N197+O197+P197+U197+X197+Y197+Z197+AC197+AK197+AL197+AK197+AO197+AR197+AS197+AU197+AV197+AW197+AX197+AP197)</f>
        <v>0</v>
      </c>
      <c r="C197" s="214">
        <f t="shared" si="30"/>
        <v>0</v>
      </c>
      <c r="D197" s="133"/>
      <c r="E197" s="134"/>
      <c r="F197" s="135"/>
      <c r="G197" s="136"/>
      <c r="H197" s="683"/>
      <c r="I197" s="676"/>
      <c r="J197" s="534"/>
      <c r="K197" s="96"/>
      <c r="L197" s="104"/>
      <c r="M197" s="75"/>
      <c r="N197" s="75"/>
      <c r="O197" s="75"/>
      <c r="P197" s="75"/>
      <c r="Q197" s="97"/>
      <c r="R197" s="163"/>
      <c r="S197" s="109"/>
      <c r="T197" s="109"/>
      <c r="U197" s="100"/>
      <c r="V197" s="110"/>
      <c r="W197" s="110"/>
      <c r="X197" s="100"/>
      <c r="Y197" s="100"/>
      <c r="Z197" s="100"/>
      <c r="AA197" s="110"/>
      <c r="AB197" s="110"/>
      <c r="AC197" s="100"/>
      <c r="AD197" s="108"/>
      <c r="AE197" s="109"/>
      <c r="AF197" s="109"/>
      <c r="AG197" s="109"/>
      <c r="AH197" s="109"/>
      <c r="AI197" s="109"/>
      <c r="AJ197" s="108"/>
      <c r="AK197" s="100"/>
      <c r="AL197" s="142"/>
      <c r="AM197" s="142"/>
      <c r="AN197" s="100"/>
      <c r="AO197" s="100"/>
      <c r="AP197" s="142"/>
      <c r="AQ197" s="100"/>
      <c r="AR197" s="100"/>
      <c r="AS197" s="142"/>
      <c r="AT197" s="100"/>
      <c r="AU197" s="100"/>
      <c r="AV197" s="100"/>
    </row>
    <row r="198" spans="1:48" ht="17" thickBot="1">
      <c r="A198" s="88" t="s">
        <v>4</v>
      </c>
      <c r="B198" s="260">
        <f>SUM(L198+M198+N198+O198+P198+U198+X198+Y198+Z198+AC198+AK198+AL198+AK198+AO198+AR198+AS198+AU198+AV198+AW198+AX198+AP198)</f>
        <v>0</v>
      </c>
      <c r="C198" s="214">
        <f t="shared" si="30"/>
        <v>0</v>
      </c>
      <c r="D198" s="133"/>
      <c r="E198" s="134"/>
      <c r="F198" s="135"/>
      <c r="G198" s="136"/>
      <c r="H198" s="683"/>
      <c r="I198" s="676"/>
      <c r="J198" s="534"/>
      <c r="K198" s="96"/>
      <c r="L198" s="104"/>
      <c r="M198" s="75"/>
      <c r="N198" s="75"/>
      <c r="O198" s="75"/>
      <c r="P198" s="75"/>
      <c r="Q198" s="97"/>
      <c r="R198" s="163"/>
      <c r="S198" s="109"/>
      <c r="T198" s="109"/>
      <c r="U198" s="100"/>
      <c r="V198" s="110"/>
      <c r="W198" s="110"/>
      <c r="X198" s="100"/>
      <c r="Y198" s="100"/>
      <c r="Z198" s="100"/>
      <c r="AA198" s="110"/>
      <c r="AB198" s="110"/>
      <c r="AC198" s="100"/>
      <c r="AD198" s="108"/>
      <c r="AE198" s="109"/>
      <c r="AF198" s="109"/>
      <c r="AG198" s="109"/>
      <c r="AH198" s="109"/>
      <c r="AI198" s="109"/>
      <c r="AJ198" s="108"/>
      <c r="AK198" s="100"/>
      <c r="AL198" s="142"/>
      <c r="AM198" s="142"/>
      <c r="AN198" s="100"/>
      <c r="AO198" s="100"/>
      <c r="AP198" s="142"/>
      <c r="AQ198" s="100"/>
      <c r="AR198" s="100"/>
      <c r="AS198" s="142"/>
      <c r="AT198" s="100"/>
      <c r="AU198" s="100"/>
      <c r="AV198" s="100"/>
    </row>
    <row r="199" spans="1:48" ht="21.1">
      <c r="A199" s="86" t="s">
        <v>159</v>
      </c>
      <c r="B199" s="264"/>
      <c r="C199" s="218"/>
      <c r="D199" s="153"/>
      <c r="E199" s="154"/>
      <c r="F199" s="155"/>
      <c r="G199" s="156"/>
      <c r="H199" s="682"/>
      <c r="I199" s="757"/>
      <c r="J199" s="536"/>
      <c r="K199" s="124" t="s">
        <v>378</v>
      </c>
      <c r="L199" s="123" t="s">
        <v>375</v>
      </c>
      <c r="M199" s="122" t="s">
        <v>375</v>
      </c>
      <c r="N199" s="122">
        <v>9</v>
      </c>
      <c r="O199" s="122" t="s">
        <v>393</v>
      </c>
      <c r="P199" s="122" t="s">
        <v>375</v>
      </c>
      <c r="Q199" s="125"/>
      <c r="R199" s="166"/>
      <c r="S199" s="99"/>
      <c r="T199" s="99">
        <v>9</v>
      </c>
      <c r="U199" s="102" t="s">
        <v>375</v>
      </c>
      <c r="V199" s="101" t="s">
        <v>375</v>
      </c>
      <c r="W199" s="101" t="s">
        <v>378</v>
      </c>
      <c r="X199" s="102" t="s">
        <v>378</v>
      </c>
      <c r="Y199" s="102" t="s">
        <v>375</v>
      </c>
      <c r="Z199" s="102" t="s">
        <v>393</v>
      </c>
      <c r="AA199" s="101" t="s">
        <v>375</v>
      </c>
      <c r="AB199" s="101" t="s">
        <v>375</v>
      </c>
      <c r="AC199" s="102"/>
      <c r="AD199" s="98"/>
      <c r="AE199" s="99"/>
      <c r="AF199" s="99"/>
      <c r="AG199" s="99" t="s">
        <v>378</v>
      </c>
      <c r="AH199" s="99" t="s">
        <v>378</v>
      </c>
      <c r="AI199" s="99"/>
      <c r="AJ199" s="98"/>
      <c r="AK199" s="102"/>
      <c r="AL199" s="138"/>
      <c r="AM199" s="138"/>
      <c r="AN199" s="102"/>
      <c r="AO199" s="102"/>
      <c r="AP199" s="138"/>
      <c r="AQ199" s="102"/>
      <c r="AR199" s="102"/>
      <c r="AS199" s="138"/>
      <c r="AT199" s="102"/>
      <c r="AU199" s="102"/>
      <c r="AV199" s="102"/>
    </row>
    <row r="200" spans="1:48" ht="16.3">
      <c r="A200" s="246" t="s">
        <v>1</v>
      </c>
      <c r="B200" s="261">
        <f>SUM(L200+M200+N200+O200+P200+U200+X200+Y200+Z200+AC200+AK200+AL200+AK200+AO200+AR200+AS200+AU200+AV200+AW200+AX200+AP200)+1</f>
        <v>3</v>
      </c>
      <c r="C200" s="215">
        <f>B200</f>
        <v>3</v>
      </c>
      <c r="D200" s="139"/>
      <c r="E200" s="140"/>
      <c r="F200" s="135"/>
      <c r="G200" s="136"/>
      <c r="H200" s="683"/>
      <c r="I200" s="676"/>
      <c r="J200" s="534"/>
      <c r="K200" s="96">
        <v>1</v>
      </c>
      <c r="L200" s="104"/>
      <c r="M200" s="75"/>
      <c r="N200" s="75">
        <v>1</v>
      </c>
      <c r="O200" s="75"/>
      <c r="P200" s="75"/>
      <c r="Q200" s="97"/>
      <c r="R200" s="163"/>
      <c r="S200" s="109"/>
      <c r="T200" s="109">
        <v>1</v>
      </c>
      <c r="U200" s="100"/>
      <c r="V200" s="110"/>
      <c r="W200" s="110">
        <v>1</v>
      </c>
      <c r="X200" s="100">
        <v>1</v>
      </c>
      <c r="Y200" s="100"/>
      <c r="Z200" s="100"/>
      <c r="AA200" s="110"/>
      <c r="AB200" s="110"/>
      <c r="AC200" s="100"/>
      <c r="AD200" s="108"/>
      <c r="AE200" s="109"/>
      <c r="AF200" s="109"/>
      <c r="AG200" s="109">
        <v>1</v>
      </c>
      <c r="AH200" s="109">
        <v>1</v>
      </c>
      <c r="AI200" s="109"/>
      <c r="AJ200" s="108"/>
      <c r="AK200" s="100"/>
      <c r="AL200" s="142"/>
      <c r="AM200" s="142"/>
      <c r="AN200" s="100"/>
      <c r="AO200" s="100"/>
      <c r="AP200" s="142"/>
      <c r="AQ200" s="100"/>
      <c r="AR200" s="100"/>
      <c r="AS200" s="142"/>
      <c r="AT200" s="100"/>
      <c r="AU200" s="100"/>
      <c r="AV200" s="100"/>
    </row>
    <row r="201" spans="1:48" ht="16.3">
      <c r="A201" s="246" t="s">
        <v>2</v>
      </c>
      <c r="B201" s="261">
        <f>SUM(L201+M201+N201+O201+P201+U201+X201+Y201+Z201+AC201+AK201+AL201+AK201+AO201+AR201+AS201+AU201+AV201+AW201+AX201)+16</f>
        <v>21</v>
      </c>
      <c r="C201" s="215">
        <f t="shared" ref="C201:C204" si="31">B201</f>
        <v>21</v>
      </c>
      <c r="D201" s="139"/>
      <c r="E201" s="140"/>
      <c r="F201" s="135"/>
      <c r="G201" s="136"/>
      <c r="H201" s="683"/>
      <c r="I201" s="676"/>
      <c r="J201" s="534"/>
      <c r="K201" s="96"/>
      <c r="L201" s="104">
        <v>1</v>
      </c>
      <c r="M201" s="75">
        <v>1</v>
      </c>
      <c r="N201" s="75"/>
      <c r="O201" s="75"/>
      <c r="P201" s="75">
        <v>1</v>
      </c>
      <c r="Q201" s="97"/>
      <c r="R201" s="163"/>
      <c r="S201" s="109"/>
      <c r="T201" s="109"/>
      <c r="U201" s="100">
        <v>1</v>
      </c>
      <c r="V201" s="110">
        <v>1</v>
      </c>
      <c r="W201" s="110"/>
      <c r="X201" s="100"/>
      <c r="Y201" s="100">
        <v>1</v>
      </c>
      <c r="Z201" s="100"/>
      <c r="AA201" s="110">
        <v>1</v>
      </c>
      <c r="AB201" s="110">
        <v>1</v>
      </c>
      <c r="AC201" s="100"/>
      <c r="AD201" s="108"/>
      <c r="AE201" s="109"/>
      <c r="AF201" s="109"/>
      <c r="AG201" s="109"/>
      <c r="AH201" s="109"/>
      <c r="AI201" s="109"/>
      <c r="AJ201" s="108"/>
      <c r="AK201" s="100"/>
      <c r="AL201" s="142"/>
      <c r="AM201" s="142"/>
      <c r="AN201" s="100"/>
      <c r="AO201" s="100"/>
      <c r="AP201" s="142"/>
      <c r="AQ201" s="100"/>
      <c r="AR201" s="100"/>
      <c r="AS201" s="142"/>
      <c r="AT201" s="100"/>
      <c r="AU201" s="100"/>
      <c r="AV201" s="100"/>
    </row>
    <row r="202" spans="1:48" ht="16.3">
      <c r="A202" s="87" t="s">
        <v>363</v>
      </c>
      <c r="B202" s="260">
        <f>SUM(B200+B201)</f>
        <v>24</v>
      </c>
      <c r="C202" s="214">
        <f t="shared" si="31"/>
        <v>24</v>
      </c>
      <c r="D202" s="133"/>
      <c r="E202" s="134"/>
      <c r="F202" s="135"/>
      <c r="G202" s="136"/>
      <c r="H202" s="683"/>
      <c r="I202" s="676"/>
      <c r="J202" s="534"/>
      <c r="K202" s="96"/>
      <c r="L202" s="104"/>
      <c r="M202" s="75"/>
      <c r="N202" s="75"/>
      <c r="O202" s="75"/>
      <c r="P202" s="75"/>
      <c r="Q202" s="97"/>
      <c r="R202" s="163"/>
      <c r="S202" s="109"/>
      <c r="T202" s="109"/>
      <c r="U202" s="100"/>
      <c r="V202" s="110"/>
      <c r="W202" s="110"/>
      <c r="X202" s="100"/>
      <c r="Y202" s="100"/>
      <c r="Z202" s="100"/>
      <c r="AA202" s="110"/>
      <c r="AB202" s="110"/>
      <c r="AC202" s="100"/>
      <c r="AD202" s="108"/>
      <c r="AE202" s="109"/>
      <c r="AF202" s="109"/>
      <c r="AG202" s="109"/>
      <c r="AH202" s="109"/>
      <c r="AI202" s="109"/>
      <c r="AJ202" s="108"/>
      <c r="AK202" s="100"/>
      <c r="AL202" s="142"/>
      <c r="AM202" s="142"/>
      <c r="AN202" s="100"/>
      <c r="AO202" s="100"/>
      <c r="AP202" s="142"/>
      <c r="AQ202" s="100"/>
      <c r="AR202" s="100"/>
      <c r="AS202" s="142"/>
      <c r="AT202" s="100"/>
      <c r="AU202" s="100"/>
      <c r="AV202" s="100"/>
    </row>
    <row r="203" spans="1:48" ht="16.3">
      <c r="A203" s="87" t="s">
        <v>3</v>
      </c>
      <c r="B203" s="260">
        <f>SUM(L203+M203+N203+O203+P203+U203+X203+Y203+Z203+AC203+AK203+AL203+AK203+AO203+AR203+AS203+AU203+AV203+AW203+AX203)+3</f>
        <v>3</v>
      </c>
      <c r="C203" s="214">
        <f t="shared" si="31"/>
        <v>3</v>
      </c>
      <c r="D203" s="133"/>
      <c r="E203" s="134"/>
      <c r="F203" s="135"/>
      <c r="G203" s="136"/>
      <c r="H203" s="683"/>
      <c r="I203" s="676"/>
      <c r="J203" s="534"/>
      <c r="K203" s="96"/>
      <c r="L203" s="104"/>
      <c r="M203" s="75"/>
      <c r="N203" s="75"/>
      <c r="O203" s="75"/>
      <c r="P203" s="75"/>
      <c r="Q203" s="97"/>
      <c r="R203" s="163"/>
      <c r="S203" s="109"/>
      <c r="T203" s="109"/>
      <c r="U203" s="100"/>
      <c r="V203" s="110"/>
      <c r="W203" s="110"/>
      <c r="X203" s="100"/>
      <c r="Y203" s="100"/>
      <c r="Z203" s="100"/>
      <c r="AA203" s="110"/>
      <c r="AB203" s="110"/>
      <c r="AC203" s="100"/>
      <c r="AD203" s="108"/>
      <c r="AE203" s="109"/>
      <c r="AF203" s="109"/>
      <c r="AG203" s="109"/>
      <c r="AH203" s="109">
        <v>2</v>
      </c>
      <c r="AI203" s="109"/>
      <c r="AJ203" s="108"/>
      <c r="AK203" s="100"/>
      <c r="AL203" s="142"/>
      <c r="AM203" s="142"/>
      <c r="AN203" s="100"/>
      <c r="AO203" s="100"/>
      <c r="AP203" s="142"/>
      <c r="AQ203" s="100"/>
      <c r="AR203" s="100"/>
      <c r="AS203" s="142"/>
      <c r="AT203" s="100"/>
      <c r="AU203" s="100"/>
      <c r="AV203" s="100"/>
    </row>
    <row r="204" spans="1:48" ht="17" thickBot="1">
      <c r="A204" s="88" t="s">
        <v>4</v>
      </c>
      <c r="B204" s="262">
        <f>SUM(L204+M204+N204+O204+P204+U204+X204+Y204+Z204+AC204+AK204+AL204+AK204+AO204+AR204+AS204+AU204+AV204+AW204+AX204)+15</f>
        <v>15</v>
      </c>
      <c r="C204" s="217">
        <f t="shared" si="31"/>
        <v>15</v>
      </c>
      <c r="D204" s="144"/>
      <c r="E204" s="145"/>
      <c r="F204" s="146"/>
      <c r="G204" s="147"/>
      <c r="H204" s="684"/>
      <c r="I204" s="677"/>
      <c r="J204" s="535"/>
      <c r="K204" s="114"/>
      <c r="L204" s="113"/>
      <c r="M204" s="112"/>
      <c r="N204" s="112"/>
      <c r="O204" s="112"/>
      <c r="P204" s="112"/>
      <c r="Q204" s="115"/>
      <c r="R204" s="164"/>
      <c r="S204" s="118"/>
      <c r="T204" s="118"/>
      <c r="U204" s="116"/>
      <c r="V204" s="120"/>
      <c r="W204" s="120"/>
      <c r="X204" s="116"/>
      <c r="Y204" s="116"/>
      <c r="Z204" s="116"/>
      <c r="AA204" s="120"/>
      <c r="AB204" s="120"/>
      <c r="AC204" s="116"/>
      <c r="AD204" s="117"/>
      <c r="AE204" s="118"/>
      <c r="AF204" s="118"/>
      <c r="AG204" s="118"/>
      <c r="AH204" s="118">
        <v>10</v>
      </c>
      <c r="AI204" s="118"/>
      <c r="AJ204" s="117"/>
      <c r="AK204" s="116"/>
      <c r="AL204" s="149"/>
      <c r="AM204" s="149"/>
      <c r="AN204" s="116"/>
      <c r="AO204" s="116"/>
      <c r="AP204" s="149"/>
      <c r="AQ204" s="116"/>
      <c r="AR204" s="116"/>
      <c r="AS204" s="149"/>
      <c r="AT204" s="116"/>
      <c r="AU204" s="116"/>
      <c r="AV204" s="116"/>
    </row>
    <row r="205" spans="1:48" ht="21.1">
      <c r="A205" s="86" t="s">
        <v>491</v>
      </c>
      <c r="B205" s="260"/>
      <c r="C205" s="214"/>
      <c r="D205" s="133"/>
      <c r="E205" s="134"/>
      <c r="F205" s="135"/>
      <c r="G205" s="136"/>
      <c r="H205" s="683"/>
      <c r="I205" s="676"/>
      <c r="J205" s="534"/>
      <c r="K205" s="96"/>
      <c r="L205" s="104"/>
      <c r="M205" s="75"/>
      <c r="N205" s="75"/>
      <c r="O205" s="75"/>
      <c r="P205" s="75"/>
      <c r="Q205" s="97" t="s">
        <v>375</v>
      </c>
      <c r="R205" s="163"/>
      <c r="S205" s="109" t="s">
        <v>375</v>
      </c>
      <c r="T205" s="109"/>
      <c r="U205" s="100"/>
      <c r="V205" s="110"/>
      <c r="W205" s="110"/>
      <c r="X205" s="100"/>
      <c r="Y205" s="100"/>
      <c r="Z205" s="100"/>
      <c r="AA205" s="110"/>
      <c r="AB205" s="110"/>
      <c r="AC205" s="100"/>
      <c r="AD205" s="108"/>
      <c r="AE205" s="109"/>
      <c r="AF205" s="109" t="s">
        <v>375</v>
      </c>
      <c r="AG205" s="109" t="s">
        <v>375</v>
      </c>
      <c r="AH205" s="109"/>
      <c r="AI205" s="109" t="s">
        <v>378</v>
      </c>
      <c r="AJ205" s="108"/>
      <c r="AK205" s="100"/>
      <c r="AL205" s="142"/>
      <c r="AM205" s="142"/>
      <c r="AN205" s="100"/>
      <c r="AO205" s="100"/>
      <c r="AP205" s="142"/>
      <c r="AQ205" s="100"/>
      <c r="AR205" s="100"/>
      <c r="AS205" s="142"/>
      <c r="AT205" s="100"/>
      <c r="AU205" s="100"/>
      <c r="AV205" s="100"/>
    </row>
    <row r="206" spans="1:48" ht="16.3">
      <c r="A206" s="246" t="s">
        <v>1</v>
      </c>
      <c r="B206" s="261">
        <f>SUM(L206+M206+N206+O206+P206+U206+X206+Y206+Z206+AC206+AK206+AL206+AK206+AO206+AR206+AS206+AU206+AV206+AW206+AX206+AP206)</f>
        <v>0</v>
      </c>
      <c r="C206" s="215">
        <f>B206</f>
        <v>0</v>
      </c>
      <c r="D206" s="133"/>
      <c r="E206" s="134"/>
      <c r="F206" s="135"/>
      <c r="G206" s="136"/>
      <c r="H206" s="683"/>
      <c r="I206" s="676"/>
      <c r="J206" s="534"/>
      <c r="K206" s="96"/>
      <c r="L206" s="104"/>
      <c r="M206" s="75"/>
      <c r="N206" s="75"/>
      <c r="O206" s="75"/>
      <c r="P206" s="75"/>
      <c r="Q206" s="97"/>
      <c r="R206" s="163"/>
      <c r="S206" s="109"/>
      <c r="T206" s="109"/>
      <c r="U206" s="100"/>
      <c r="V206" s="110"/>
      <c r="W206" s="110"/>
      <c r="X206" s="100"/>
      <c r="Y206" s="100"/>
      <c r="Z206" s="100"/>
      <c r="AA206" s="110"/>
      <c r="AB206" s="110"/>
      <c r="AC206" s="100"/>
      <c r="AD206" s="108"/>
      <c r="AE206" s="109"/>
      <c r="AF206" s="109"/>
      <c r="AG206" s="109"/>
      <c r="AH206" s="109"/>
      <c r="AI206" s="109">
        <v>1</v>
      </c>
      <c r="AJ206" s="108"/>
      <c r="AK206" s="100"/>
      <c r="AL206" s="142"/>
      <c r="AM206" s="142"/>
      <c r="AN206" s="100"/>
      <c r="AO206" s="100"/>
      <c r="AP206" s="142"/>
      <c r="AQ206" s="100"/>
      <c r="AR206" s="100"/>
      <c r="AS206" s="142"/>
      <c r="AT206" s="100"/>
      <c r="AU206" s="100"/>
      <c r="AV206" s="100"/>
    </row>
    <row r="207" spans="1:48" ht="16.3">
      <c r="A207" s="246" t="s">
        <v>2</v>
      </c>
      <c r="B207" s="261">
        <f>SUM(L207+M207+N207+O207+P207+U207+X207+Y207+Z207+AC207+AK207+AL207+AK207+AO207+AR207+AS207+AU207+AV207+AW207+AX207)</f>
        <v>0</v>
      </c>
      <c r="C207" s="215">
        <f t="shared" ref="C207:C210" si="32">B207</f>
        <v>0</v>
      </c>
      <c r="D207" s="133"/>
      <c r="E207" s="134"/>
      <c r="F207" s="135"/>
      <c r="G207" s="136"/>
      <c r="H207" s="683"/>
      <c r="I207" s="676"/>
      <c r="J207" s="534"/>
      <c r="K207" s="96"/>
      <c r="L207" s="104"/>
      <c r="M207" s="75"/>
      <c r="N207" s="75"/>
      <c r="O207" s="75"/>
      <c r="P207" s="75"/>
      <c r="Q207" s="97">
        <v>1</v>
      </c>
      <c r="R207" s="163"/>
      <c r="S207" s="109">
        <v>1</v>
      </c>
      <c r="T207" s="109"/>
      <c r="U207" s="100"/>
      <c r="V207" s="110"/>
      <c r="W207" s="110"/>
      <c r="X207" s="100"/>
      <c r="Y207" s="100"/>
      <c r="Z207" s="100"/>
      <c r="AA207" s="110"/>
      <c r="AB207" s="110"/>
      <c r="AC207" s="100"/>
      <c r="AD207" s="108"/>
      <c r="AE207" s="109"/>
      <c r="AF207" s="109">
        <v>1</v>
      </c>
      <c r="AG207" s="109">
        <v>1</v>
      </c>
      <c r="AH207" s="109"/>
      <c r="AI207" s="109"/>
      <c r="AJ207" s="108"/>
      <c r="AK207" s="100"/>
      <c r="AL207" s="142"/>
      <c r="AM207" s="142"/>
      <c r="AN207" s="100"/>
      <c r="AO207" s="100"/>
      <c r="AP207" s="142"/>
      <c r="AQ207" s="100"/>
      <c r="AR207" s="100"/>
      <c r="AS207" s="142"/>
      <c r="AT207" s="100"/>
      <c r="AU207" s="100"/>
      <c r="AV207" s="100"/>
    </row>
    <row r="208" spans="1:48" ht="16.3">
      <c r="A208" s="87" t="s">
        <v>363</v>
      </c>
      <c r="B208" s="260">
        <f>SUM(B206+B207)</f>
        <v>0</v>
      </c>
      <c r="C208" s="214">
        <f t="shared" si="32"/>
        <v>0</v>
      </c>
      <c r="D208" s="133"/>
      <c r="E208" s="134"/>
      <c r="F208" s="135"/>
      <c r="G208" s="136"/>
      <c r="H208" s="683"/>
      <c r="I208" s="676"/>
      <c r="J208" s="534"/>
      <c r="K208" s="96"/>
      <c r="L208" s="104"/>
      <c r="M208" s="75"/>
      <c r="N208" s="75"/>
      <c r="O208" s="75"/>
      <c r="P208" s="75"/>
      <c r="Q208" s="97"/>
      <c r="R208" s="163"/>
      <c r="S208" s="109"/>
      <c r="T208" s="109"/>
      <c r="U208" s="100"/>
      <c r="V208" s="110"/>
      <c r="W208" s="110"/>
      <c r="X208" s="100"/>
      <c r="Y208" s="100"/>
      <c r="Z208" s="100"/>
      <c r="AA208" s="110"/>
      <c r="AB208" s="110"/>
      <c r="AC208" s="100"/>
      <c r="AD208" s="108"/>
      <c r="AE208" s="109"/>
      <c r="AF208" s="109"/>
      <c r="AG208" s="109"/>
      <c r="AH208" s="109"/>
      <c r="AI208" s="109"/>
      <c r="AJ208" s="108"/>
      <c r="AK208" s="100"/>
      <c r="AL208" s="142"/>
      <c r="AM208" s="142"/>
      <c r="AN208" s="100"/>
      <c r="AO208" s="100"/>
      <c r="AP208" s="142"/>
      <c r="AQ208" s="100"/>
      <c r="AR208" s="100"/>
      <c r="AS208" s="142"/>
      <c r="AT208" s="100"/>
      <c r="AU208" s="100"/>
      <c r="AV208" s="100"/>
    </row>
    <row r="209" spans="1:48" ht="16.3">
      <c r="A209" s="87" t="s">
        <v>3</v>
      </c>
      <c r="B209" s="260">
        <f>SUM(L209+M209+N209+O209+P209+U209+X209+Y209+Z209+AC209+AK209+AL209+AK209+AO209+AR209+AS209+AU209+AV209+AW209+AX209+AP209)</f>
        <v>0</v>
      </c>
      <c r="C209" s="214">
        <f t="shared" si="32"/>
        <v>0</v>
      </c>
      <c r="D209" s="133"/>
      <c r="E209" s="134"/>
      <c r="F209" s="135"/>
      <c r="G209" s="136"/>
      <c r="H209" s="683"/>
      <c r="I209" s="676"/>
      <c r="J209" s="534"/>
      <c r="K209" s="96"/>
      <c r="L209" s="104"/>
      <c r="M209" s="75"/>
      <c r="N209" s="75"/>
      <c r="O209" s="75"/>
      <c r="P209" s="75"/>
      <c r="Q209" s="97"/>
      <c r="R209" s="163"/>
      <c r="S209" s="109"/>
      <c r="T209" s="109"/>
      <c r="U209" s="100"/>
      <c r="V209" s="110"/>
      <c r="W209" s="110"/>
      <c r="X209" s="100"/>
      <c r="Y209" s="100"/>
      <c r="Z209" s="100"/>
      <c r="AA209" s="110"/>
      <c r="AB209" s="110"/>
      <c r="AC209" s="100"/>
      <c r="AD209" s="108"/>
      <c r="AE209" s="109"/>
      <c r="AF209" s="109"/>
      <c r="AG209" s="109"/>
      <c r="AH209" s="109"/>
      <c r="AI209" s="109"/>
      <c r="AJ209" s="108"/>
      <c r="AK209" s="100"/>
      <c r="AL209" s="142"/>
      <c r="AM209" s="142"/>
      <c r="AN209" s="100"/>
      <c r="AO209" s="100"/>
      <c r="AP209" s="142"/>
      <c r="AQ209" s="100"/>
      <c r="AR209" s="100"/>
      <c r="AS209" s="142"/>
      <c r="AT209" s="100"/>
      <c r="AU209" s="100"/>
      <c r="AV209" s="100"/>
    </row>
    <row r="210" spans="1:48" ht="17" thickBot="1">
      <c r="A210" s="88" t="s">
        <v>4</v>
      </c>
      <c r="B210" s="262">
        <f>SUM(L210+M210+N210+O210+P210+U210+X210+Y210+Z210+AC210+AK210+AL210+AK210+AO210+AR210+AS210+AU210+AV210+AW210+AX210+AP210)</f>
        <v>0</v>
      </c>
      <c r="C210" s="217">
        <f t="shared" si="32"/>
        <v>0</v>
      </c>
      <c r="D210" s="144"/>
      <c r="E210" s="145"/>
      <c r="F210" s="146"/>
      <c r="G210" s="147"/>
      <c r="H210" s="684"/>
      <c r="I210" s="677"/>
      <c r="J210" s="535"/>
      <c r="K210" s="114"/>
      <c r="L210" s="113"/>
      <c r="M210" s="112"/>
      <c r="N210" s="112"/>
      <c r="O210" s="112"/>
      <c r="P210" s="112"/>
      <c r="Q210" s="115"/>
      <c r="R210" s="164"/>
      <c r="S210" s="118"/>
      <c r="T210" s="118"/>
      <c r="U210" s="116"/>
      <c r="V210" s="120"/>
      <c r="W210" s="120"/>
      <c r="X210" s="116"/>
      <c r="Y210" s="116"/>
      <c r="Z210" s="116"/>
      <c r="AA210" s="120"/>
      <c r="AB210" s="120"/>
      <c r="AC210" s="116"/>
      <c r="AD210" s="117"/>
      <c r="AE210" s="118"/>
      <c r="AF210" s="118"/>
      <c r="AG210" s="118"/>
      <c r="AH210" s="118"/>
      <c r="AI210" s="118"/>
      <c r="AJ210" s="117"/>
      <c r="AK210" s="116"/>
      <c r="AL210" s="149"/>
      <c r="AM210" s="149"/>
      <c r="AN210" s="116"/>
      <c r="AO210" s="116"/>
      <c r="AP210" s="149"/>
      <c r="AQ210" s="116"/>
      <c r="AR210" s="116"/>
      <c r="AS210" s="149"/>
      <c r="AT210" s="116"/>
      <c r="AU210" s="116"/>
      <c r="AV210" s="116"/>
    </row>
    <row r="211" spans="1:48" ht="21.1">
      <c r="A211" s="82" t="s">
        <v>413</v>
      </c>
      <c r="B211" s="260"/>
      <c r="C211" s="214"/>
      <c r="D211" s="133"/>
      <c r="E211" s="134"/>
      <c r="F211" s="135"/>
      <c r="G211" s="136"/>
      <c r="H211" s="683"/>
      <c r="I211" s="676"/>
      <c r="J211" s="534"/>
      <c r="K211" s="96" t="s">
        <v>375</v>
      </c>
      <c r="L211" s="104"/>
      <c r="M211" s="75"/>
      <c r="N211" s="75" t="s">
        <v>375</v>
      </c>
      <c r="O211" s="75"/>
      <c r="P211" s="75"/>
      <c r="Q211" s="97" t="s">
        <v>378</v>
      </c>
      <c r="R211" s="163"/>
      <c r="S211" s="109" t="s">
        <v>378</v>
      </c>
      <c r="T211" s="109" t="s">
        <v>375</v>
      </c>
      <c r="U211" s="100"/>
      <c r="V211" s="110"/>
      <c r="W211" s="110" t="s">
        <v>375</v>
      </c>
      <c r="X211" s="100"/>
      <c r="Y211" s="100"/>
      <c r="Z211" s="100"/>
      <c r="AA211" s="110"/>
      <c r="AB211" s="110"/>
      <c r="AC211" s="100"/>
      <c r="AD211" s="108"/>
      <c r="AE211" s="109" t="s">
        <v>375</v>
      </c>
      <c r="AF211" s="109"/>
      <c r="AG211" s="109"/>
      <c r="AH211" s="109"/>
      <c r="AI211" s="109" t="s">
        <v>375</v>
      </c>
      <c r="AJ211" s="108"/>
      <c r="AK211" s="100"/>
      <c r="AL211" s="142"/>
      <c r="AM211" s="142"/>
      <c r="AN211" s="100"/>
      <c r="AO211" s="100"/>
      <c r="AP211" s="142"/>
      <c r="AQ211" s="100"/>
      <c r="AR211" s="100"/>
      <c r="AS211" s="142"/>
      <c r="AT211" s="100"/>
      <c r="AU211" s="100"/>
      <c r="AV211" s="100"/>
    </row>
    <row r="212" spans="1:48" ht="16.3">
      <c r="A212" s="246" t="s">
        <v>1</v>
      </c>
      <c r="B212" s="261">
        <f>SUM(L212+M212+N212+O212+P212+U212+X212+Y212+Z212+AC212+AK212+AL212+AK212+AO212+AR212+AS212+AU212+AV212+AW212+AX212+AP212)</f>
        <v>0</v>
      </c>
      <c r="C212" s="215">
        <f>B212</f>
        <v>0</v>
      </c>
      <c r="D212" s="133"/>
      <c r="E212" s="134"/>
      <c r="F212" s="135"/>
      <c r="G212" s="136"/>
      <c r="H212" s="683"/>
      <c r="I212" s="676"/>
      <c r="J212" s="534"/>
      <c r="K212" s="96"/>
      <c r="L212" s="104"/>
      <c r="M212" s="75"/>
      <c r="N212" s="75"/>
      <c r="O212" s="75"/>
      <c r="P212" s="75"/>
      <c r="Q212" s="97">
        <v>1</v>
      </c>
      <c r="R212" s="163"/>
      <c r="S212" s="109">
        <v>1</v>
      </c>
      <c r="T212" s="109"/>
      <c r="U212" s="100"/>
      <c r="V212" s="110"/>
      <c r="W212" s="110"/>
      <c r="X212" s="100"/>
      <c r="Y212" s="100"/>
      <c r="Z212" s="100"/>
      <c r="AA212" s="110"/>
      <c r="AB212" s="110"/>
      <c r="AC212" s="100"/>
      <c r="AD212" s="108"/>
      <c r="AE212" s="109"/>
      <c r="AF212" s="109"/>
      <c r="AG212" s="109"/>
      <c r="AH212" s="109"/>
      <c r="AI212" s="109"/>
      <c r="AJ212" s="108"/>
      <c r="AK212" s="100"/>
      <c r="AL212" s="142"/>
      <c r="AM212" s="142"/>
      <c r="AN212" s="100"/>
      <c r="AO212" s="100"/>
      <c r="AP212" s="142"/>
      <c r="AQ212" s="100"/>
      <c r="AR212" s="100"/>
      <c r="AS212" s="142"/>
      <c r="AT212" s="100"/>
      <c r="AU212" s="100"/>
      <c r="AV212" s="100"/>
    </row>
    <row r="213" spans="1:48" ht="16.3">
      <c r="A213" s="246" t="s">
        <v>2</v>
      </c>
      <c r="B213" s="261">
        <f>SUM(L213+M213+N213+O213+P213+U213+X213+Y213+Z213+AC213+AK213+AL213+AK213+AO213+AR213+AS213+AU213+AV213+AW213+AX213)+1</f>
        <v>2</v>
      </c>
      <c r="C213" s="215">
        <f t="shared" ref="C213:C216" si="33">B213</f>
        <v>2</v>
      </c>
      <c r="D213" s="133"/>
      <c r="E213" s="134"/>
      <c r="F213" s="135"/>
      <c r="G213" s="136"/>
      <c r="H213" s="683"/>
      <c r="I213" s="676"/>
      <c r="J213" s="534"/>
      <c r="K213" s="96">
        <v>1</v>
      </c>
      <c r="L213" s="104"/>
      <c r="M213" s="75"/>
      <c r="N213" s="75">
        <v>1</v>
      </c>
      <c r="O213" s="75"/>
      <c r="P213" s="75"/>
      <c r="Q213" s="97"/>
      <c r="R213" s="163"/>
      <c r="S213" s="109"/>
      <c r="T213" s="109">
        <v>1</v>
      </c>
      <c r="U213" s="100"/>
      <c r="V213" s="110"/>
      <c r="W213" s="110">
        <v>1</v>
      </c>
      <c r="X213" s="100"/>
      <c r="Y213" s="100"/>
      <c r="Z213" s="100"/>
      <c r="AA213" s="110"/>
      <c r="AB213" s="110"/>
      <c r="AC213" s="100"/>
      <c r="AD213" s="108"/>
      <c r="AE213" s="109">
        <v>1</v>
      </c>
      <c r="AF213" s="109"/>
      <c r="AG213" s="109"/>
      <c r="AH213" s="109"/>
      <c r="AI213" s="109">
        <v>1</v>
      </c>
      <c r="AJ213" s="108"/>
      <c r="AK213" s="100"/>
      <c r="AL213" s="142"/>
      <c r="AM213" s="142"/>
      <c r="AN213" s="100"/>
      <c r="AO213" s="100"/>
      <c r="AP213" s="142"/>
      <c r="AQ213" s="100"/>
      <c r="AR213" s="100"/>
      <c r="AS213" s="142"/>
      <c r="AT213" s="100"/>
      <c r="AU213" s="100"/>
      <c r="AV213" s="100"/>
    </row>
    <row r="214" spans="1:48" ht="16.3">
      <c r="A214" s="87" t="s">
        <v>363</v>
      </c>
      <c r="B214" s="260">
        <f>SUM(B212+B213)</f>
        <v>2</v>
      </c>
      <c r="C214" s="214">
        <f t="shared" si="33"/>
        <v>2</v>
      </c>
      <c r="D214" s="133"/>
      <c r="E214" s="134"/>
      <c r="F214" s="135"/>
      <c r="G214" s="136"/>
      <c r="H214" s="683"/>
      <c r="I214" s="676"/>
      <c r="J214" s="534"/>
      <c r="K214" s="96"/>
      <c r="L214" s="104"/>
      <c r="M214" s="75"/>
      <c r="N214" s="75"/>
      <c r="O214" s="75"/>
      <c r="P214" s="75"/>
      <c r="Q214" s="97"/>
      <c r="R214" s="163"/>
      <c r="S214" s="109"/>
      <c r="T214" s="109"/>
      <c r="U214" s="100"/>
      <c r="V214" s="110"/>
      <c r="W214" s="110"/>
      <c r="X214" s="100"/>
      <c r="Y214" s="100"/>
      <c r="Z214" s="100"/>
      <c r="AA214" s="110"/>
      <c r="AB214" s="110"/>
      <c r="AC214" s="100"/>
      <c r="AD214" s="108"/>
      <c r="AE214" s="109"/>
      <c r="AF214" s="109"/>
      <c r="AG214" s="109"/>
      <c r="AH214" s="109"/>
      <c r="AI214" s="109"/>
      <c r="AJ214" s="108"/>
      <c r="AK214" s="100"/>
      <c r="AL214" s="142"/>
      <c r="AM214" s="142"/>
      <c r="AN214" s="100"/>
      <c r="AO214" s="100"/>
      <c r="AP214" s="142"/>
      <c r="AQ214" s="100"/>
      <c r="AR214" s="100"/>
      <c r="AS214" s="142"/>
      <c r="AT214" s="100"/>
      <c r="AU214" s="100"/>
      <c r="AV214" s="100"/>
    </row>
    <row r="215" spans="1:48" ht="16.3">
      <c r="A215" s="87" t="s">
        <v>3</v>
      </c>
      <c r="B215" s="260">
        <f>SUM(L215+M215+N215+O215+P215+U215+X215+Y215+Z215+AC215+AK215+AL215+AK215+AO215+AR215+AS215+AU215+AV215+AW215+AX215)</f>
        <v>0</v>
      </c>
      <c r="C215" s="214">
        <f t="shared" si="33"/>
        <v>0</v>
      </c>
      <c r="D215" s="133"/>
      <c r="E215" s="134"/>
      <c r="F215" s="135"/>
      <c r="G215" s="136"/>
      <c r="H215" s="683"/>
      <c r="I215" s="676"/>
      <c r="J215" s="534"/>
      <c r="K215" s="96"/>
      <c r="L215" s="104"/>
      <c r="M215" s="75"/>
      <c r="N215" s="75"/>
      <c r="O215" s="75"/>
      <c r="P215" s="75"/>
      <c r="Q215" s="97"/>
      <c r="R215" s="163"/>
      <c r="S215" s="109"/>
      <c r="T215" s="109"/>
      <c r="U215" s="100"/>
      <c r="V215" s="110"/>
      <c r="W215" s="110"/>
      <c r="X215" s="100"/>
      <c r="Y215" s="100"/>
      <c r="Z215" s="100"/>
      <c r="AA215" s="110"/>
      <c r="AB215" s="110"/>
      <c r="AC215" s="100"/>
      <c r="AD215" s="108"/>
      <c r="AE215" s="109"/>
      <c r="AF215" s="109"/>
      <c r="AG215" s="109"/>
      <c r="AH215" s="109"/>
      <c r="AI215" s="109"/>
      <c r="AJ215" s="108"/>
      <c r="AK215" s="100"/>
      <c r="AL215" s="142"/>
      <c r="AM215" s="142"/>
      <c r="AN215" s="100"/>
      <c r="AO215" s="100"/>
      <c r="AP215" s="142"/>
      <c r="AQ215" s="100"/>
      <c r="AR215" s="100"/>
      <c r="AS215" s="142"/>
      <c r="AT215" s="100"/>
      <c r="AU215" s="100"/>
      <c r="AV215" s="100"/>
    </row>
    <row r="216" spans="1:48" ht="17" thickBot="1">
      <c r="A216" s="88" t="s">
        <v>4</v>
      </c>
      <c r="B216" s="262">
        <f>SUM(L216+M216+N216+O216+P216+U216+X216+Y216+Z216+AC216+AK216+AL216+AK216+AO216+AR216+AS216+AU216+AV216+AW216+AX216)</f>
        <v>0</v>
      </c>
      <c r="C216" s="217">
        <f t="shared" si="33"/>
        <v>0</v>
      </c>
      <c r="D216" s="144"/>
      <c r="E216" s="145"/>
      <c r="F216" s="146"/>
      <c r="G216" s="147"/>
      <c r="H216" s="684"/>
      <c r="I216" s="677"/>
      <c r="J216" s="535"/>
      <c r="K216" s="114"/>
      <c r="L216" s="113"/>
      <c r="M216" s="112"/>
      <c r="N216" s="112"/>
      <c r="O216" s="112"/>
      <c r="P216" s="112"/>
      <c r="Q216" s="115"/>
      <c r="R216" s="164"/>
      <c r="S216" s="118"/>
      <c r="T216" s="118"/>
      <c r="U216" s="112"/>
      <c r="V216" s="110"/>
      <c r="W216" s="110"/>
      <c r="X216" s="100"/>
      <c r="Y216" s="100"/>
      <c r="Z216" s="100"/>
      <c r="AA216" s="110"/>
      <c r="AB216" s="110"/>
      <c r="AC216" s="100"/>
      <c r="AD216" s="108"/>
      <c r="AE216" s="109"/>
      <c r="AF216" s="109"/>
      <c r="AG216" s="109"/>
      <c r="AH216" s="109"/>
      <c r="AI216" s="109"/>
      <c r="AJ216" s="108"/>
      <c r="AK216" s="100"/>
      <c r="AL216" s="142"/>
      <c r="AM216" s="142"/>
      <c r="AN216" s="100"/>
      <c r="AO216" s="100"/>
      <c r="AP216" s="142"/>
      <c r="AQ216" s="100"/>
      <c r="AR216" s="100"/>
      <c r="AS216" s="142"/>
      <c r="AT216" s="100"/>
      <c r="AU216" s="100"/>
      <c r="AV216" s="100"/>
    </row>
    <row r="217" spans="1:48" ht="21.1">
      <c r="A217" s="82" t="s">
        <v>12</v>
      </c>
      <c r="B217" s="260"/>
      <c r="C217" s="214"/>
      <c r="D217" s="133"/>
      <c r="E217" s="134"/>
      <c r="F217" s="135"/>
      <c r="G217" s="136"/>
      <c r="H217" s="683"/>
      <c r="I217" s="676"/>
      <c r="J217" s="534"/>
      <c r="K217" s="96"/>
      <c r="L217" s="104" t="s">
        <v>369</v>
      </c>
      <c r="M217" s="75" t="s">
        <v>369</v>
      </c>
      <c r="N217" s="75" t="s">
        <v>369</v>
      </c>
      <c r="O217" s="75" t="s">
        <v>369</v>
      </c>
      <c r="P217" s="75" t="s">
        <v>369</v>
      </c>
      <c r="Q217" s="97" t="s">
        <v>775</v>
      </c>
      <c r="R217" s="163"/>
      <c r="S217" s="109" t="s">
        <v>775</v>
      </c>
      <c r="T217" s="109" t="s">
        <v>775</v>
      </c>
      <c r="U217" s="100" t="s">
        <v>369</v>
      </c>
      <c r="V217" s="101" t="s">
        <v>369</v>
      </c>
      <c r="W217" s="101" t="s">
        <v>369</v>
      </c>
      <c r="X217" s="102" t="s">
        <v>375</v>
      </c>
      <c r="Y217" s="102" t="s">
        <v>369</v>
      </c>
      <c r="Z217" s="102" t="s">
        <v>369</v>
      </c>
      <c r="AA217" s="101" t="s">
        <v>932</v>
      </c>
      <c r="AB217" s="101" t="s">
        <v>369</v>
      </c>
      <c r="AC217" s="102" t="s">
        <v>375</v>
      </c>
      <c r="AD217" s="98"/>
      <c r="AE217" s="99"/>
      <c r="AF217" s="99"/>
      <c r="AG217" s="99"/>
      <c r="AH217" s="99" t="s">
        <v>375</v>
      </c>
      <c r="AI217" s="99"/>
      <c r="AJ217" s="98"/>
      <c r="AK217" s="102"/>
      <c r="AL217" s="138"/>
      <c r="AM217" s="138"/>
      <c r="AN217" s="102"/>
      <c r="AO217" s="102"/>
      <c r="AP217" s="138"/>
      <c r="AQ217" s="102"/>
      <c r="AR217" s="102"/>
      <c r="AS217" s="138"/>
      <c r="AT217" s="102"/>
      <c r="AU217" s="102"/>
      <c r="AV217" s="102"/>
    </row>
    <row r="218" spans="1:48" ht="16.3">
      <c r="A218" s="246" t="s">
        <v>1</v>
      </c>
      <c r="B218" s="261">
        <f>SUM(L218+M218+N218+O218+P218+U218+X218+Y218+Z218+AC218+AK218+AL218+AK218+AO218+AR218+AS218+AU218+AV218+AW218+AX218+AP218)+90</f>
        <v>98</v>
      </c>
      <c r="C218" s="215">
        <f>B218</f>
        <v>98</v>
      </c>
      <c r="D218" s="139"/>
      <c r="E218" s="140"/>
      <c r="F218" s="135"/>
      <c r="G218" s="136"/>
      <c r="H218" s="683"/>
      <c r="I218" s="676"/>
      <c r="J218" s="534"/>
      <c r="K218" s="96"/>
      <c r="L218" s="104">
        <v>1</v>
      </c>
      <c r="M218" s="75">
        <v>1</v>
      </c>
      <c r="N218" s="75">
        <v>1</v>
      </c>
      <c r="O218" s="75">
        <v>1</v>
      </c>
      <c r="P218" s="75">
        <v>1</v>
      </c>
      <c r="Q218" s="96"/>
      <c r="R218" s="105"/>
      <c r="S218" s="96"/>
      <c r="T218" s="96"/>
      <c r="U218" s="75">
        <v>1</v>
      </c>
      <c r="V218" s="106">
        <v>1</v>
      </c>
      <c r="W218" s="106">
        <v>1</v>
      </c>
      <c r="X218" s="75"/>
      <c r="Y218" s="75">
        <v>1</v>
      </c>
      <c r="Z218" s="75">
        <v>1</v>
      </c>
      <c r="AA218" s="106">
        <v>1</v>
      </c>
      <c r="AB218" s="106">
        <v>1</v>
      </c>
      <c r="AC218" s="75"/>
      <c r="AD218" s="105"/>
      <c r="AE218" s="96"/>
      <c r="AF218" s="96"/>
      <c r="AG218" s="96"/>
      <c r="AH218" s="96"/>
      <c r="AI218" s="96"/>
      <c r="AJ218" s="105"/>
      <c r="AK218" s="75"/>
      <c r="AL218" s="141"/>
      <c r="AM218" s="141"/>
      <c r="AN218" s="75"/>
      <c r="AO218" s="75"/>
      <c r="AP218" s="141"/>
      <c r="AQ218" s="75"/>
      <c r="AR218" s="75"/>
      <c r="AS218" s="141"/>
      <c r="AT218" s="75"/>
      <c r="AU218" s="75"/>
      <c r="AV218" s="75"/>
    </row>
    <row r="219" spans="1:48" ht="16.3">
      <c r="A219" s="246" t="s">
        <v>2</v>
      </c>
      <c r="B219" s="261">
        <f>SUM(L219+M219+N219+O219+P219+U219+X219+Y219+Z219+AC219+AK219+AL219+AK219+AO219+AR219+AS219+AU219+AV219+AW219+AX219)+36</f>
        <v>38</v>
      </c>
      <c r="C219" s="215">
        <f t="shared" ref="C219:C224" si="34">B219</f>
        <v>38</v>
      </c>
      <c r="D219" s="139"/>
      <c r="E219" s="140"/>
      <c r="F219" s="135"/>
      <c r="G219" s="136"/>
      <c r="H219" s="683"/>
      <c r="I219" s="676"/>
      <c r="J219" s="534"/>
      <c r="K219" s="96"/>
      <c r="L219" s="104"/>
      <c r="M219" s="75"/>
      <c r="N219" s="75"/>
      <c r="O219" s="75"/>
      <c r="P219" s="75"/>
      <c r="Q219" s="97"/>
      <c r="R219" s="163"/>
      <c r="S219" s="109"/>
      <c r="T219" s="109"/>
      <c r="U219" s="100"/>
      <c r="V219" s="110"/>
      <c r="W219" s="110"/>
      <c r="X219" s="100">
        <v>1</v>
      </c>
      <c r="Y219" s="100"/>
      <c r="Z219" s="100"/>
      <c r="AA219" s="110"/>
      <c r="AB219" s="110"/>
      <c r="AC219" s="100">
        <v>1</v>
      </c>
      <c r="AD219" s="108"/>
      <c r="AE219" s="109"/>
      <c r="AF219" s="109"/>
      <c r="AG219" s="109"/>
      <c r="AH219" s="109">
        <v>1</v>
      </c>
      <c r="AI219" s="109"/>
      <c r="AJ219" s="108"/>
      <c r="AK219" s="100"/>
      <c r="AL219" s="142"/>
      <c r="AM219" s="142"/>
      <c r="AN219" s="100"/>
      <c r="AO219" s="100"/>
      <c r="AP219" s="142"/>
      <c r="AQ219" s="100"/>
      <c r="AR219" s="100"/>
      <c r="AS219" s="142"/>
      <c r="AT219" s="100"/>
      <c r="AU219" s="100"/>
      <c r="AV219" s="100"/>
    </row>
    <row r="220" spans="1:48" ht="16.3">
      <c r="A220" s="87" t="s">
        <v>363</v>
      </c>
      <c r="B220" s="260">
        <f>SUM(B218+B219)</f>
        <v>136</v>
      </c>
      <c r="C220" s="214">
        <f t="shared" si="34"/>
        <v>136</v>
      </c>
      <c r="D220" s="133"/>
      <c r="E220" s="134"/>
      <c r="F220" s="135"/>
      <c r="G220" s="136"/>
      <c r="H220" s="683"/>
      <c r="I220" s="676"/>
      <c r="J220" s="534"/>
      <c r="K220" s="96"/>
      <c r="L220" s="104"/>
      <c r="M220" s="75"/>
      <c r="N220" s="75"/>
      <c r="O220" s="75"/>
      <c r="P220" s="75"/>
      <c r="Q220" s="97"/>
      <c r="R220" s="163"/>
      <c r="S220" s="109"/>
      <c r="T220" s="109"/>
      <c r="U220" s="100"/>
      <c r="V220" s="110"/>
      <c r="W220" s="110"/>
      <c r="X220" s="100"/>
      <c r="Y220" s="100"/>
      <c r="Z220" s="100"/>
      <c r="AA220" s="110"/>
      <c r="AB220" s="110"/>
      <c r="AC220" s="100"/>
      <c r="AD220" s="108"/>
      <c r="AE220" s="109"/>
      <c r="AF220" s="109"/>
      <c r="AG220" s="109"/>
      <c r="AH220" s="109"/>
      <c r="AI220" s="109"/>
      <c r="AJ220" s="108"/>
      <c r="AK220" s="100"/>
      <c r="AL220" s="142"/>
      <c r="AM220" s="142"/>
      <c r="AN220" s="100"/>
      <c r="AO220" s="100"/>
      <c r="AP220" s="142"/>
      <c r="AQ220" s="100"/>
      <c r="AR220" s="100"/>
      <c r="AS220" s="142"/>
      <c r="AT220" s="100"/>
      <c r="AU220" s="100"/>
      <c r="AV220" s="100"/>
    </row>
    <row r="221" spans="1:48" ht="16.3">
      <c r="A221" s="246" t="s">
        <v>362</v>
      </c>
      <c r="B221" s="261">
        <f>SUM(L221+M221+N221+O221+P221+U221+X221+Y221+Z221+AC221+AK221+AL221+AK221+AO221+AR221+AS221+AU221+AV221+AW221+AX221)+4</f>
        <v>4</v>
      </c>
      <c r="C221" s="215">
        <f t="shared" si="34"/>
        <v>4</v>
      </c>
      <c r="D221" s="139"/>
      <c r="E221" s="140"/>
      <c r="F221" s="135"/>
      <c r="G221" s="136"/>
      <c r="H221" s="683"/>
      <c r="I221" s="676"/>
      <c r="J221" s="534"/>
      <c r="K221" s="96"/>
      <c r="L221" s="104"/>
      <c r="M221" s="75"/>
      <c r="N221" s="75"/>
      <c r="O221" s="75"/>
      <c r="P221" s="75"/>
      <c r="Q221" s="97"/>
      <c r="R221" s="163"/>
      <c r="S221" s="109"/>
      <c r="T221" s="109"/>
      <c r="U221" s="100"/>
      <c r="V221" s="110"/>
      <c r="W221" s="110"/>
      <c r="X221" s="100"/>
      <c r="Y221" s="100"/>
      <c r="Z221" s="100"/>
      <c r="AA221" s="110">
        <v>1</v>
      </c>
      <c r="AB221" s="110"/>
      <c r="AC221" s="100"/>
      <c r="AD221" s="108"/>
      <c r="AE221" s="109"/>
      <c r="AF221" s="109"/>
      <c r="AG221" s="109"/>
      <c r="AH221" s="109"/>
      <c r="AI221" s="109"/>
      <c r="AJ221" s="108"/>
      <c r="AK221" s="100"/>
      <c r="AL221" s="142"/>
      <c r="AM221" s="142"/>
      <c r="AN221" s="100"/>
      <c r="AO221" s="100"/>
      <c r="AP221" s="142"/>
      <c r="AQ221" s="100"/>
      <c r="AR221" s="100"/>
      <c r="AS221" s="142"/>
      <c r="AT221" s="100"/>
      <c r="AU221" s="100"/>
      <c r="AV221" s="100"/>
    </row>
    <row r="222" spans="1:48" ht="16.3">
      <c r="A222" s="246" t="s">
        <v>364</v>
      </c>
      <c r="B222" s="261">
        <f>SUM(L222+M222+N222+O222+P222+U222+X222+Y222+Z222+AC222+AK222+AL222+AK222+AO222+AR222+AS222+AU222+AV222+AW222+AX222)+2</f>
        <v>2</v>
      </c>
      <c r="C222" s="215">
        <f t="shared" si="34"/>
        <v>2</v>
      </c>
      <c r="D222" s="139"/>
      <c r="E222" s="140"/>
      <c r="F222" s="135"/>
      <c r="G222" s="136"/>
      <c r="H222" s="683"/>
      <c r="I222" s="676"/>
      <c r="J222" s="534"/>
      <c r="K222" s="96"/>
      <c r="L222" s="104"/>
      <c r="M222" s="75"/>
      <c r="N222" s="75"/>
      <c r="O222" s="75"/>
      <c r="P222" s="75"/>
      <c r="Q222" s="97"/>
      <c r="R222" s="163"/>
      <c r="S222" s="109"/>
      <c r="T222" s="109"/>
      <c r="U222" s="100"/>
      <c r="V222" s="110"/>
      <c r="W222" s="110"/>
      <c r="X222" s="100"/>
      <c r="Y222" s="100"/>
      <c r="Z222" s="100"/>
      <c r="AA222" s="110"/>
      <c r="AB222" s="110"/>
      <c r="AC222" s="100"/>
      <c r="AD222" s="108"/>
      <c r="AE222" s="109"/>
      <c r="AF222" s="109"/>
      <c r="AG222" s="109"/>
      <c r="AH222" s="109"/>
      <c r="AI222" s="109"/>
      <c r="AJ222" s="108"/>
      <c r="AK222" s="100"/>
      <c r="AL222" s="142"/>
      <c r="AM222" s="142"/>
      <c r="AN222" s="100"/>
      <c r="AO222" s="100"/>
      <c r="AP222" s="142"/>
      <c r="AQ222" s="100"/>
      <c r="AR222" s="100"/>
      <c r="AS222" s="142"/>
      <c r="AT222" s="100"/>
      <c r="AU222" s="100"/>
      <c r="AV222" s="100"/>
    </row>
    <row r="223" spans="1:48" ht="16.3">
      <c r="A223" s="87" t="s">
        <v>3</v>
      </c>
      <c r="B223" s="260">
        <f>SUM(L223+M223+N223+O223+P223+U223+X223+Y223+Z223+AC223+AK223+AL223+AK223+AO223+AR223+AS223+AU223+AV223+AW223+AX223)+14</f>
        <v>17</v>
      </c>
      <c r="C223" s="214">
        <f t="shared" si="34"/>
        <v>17</v>
      </c>
      <c r="D223" s="133"/>
      <c r="E223" s="134"/>
      <c r="F223" s="135"/>
      <c r="G223" s="136"/>
      <c r="H223" s="683"/>
      <c r="I223" s="676"/>
      <c r="J223" s="534"/>
      <c r="K223" s="96"/>
      <c r="L223" s="104">
        <v>1</v>
      </c>
      <c r="M223" s="75">
        <v>1</v>
      </c>
      <c r="N223" s="75"/>
      <c r="O223" s="75"/>
      <c r="P223" s="75"/>
      <c r="Q223" s="97"/>
      <c r="R223" s="163"/>
      <c r="S223" s="109"/>
      <c r="T223" s="109"/>
      <c r="U223" s="100"/>
      <c r="V223" s="110">
        <v>1</v>
      </c>
      <c r="W223" s="110"/>
      <c r="X223" s="100"/>
      <c r="Y223" s="100"/>
      <c r="Z223" s="100">
        <v>1</v>
      </c>
      <c r="AA223" s="110"/>
      <c r="AB223" s="110">
        <v>1</v>
      </c>
      <c r="AC223" s="100"/>
      <c r="AD223" s="108"/>
      <c r="AE223" s="109"/>
      <c r="AF223" s="109"/>
      <c r="AG223" s="109"/>
      <c r="AH223" s="109"/>
      <c r="AI223" s="109"/>
      <c r="AJ223" s="108"/>
      <c r="AK223" s="100"/>
      <c r="AL223" s="142"/>
      <c r="AM223" s="142"/>
      <c r="AN223" s="100"/>
      <c r="AO223" s="100"/>
      <c r="AP223" s="142"/>
      <c r="AQ223" s="100"/>
      <c r="AR223" s="100"/>
      <c r="AS223" s="142"/>
      <c r="AT223" s="100"/>
      <c r="AU223" s="100"/>
      <c r="AV223" s="100"/>
    </row>
    <row r="224" spans="1:48" ht="17" thickBot="1">
      <c r="A224" s="88" t="s">
        <v>4</v>
      </c>
      <c r="B224" s="262">
        <f>SUM(L224+M224+N224+O224+P224+U224+X224+Y224+Z224+AC224+AK224+AL224+AK224+AO224+AR224+AS224+AU224+AV224+AW224+AX224)+70</f>
        <v>85</v>
      </c>
      <c r="C224" s="217">
        <f t="shared" si="34"/>
        <v>85</v>
      </c>
      <c r="D224" s="144"/>
      <c r="E224" s="145"/>
      <c r="F224" s="146"/>
      <c r="G224" s="147"/>
      <c r="H224" s="684"/>
      <c r="I224" s="677"/>
      <c r="J224" s="535"/>
      <c r="K224" s="114"/>
      <c r="L224" s="113">
        <v>5</v>
      </c>
      <c r="M224" s="112">
        <v>5</v>
      </c>
      <c r="N224" s="112"/>
      <c r="O224" s="112"/>
      <c r="P224" s="112"/>
      <c r="Q224" s="115"/>
      <c r="R224" s="164"/>
      <c r="S224" s="118"/>
      <c r="T224" s="114"/>
      <c r="U224" s="116"/>
      <c r="V224" s="120">
        <v>5</v>
      </c>
      <c r="W224" s="120"/>
      <c r="X224" s="116"/>
      <c r="Y224" s="116"/>
      <c r="Z224" s="116">
        <v>5</v>
      </c>
      <c r="AA224" s="120"/>
      <c r="AB224" s="120">
        <v>5</v>
      </c>
      <c r="AC224" s="116"/>
      <c r="AD224" s="117"/>
      <c r="AE224" s="118"/>
      <c r="AF224" s="118"/>
      <c r="AG224" s="118"/>
      <c r="AH224" s="118"/>
      <c r="AI224" s="118"/>
      <c r="AJ224" s="117"/>
      <c r="AK224" s="116"/>
      <c r="AL224" s="149"/>
      <c r="AM224" s="149"/>
      <c r="AN224" s="116"/>
      <c r="AO224" s="116"/>
      <c r="AP224" s="149"/>
      <c r="AQ224" s="116"/>
      <c r="AR224" s="116"/>
      <c r="AS224" s="149"/>
      <c r="AT224" s="116"/>
      <c r="AU224" s="116"/>
      <c r="AV224" s="116"/>
    </row>
    <row r="225" spans="1:48" ht="21.1">
      <c r="A225" s="82" t="s">
        <v>465</v>
      </c>
      <c r="B225" s="260"/>
      <c r="C225" s="214"/>
      <c r="D225" s="133"/>
      <c r="E225" s="134"/>
      <c r="F225" s="135"/>
      <c r="G225" s="136"/>
      <c r="H225" s="683"/>
      <c r="I225" s="676"/>
      <c r="J225" s="534"/>
      <c r="K225" s="96" t="s">
        <v>441</v>
      </c>
      <c r="L225" s="104"/>
      <c r="M225" s="75"/>
      <c r="N225" s="75"/>
      <c r="O225" s="75"/>
      <c r="P225" s="75"/>
      <c r="Q225" s="97" t="s">
        <v>375</v>
      </c>
      <c r="R225" s="163"/>
      <c r="S225" s="109" t="s">
        <v>375</v>
      </c>
      <c r="T225" s="109"/>
      <c r="U225" s="100"/>
      <c r="V225" s="110"/>
      <c r="W225" s="110"/>
      <c r="X225" s="100"/>
      <c r="Y225" s="100"/>
      <c r="Z225" s="100"/>
      <c r="AA225" s="110"/>
      <c r="AB225" s="110"/>
      <c r="AC225" s="100"/>
      <c r="AD225" s="108"/>
      <c r="AE225" s="109" t="s">
        <v>375</v>
      </c>
      <c r="AF225" s="109" t="s">
        <v>375</v>
      </c>
      <c r="AG225" s="109"/>
      <c r="AH225" s="109" t="s">
        <v>375</v>
      </c>
      <c r="AI225" s="109" t="s">
        <v>375</v>
      </c>
      <c r="AJ225" s="108"/>
      <c r="AK225" s="100"/>
      <c r="AL225" s="142"/>
      <c r="AM225" s="142"/>
      <c r="AN225" s="100"/>
      <c r="AO225" s="100"/>
      <c r="AP225" s="142"/>
      <c r="AQ225" s="100"/>
      <c r="AR225" s="100"/>
      <c r="AS225" s="142"/>
      <c r="AT225" s="100"/>
      <c r="AU225" s="100"/>
      <c r="AV225" s="100"/>
    </row>
    <row r="226" spans="1:48" ht="16.3">
      <c r="A226" s="234" t="s">
        <v>1</v>
      </c>
      <c r="B226" s="261">
        <f>SUM(L226+M226+N226+O226+P226+U226+X226+Y226+Z226+AC226+AK226+AL226+AK226+AO226+AR226+AS226+AU226+AV226+AW226+AX226+AP226)</f>
        <v>0</v>
      </c>
      <c r="C226" s="215">
        <f>B226</f>
        <v>0</v>
      </c>
      <c r="D226" s="133"/>
      <c r="E226" s="134"/>
      <c r="F226" s="135"/>
      <c r="G226" s="136"/>
      <c r="H226" s="683"/>
      <c r="I226" s="676"/>
      <c r="J226" s="534"/>
      <c r="K226" s="96"/>
      <c r="L226" s="104"/>
      <c r="M226" s="75"/>
      <c r="N226" s="75"/>
      <c r="O226" s="75"/>
      <c r="P226" s="75"/>
      <c r="Q226" s="97"/>
      <c r="R226" s="163"/>
      <c r="S226" s="109"/>
      <c r="T226" s="109"/>
      <c r="U226" s="100"/>
      <c r="V226" s="110"/>
      <c r="W226" s="110"/>
      <c r="X226" s="100"/>
      <c r="Y226" s="100"/>
      <c r="Z226" s="100"/>
      <c r="AA226" s="110"/>
      <c r="AB226" s="110"/>
      <c r="AC226" s="100"/>
      <c r="AD226" s="108"/>
      <c r="AE226" s="109"/>
      <c r="AF226" s="109"/>
      <c r="AG226" s="109"/>
      <c r="AH226" s="109"/>
      <c r="AI226" s="109"/>
      <c r="AJ226" s="108"/>
      <c r="AK226" s="100"/>
      <c r="AL226" s="142"/>
      <c r="AM226" s="142"/>
      <c r="AN226" s="100"/>
      <c r="AO226" s="100"/>
      <c r="AP226" s="142"/>
      <c r="AQ226" s="100"/>
      <c r="AR226" s="100"/>
      <c r="AS226" s="142"/>
      <c r="AT226" s="100"/>
      <c r="AU226" s="100"/>
      <c r="AV226" s="100"/>
    </row>
    <row r="227" spans="1:48" ht="16.3">
      <c r="A227" s="234" t="s">
        <v>2</v>
      </c>
      <c r="B227" s="261">
        <f>SUM(L227+M227+N227+O227+P227+U227+X227+Y227+Z227+AC227+AK227+AL227+AK227+AO227+AR227+AS227+AU227+AV227+AW227+AX227)</f>
        <v>0</v>
      </c>
      <c r="C227" s="215">
        <f t="shared" ref="C227:C230" si="35">B227</f>
        <v>0</v>
      </c>
      <c r="D227" s="133"/>
      <c r="E227" s="134"/>
      <c r="F227" s="135"/>
      <c r="G227" s="136"/>
      <c r="H227" s="683"/>
      <c r="I227" s="676"/>
      <c r="J227" s="534"/>
      <c r="K227" s="96">
        <v>1</v>
      </c>
      <c r="L227" s="104"/>
      <c r="M227" s="75"/>
      <c r="N227" s="75"/>
      <c r="O227" s="75"/>
      <c r="P227" s="75"/>
      <c r="Q227" s="97">
        <v>1</v>
      </c>
      <c r="R227" s="163"/>
      <c r="S227" s="109">
        <v>1</v>
      </c>
      <c r="T227" s="109"/>
      <c r="U227" s="100"/>
      <c r="V227" s="110"/>
      <c r="W227" s="110"/>
      <c r="X227" s="100"/>
      <c r="Y227" s="100"/>
      <c r="Z227" s="100"/>
      <c r="AA227" s="110"/>
      <c r="AB227" s="110"/>
      <c r="AC227" s="100"/>
      <c r="AD227" s="108"/>
      <c r="AE227" s="109">
        <v>1</v>
      </c>
      <c r="AF227" s="109">
        <v>1</v>
      </c>
      <c r="AG227" s="109"/>
      <c r="AH227" s="109">
        <v>1</v>
      </c>
      <c r="AI227" s="109">
        <v>1</v>
      </c>
      <c r="AJ227" s="108"/>
      <c r="AK227" s="100"/>
      <c r="AL227" s="142"/>
      <c r="AM227" s="142"/>
      <c r="AN227" s="100"/>
      <c r="AO227" s="100"/>
      <c r="AP227" s="142"/>
      <c r="AQ227" s="100"/>
      <c r="AR227" s="100"/>
      <c r="AS227" s="142"/>
      <c r="AT227" s="100"/>
      <c r="AU227" s="100"/>
      <c r="AV227" s="100"/>
    </row>
    <row r="228" spans="1:48" ht="16.3">
      <c r="A228" s="87" t="s">
        <v>363</v>
      </c>
      <c r="B228" s="260">
        <f>SUM(B226+B227)</f>
        <v>0</v>
      </c>
      <c r="C228" s="214">
        <f t="shared" si="35"/>
        <v>0</v>
      </c>
      <c r="D228" s="133"/>
      <c r="E228" s="134"/>
      <c r="F228" s="135"/>
      <c r="G228" s="136"/>
      <c r="H228" s="683"/>
      <c r="I228" s="676"/>
      <c r="J228" s="534"/>
      <c r="K228" s="96"/>
      <c r="L228" s="104"/>
      <c r="M228" s="75"/>
      <c r="N228" s="75"/>
      <c r="O228" s="75"/>
      <c r="P228" s="75"/>
      <c r="Q228" s="97"/>
      <c r="R228" s="163"/>
      <c r="S228" s="109"/>
      <c r="T228" s="109"/>
      <c r="U228" s="100"/>
      <c r="V228" s="110"/>
      <c r="W228" s="110"/>
      <c r="X228" s="100"/>
      <c r="Y228" s="100"/>
      <c r="Z228" s="100"/>
      <c r="AA228" s="110"/>
      <c r="AB228" s="110"/>
      <c r="AC228" s="100"/>
      <c r="AD228" s="108"/>
      <c r="AE228" s="109"/>
      <c r="AF228" s="109"/>
      <c r="AG228" s="109"/>
      <c r="AH228" s="109"/>
      <c r="AI228" s="109"/>
      <c r="AJ228" s="108"/>
      <c r="AK228" s="100"/>
      <c r="AL228" s="142"/>
      <c r="AM228" s="142"/>
      <c r="AN228" s="100"/>
      <c r="AO228" s="100"/>
      <c r="AP228" s="142"/>
      <c r="AQ228" s="100"/>
      <c r="AR228" s="100"/>
      <c r="AS228" s="142"/>
      <c r="AT228" s="100"/>
      <c r="AU228" s="100"/>
      <c r="AV228" s="100"/>
    </row>
    <row r="229" spans="1:48" ht="16.3">
      <c r="A229" s="87" t="s">
        <v>3</v>
      </c>
      <c r="B229" s="260">
        <f>SUM(L229+M229+N229+O229+P229+U229+X229+Y229+Z229+AC229+AK229+AL229+AK229+AO229+AR229+AS229+AU229+AV229+AW229+AX229+AP229)</f>
        <v>0</v>
      </c>
      <c r="C229" s="214">
        <f t="shared" si="35"/>
        <v>0</v>
      </c>
      <c r="D229" s="133"/>
      <c r="E229" s="134"/>
      <c r="F229" s="135"/>
      <c r="G229" s="136"/>
      <c r="H229" s="683"/>
      <c r="I229" s="676"/>
      <c r="J229" s="534"/>
      <c r="K229" s="96"/>
      <c r="L229" s="104"/>
      <c r="M229" s="75"/>
      <c r="N229" s="75"/>
      <c r="O229" s="75"/>
      <c r="P229" s="75"/>
      <c r="Q229" s="97"/>
      <c r="R229" s="163"/>
      <c r="S229" s="109"/>
      <c r="T229" s="109"/>
      <c r="U229" s="100"/>
      <c r="V229" s="110"/>
      <c r="W229" s="110"/>
      <c r="X229" s="100"/>
      <c r="Y229" s="100"/>
      <c r="Z229" s="100"/>
      <c r="AA229" s="110"/>
      <c r="AB229" s="110"/>
      <c r="AC229" s="100"/>
      <c r="AD229" s="108"/>
      <c r="AE229" s="109"/>
      <c r="AF229" s="109"/>
      <c r="AG229" s="109"/>
      <c r="AH229" s="109"/>
      <c r="AI229" s="109"/>
      <c r="AJ229" s="108"/>
      <c r="AK229" s="100"/>
      <c r="AL229" s="142"/>
      <c r="AM229" s="142"/>
      <c r="AN229" s="100"/>
      <c r="AO229" s="100"/>
      <c r="AP229" s="142"/>
      <c r="AQ229" s="100"/>
      <c r="AR229" s="100"/>
      <c r="AS229" s="142"/>
      <c r="AT229" s="100"/>
      <c r="AU229" s="100"/>
      <c r="AV229" s="100"/>
    </row>
    <row r="230" spans="1:48" ht="17" thickBot="1">
      <c r="A230" s="88" t="s">
        <v>4</v>
      </c>
      <c r="B230" s="262">
        <f>SUM(L230+M230+N230+O230+P230+U230+X230+Y230+Z230+AC230+AK230+AL230+AK230+AO230+AR230+AS230+AU230+AV230+AW230+AX230+AP230)</f>
        <v>0</v>
      </c>
      <c r="C230" s="217">
        <f t="shared" si="35"/>
        <v>0</v>
      </c>
      <c r="D230" s="144"/>
      <c r="E230" s="145"/>
      <c r="F230" s="146"/>
      <c r="G230" s="147"/>
      <c r="H230" s="684"/>
      <c r="I230" s="677"/>
      <c r="J230" s="535"/>
      <c r="K230" s="114"/>
      <c r="L230" s="113"/>
      <c r="M230" s="112"/>
      <c r="N230" s="112"/>
      <c r="O230" s="112"/>
      <c r="P230" s="112"/>
      <c r="Q230" s="115"/>
      <c r="R230" s="164"/>
      <c r="S230" s="118"/>
      <c r="T230" s="118"/>
      <c r="U230" s="116"/>
      <c r="V230" s="120"/>
      <c r="W230" s="120"/>
      <c r="X230" s="116"/>
      <c r="Y230" s="116"/>
      <c r="Z230" s="116"/>
      <c r="AA230" s="120"/>
      <c r="AB230" s="120"/>
      <c r="AC230" s="116"/>
      <c r="AD230" s="117"/>
      <c r="AE230" s="118"/>
      <c r="AF230" s="118"/>
      <c r="AG230" s="118"/>
      <c r="AH230" s="118"/>
      <c r="AI230" s="118"/>
      <c r="AJ230" s="117"/>
      <c r="AK230" s="116"/>
      <c r="AL230" s="149"/>
      <c r="AM230" s="149"/>
      <c r="AN230" s="116"/>
      <c r="AO230" s="116"/>
      <c r="AP230" s="149"/>
      <c r="AQ230" s="116"/>
      <c r="AR230" s="116"/>
      <c r="AS230" s="149"/>
      <c r="AT230" s="116"/>
      <c r="AU230" s="116"/>
      <c r="AV230" s="116"/>
    </row>
    <row r="231" spans="1:48" ht="21.1">
      <c r="A231" s="82" t="s">
        <v>199</v>
      </c>
      <c r="B231" s="260"/>
      <c r="C231" s="214"/>
      <c r="D231" s="133"/>
      <c r="E231" s="134"/>
      <c r="F231" s="135"/>
      <c r="G231" s="136"/>
      <c r="H231" s="683"/>
      <c r="I231" s="676"/>
      <c r="J231" s="534"/>
      <c r="K231" s="96" t="s">
        <v>670</v>
      </c>
      <c r="L231" s="104"/>
      <c r="M231" s="75"/>
      <c r="N231" s="75"/>
      <c r="O231" s="75"/>
      <c r="P231" s="75"/>
      <c r="Q231" s="97" t="s">
        <v>369</v>
      </c>
      <c r="R231" s="163"/>
      <c r="S231" s="109" t="s">
        <v>369</v>
      </c>
      <c r="T231" s="109" t="s">
        <v>369</v>
      </c>
      <c r="U231" s="100"/>
      <c r="V231" s="110"/>
      <c r="W231" s="110"/>
      <c r="X231" s="100"/>
      <c r="Y231" s="100"/>
      <c r="Z231" s="100" t="s">
        <v>375</v>
      </c>
      <c r="AA231" s="110"/>
      <c r="AB231" s="110"/>
      <c r="AC231" s="100"/>
      <c r="AD231" s="108"/>
      <c r="AE231" s="109" t="s">
        <v>369</v>
      </c>
      <c r="AF231" s="109" t="s">
        <v>369</v>
      </c>
      <c r="AG231" s="109" t="s">
        <v>369</v>
      </c>
      <c r="AH231" s="109"/>
      <c r="AI231" s="109" t="s">
        <v>369</v>
      </c>
      <c r="AJ231" s="108"/>
      <c r="AK231" s="100"/>
      <c r="AL231" s="142"/>
      <c r="AM231" s="142"/>
      <c r="AN231" s="100"/>
      <c r="AO231" s="100"/>
      <c r="AP231" s="142"/>
      <c r="AQ231" s="100"/>
      <c r="AR231" s="100"/>
      <c r="AS231" s="142"/>
      <c r="AT231" s="100"/>
      <c r="AU231" s="100"/>
      <c r="AV231" s="100"/>
    </row>
    <row r="232" spans="1:48" ht="16.3">
      <c r="A232" s="234" t="s">
        <v>1</v>
      </c>
      <c r="B232" s="261">
        <f>SUM(L232+M232+N232+O232+P232+U232+X232+Y232+Z232+AC232+AK232+AL232+AK232+AO232+AR232+AS232+AU232+AV232+AW232+AX232+AP232)+1</f>
        <v>1</v>
      </c>
      <c r="C232" s="215">
        <f t="shared" ref="C232:C233" si="36">B232</f>
        <v>1</v>
      </c>
      <c r="D232" s="133"/>
      <c r="E232" s="134"/>
      <c r="F232" s="135"/>
      <c r="G232" s="136"/>
      <c r="H232" s="683"/>
      <c r="I232" s="676"/>
      <c r="J232" s="534"/>
      <c r="K232" s="96">
        <v>1</v>
      </c>
      <c r="L232" s="104"/>
      <c r="M232" s="75"/>
      <c r="N232" s="75"/>
      <c r="O232" s="75"/>
      <c r="P232" s="75"/>
      <c r="Q232" s="97">
        <v>1</v>
      </c>
      <c r="R232" s="163"/>
      <c r="S232" s="109">
        <v>1</v>
      </c>
      <c r="T232" s="109">
        <v>1</v>
      </c>
      <c r="U232" s="100"/>
      <c r="V232" s="110"/>
      <c r="W232" s="110"/>
      <c r="X232" s="100"/>
      <c r="Y232" s="100"/>
      <c r="Z232" s="100"/>
      <c r="AA232" s="110"/>
      <c r="AB232" s="110"/>
      <c r="AC232" s="100"/>
      <c r="AD232" s="108"/>
      <c r="AE232" s="109">
        <v>1</v>
      </c>
      <c r="AF232" s="109">
        <v>1</v>
      </c>
      <c r="AG232" s="109">
        <v>1</v>
      </c>
      <c r="AH232" s="109"/>
      <c r="AI232" s="109">
        <v>1</v>
      </c>
      <c r="AJ232" s="108"/>
      <c r="AK232" s="100"/>
      <c r="AL232" s="142"/>
      <c r="AM232" s="142"/>
      <c r="AN232" s="100"/>
      <c r="AO232" s="100"/>
      <c r="AP232" s="142"/>
      <c r="AQ232" s="100"/>
      <c r="AR232" s="100"/>
      <c r="AS232" s="142"/>
      <c r="AT232" s="100"/>
      <c r="AU232" s="100"/>
      <c r="AV232" s="100"/>
    </row>
    <row r="233" spans="1:48" ht="16.3">
      <c r="A233" s="234" t="s">
        <v>2</v>
      </c>
      <c r="B233" s="261">
        <f>SUM(L233+M233+N233+O233+P233+U233+X233+Y233+Z233+AC233+AK233+AL233+AK233+AO233+AR233+AS233+AU233+AV233+AW233+AX233+AP233)</f>
        <v>1</v>
      </c>
      <c r="C233" s="215">
        <f t="shared" si="36"/>
        <v>1</v>
      </c>
      <c r="D233" s="133"/>
      <c r="E233" s="134"/>
      <c r="F233" s="135"/>
      <c r="G233" s="136"/>
      <c r="H233" s="683"/>
      <c r="I233" s="676"/>
      <c r="J233" s="534"/>
      <c r="K233" s="96"/>
      <c r="L233" s="104"/>
      <c r="M233" s="75"/>
      <c r="N233" s="75"/>
      <c r="O233" s="75"/>
      <c r="P233" s="75"/>
      <c r="Q233" s="97"/>
      <c r="R233" s="163"/>
      <c r="S233" s="109"/>
      <c r="T233" s="109"/>
      <c r="U233" s="100"/>
      <c r="V233" s="110"/>
      <c r="W233" s="110"/>
      <c r="X233" s="100"/>
      <c r="Y233" s="100"/>
      <c r="Z233" s="100">
        <v>1</v>
      </c>
      <c r="AA233" s="110"/>
      <c r="AB233" s="110"/>
      <c r="AC233" s="100"/>
      <c r="AD233" s="108"/>
      <c r="AE233" s="109"/>
      <c r="AF233" s="109"/>
      <c r="AG233" s="109"/>
      <c r="AH233" s="109"/>
      <c r="AI233" s="109"/>
      <c r="AJ233" s="108"/>
      <c r="AK233" s="100"/>
      <c r="AL233" s="142"/>
      <c r="AM233" s="142"/>
      <c r="AN233" s="100"/>
      <c r="AO233" s="100"/>
      <c r="AP233" s="142"/>
      <c r="AQ233" s="100"/>
      <c r="AR233" s="100"/>
      <c r="AS233" s="142"/>
      <c r="AT233" s="100"/>
      <c r="AU233" s="100"/>
      <c r="AV233" s="100"/>
    </row>
    <row r="234" spans="1:48" ht="16.3">
      <c r="A234" s="87" t="s">
        <v>363</v>
      </c>
      <c r="B234" s="260">
        <f>SUM(B232+B233)</f>
        <v>2</v>
      </c>
      <c r="C234" s="214">
        <f>SUM(C232+C233)</f>
        <v>2</v>
      </c>
      <c r="D234" s="133"/>
      <c r="E234" s="134"/>
      <c r="F234" s="135"/>
      <c r="G234" s="136"/>
      <c r="H234" s="683"/>
      <c r="I234" s="676"/>
      <c r="J234" s="534"/>
      <c r="K234" s="96"/>
      <c r="L234" s="104"/>
      <c r="M234" s="75"/>
      <c r="N234" s="75"/>
      <c r="O234" s="75"/>
      <c r="P234" s="75"/>
      <c r="Q234" s="97"/>
      <c r="R234" s="163"/>
      <c r="S234" s="109"/>
      <c r="T234" s="109"/>
      <c r="U234" s="100"/>
      <c r="V234" s="110"/>
      <c r="W234" s="110"/>
      <c r="X234" s="100"/>
      <c r="Y234" s="100"/>
      <c r="Z234" s="100"/>
      <c r="AA234" s="110"/>
      <c r="AB234" s="110"/>
      <c r="AC234" s="100"/>
      <c r="AD234" s="108"/>
      <c r="AE234" s="109"/>
      <c r="AF234" s="109"/>
      <c r="AG234" s="109"/>
      <c r="AH234" s="109"/>
      <c r="AI234" s="109"/>
      <c r="AJ234" s="108"/>
      <c r="AK234" s="100"/>
      <c r="AL234" s="142"/>
      <c r="AM234" s="142"/>
      <c r="AN234" s="100"/>
      <c r="AO234" s="100"/>
      <c r="AP234" s="142"/>
      <c r="AQ234" s="100"/>
      <c r="AR234" s="100"/>
      <c r="AS234" s="142"/>
      <c r="AT234" s="100"/>
      <c r="AU234" s="100"/>
      <c r="AV234" s="100"/>
    </row>
    <row r="235" spans="1:48" ht="16.3">
      <c r="A235" s="87" t="s">
        <v>3</v>
      </c>
      <c r="B235" s="260">
        <f>SUM(L235+M235+N235+O235+P235+U235+X235+Y235+Z235+AC235+AK235+AL235+AK235+AO235+AR235+AS235+AU235+AV235+AW235+AX235+AP235)</f>
        <v>0</v>
      </c>
      <c r="C235" s="214">
        <f t="shared" ref="C235:C236" si="37">B235</f>
        <v>0</v>
      </c>
      <c r="D235" s="133"/>
      <c r="E235" s="134"/>
      <c r="F235" s="135"/>
      <c r="G235" s="136"/>
      <c r="H235" s="683"/>
      <c r="I235" s="676"/>
      <c r="J235" s="534"/>
      <c r="K235" s="96"/>
      <c r="L235" s="104"/>
      <c r="M235" s="75"/>
      <c r="N235" s="75"/>
      <c r="O235" s="75"/>
      <c r="P235" s="75"/>
      <c r="Q235" s="97"/>
      <c r="R235" s="163"/>
      <c r="S235" s="109"/>
      <c r="T235" s="109"/>
      <c r="U235" s="100"/>
      <c r="V235" s="110"/>
      <c r="W235" s="110"/>
      <c r="X235" s="100"/>
      <c r="Y235" s="100"/>
      <c r="Z235" s="100"/>
      <c r="AA235" s="110"/>
      <c r="AB235" s="110"/>
      <c r="AC235" s="100"/>
      <c r="AD235" s="108"/>
      <c r="AE235" s="109"/>
      <c r="AF235" s="109"/>
      <c r="AG235" s="109"/>
      <c r="AH235" s="109"/>
      <c r="AI235" s="109"/>
      <c r="AJ235" s="108"/>
      <c r="AK235" s="100"/>
      <c r="AL235" s="142"/>
      <c r="AM235" s="142"/>
      <c r="AN235" s="100"/>
      <c r="AO235" s="100"/>
      <c r="AP235" s="142"/>
      <c r="AQ235" s="100"/>
      <c r="AR235" s="100"/>
      <c r="AS235" s="142"/>
      <c r="AT235" s="100"/>
      <c r="AU235" s="100"/>
      <c r="AV235" s="100"/>
    </row>
    <row r="236" spans="1:48" ht="17" thickBot="1">
      <c r="A236" s="88" t="s">
        <v>4</v>
      </c>
      <c r="B236" s="262">
        <f>SUM(L236+M236+N236+O236+P236+U236+X236+Y236+Z236+AC236+AK236+AL236+AK236+AO236+AR236+AS236+AU236+AV236+AW236+AX236+AP236)</f>
        <v>0</v>
      </c>
      <c r="C236" s="217">
        <f t="shared" si="37"/>
        <v>0</v>
      </c>
      <c r="D236" s="144"/>
      <c r="E236" s="145"/>
      <c r="F236" s="146"/>
      <c r="G236" s="147"/>
      <c r="H236" s="684"/>
      <c r="I236" s="677"/>
      <c r="J236" s="535"/>
      <c r="K236" s="114"/>
      <c r="L236" s="113"/>
      <c r="M236" s="112"/>
      <c r="N236" s="112"/>
      <c r="O236" s="112"/>
      <c r="P236" s="112"/>
      <c r="Q236" s="115"/>
      <c r="R236" s="164"/>
      <c r="S236" s="118"/>
      <c r="T236" s="118"/>
      <c r="U236" s="116"/>
      <c r="V236" s="120"/>
      <c r="W236" s="120"/>
      <c r="X236" s="116"/>
      <c r="Y236" s="116"/>
      <c r="Z236" s="116"/>
      <c r="AA236" s="120"/>
      <c r="AB236" s="120"/>
      <c r="AC236" s="116"/>
      <c r="AD236" s="117"/>
      <c r="AE236" s="118"/>
      <c r="AF236" s="118"/>
      <c r="AG236" s="118"/>
      <c r="AH236" s="118"/>
      <c r="AI236" s="118"/>
      <c r="AJ236" s="117"/>
      <c r="AK236" s="116"/>
      <c r="AL236" s="149"/>
      <c r="AM236" s="149"/>
      <c r="AN236" s="116"/>
      <c r="AO236" s="116"/>
      <c r="AP236" s="149"/>
      <c r="AQ236" s="116"/>
      <c r="AR236" s="116"/>
      <c r="AS236" s="149"/>
      <c r="AT236" s="116"/>
      <c r="AU236" s="116"/>
      <c r="AV236" s="116"/>
    </row>
    <row r="237" spans="1:48" ht="21.1">
      <c r="A237" s="82" t="s">
        <v>805</v>
      </c>
      <c r="B237" s="260"/>
      <c r="C237" s="214"/>
      <c r="D237" s="133"/>
      <c r="E237" s="134"/>
      <c r="F237" s="135"/>
      <c r="G237" s="136"/>
      <c r="H237" s="683"/>
      <c r="I237" s="676"/>
      <c r="J237" s="534"/>
      <c r="K237" s="96"/>
      <c r="L237" s="104"/>
      <c r="M237" s="75"/>
      <c r="N237" s="75"/>
      <c r="O237" s="75"/>
      <c r="P237" s="75"/>
      <c r="Q237" s="97"/>
      <c r="R237" s="163"/>
      <c r="S237" s="109" t="s">
        <v>375</v>
      </c>
      <c r="T237" s="109"/>
      <c r="U237" s="100"/>
      <c r="V237" s="110"/>
      <c r="W237" s="110"/>
      <c r="X237" s="100"/>
      <c r="Y237" s="100"/>
      <c r="Z237" s="100"/>
      <c r="AA237" s="110"/>
      <c r="AB237" s="110"/>
      <c r="AC237" s="100"/>
      <c r="AD237" s="108"/>
      <c r="AE237" s="109" t="s">
        <v>375</v>
      </c>
      <c r="AF237" s="109" t="s">
        <v>375</v>
      </c>
      <c r="AG237" s="109" t="s">
        <v>375</v>
      </c>
      <c r="AH237" s="109"/>
      <c r="AI237" s="109" t="s">
        <v>375</v>
      </c>
      <c r="AJ237" s="108"/>
      <c r="AK237" s="100"/>
      <c r="AL237" s="142"/>
      <c r="AM237" s="142"/>
      <c r="AN237" s="100"/>
      <c r="AO237" s="100"/>
      <c r="AP237" s="142"/>
      <c r="AQ237" s="100"/>
      <c r="AR237" s="100"/>
      <c r="AS237" s="142"/>
      <c r="AT237" s="100"/>
      <c r="AU237" s="100"/>
      <c r="AV237" s="100"/>
    </row>
    <row r="238" spans="1:48" ht="16.3">
      <c r="A238" s="234" t="s">
        <v>1</v>
      </c>
      <c r="B238" s="261">
        <f>SUM(L238+M238+N238+O238+P238+U238+X238+Y238+Z238+AC238+AK238+AL238+AK238+AO238+AR238+AS238+AU238+AV238+AW238+AX238+AP238)+1</f>
        <v>1</v>
      </c>
      <c r="C238" s="215">
        <f t="shared" ref="C238:C239" si="38">B238</f>
        <v>1</v>
      </c>
      <c r="D238" s="133"/>
      <c r="E238" s="134"/>
      <c r="F238" s="135"/>
      <c r="G238" s="136"/>
      <c r="H238" s="683"/>
      <c r="I238" s="676"/>
      <c r="J238" s="534"/>
      <c r="K238" s="96"/>
      <c r="L238" s="104"/>
      <c r="M238" s="75"/>
      <c r="N238" s="75"/>
      <c r="O238" s="75"/>
      <c r="P238" s="75"/>
      <c r="Q238" s="97"/>
      <c r="R238" s="163"/>
      <c r="S238" s="109"/>
      <c r="T238" s="109"/>
      <c r="U238" s="100"/>
      <c r="V238" s="110"/>
      <c r="W238" s="110"/>
      <c r="X238" s="100"/>
      <c r="Y238" s="100"/>
      <c r="Z238" s="100"/>
      <c r="AA238" s="110"/>
      <c r="AB238" s="110"/>
      <c r="AC238" s="100"/>
      <c r="AD238" s="108"/>
      <c r="AE238" s="109"/>
      <c r="AF238" s="109"/>
      <c r="AG238" s="109"/>
      <c r="AH238" s="109"/>
      <c r="AI238" s="109"/>
      <c r="AJ238" s="108"/>
      <c r="AK238" s="100"/>
      <c r="AL238" s="142"/>
      <c r="AM238" s="142"/>
      <c r="AN238" s="100"/>
      <c r="AO238" s="100"/>
      <c r="AP238" s="142"/>
      <c r="AQ238" s="100"/>
      <c r="AR238" s="100"/>
      <c r="AS238" s="142"/>
      <c r="AT238" s="100"/>
      <c r="AU238" s="100"/>
      <c r="AV238" s="100"/>
    </row>
    <row r="239" spans="1:48" ht="16.3">
      <c r="A239" s="234" t="s">
        <v>2</v>
      </c>
      <c r="B239" s="261">
        <f>SUM(L239+M239+N239+O239+P239+U239+X239+Y239+Z239+AC239+AK239+AL239+AK239+AO239+AR239+AS239+AU239+AV239+AW239+AX239+AP239)</f>
        <v>0</v>
      </c>
      <c r="C239" s="215">
        <f t="shared" si="38"/>
        <v>0</v>
      </c>
      <c r="D239" s="133"/>
      <c r="E239" s="134"/>
      <c r="F239" s="135"/>
      <c r="G239" s="136"/>
      <c r="H239" s="683"/>
      <c r="I239" s="676"/>
      <c r="J239" s="534"/>
      <c r="K239" s="96"/>
      <c r="L239" s="104"/>
      <c r="M239" s="75"/>
      <c r="N239" s="75"/>
      <c r="O239" s="75"/>
      <c r="P239" s="75"/>
      <c r="Q239" s="97"/>
      <c r="R239" s="163"/>
      <c r="S239" s="109">
        <v>1</v>
      </c>
      <c r="T239" s="109"/>
      <c r="U239" s="100"/>
      <c r="V239" s="110"/>
      <c r="W239" s="110"/>
      <c r="X239" s="100"/>
      <c r="Y239" s="100"/>
      <c r="Z239" s="100"/>
      <c r="AA239" s="110"/>
      <c r="AB239" s="110"/>
      <c r="AC239" s="100"/>
      <c r="AD239" s="108"/>
      <c r="AE239" s="109">
        <v>1</v>
      </c>
      <c r="AF239" s="109">
        <v>1</v>
      </c>
      <c r="AG239" s="109">
        <v>1</v>
      </c>
      <c r="AH239" s="109"/>
      <c r="AI239" s="109">
        <v>1</v>
      </c>
      <c r="AJ239" s="108"/>
      <c r="AK239" s="100"/>
      <c r="AL239" s="142"/>
      <c r="AM239" s="142"/>
      <c r="AN239" s="100"/>
      <c r="AO239" s="100"/>
      <c r="AP239" s="142"/>
      <c r="AQ239" s="100"/>
      <c r="AR239" s="100"/>
      <c r="AS239" s="142"/>
      <c r="AT239" s="100"/>
      <c r="AU239" s="100"/>
      <c r="AV239" s="100"/>
    </row>
    <row r="240" spans="1:48" ht="16.3">
      <c r="A240" s="87" t="s">
        <v>363</v>
      </c>
      <c r="B240" s="260">
        <f>SUM(B238+B239)</f>
        <v>1</v>
      </c>
      <c r="C240" s="214">
        <f>SUM(C238+C239)</f>
        <v>1</v>
      </c>
      <c r="D240" s="133"/>
      <c r="E240" s="134"/>
      <c r="F240" s="135"/>
      <c r="G240" s="136"/>
      <c r="H240" s="683"/>
      <c r="I240" s="676"/>
      <c r="J240" s="534"/>
      <c r="K240" s="96"/>
      <c r="L240" s="104"/>
      <c r="M240" s="75"/>
      <c r="N240" s="75"/>
      <c r="O240" s="75"/>
      <c r="P240" s="75"/>
      <c r="Q240" s="97"/>
      <c r="R240" s="163"/>
      <c r="S240" s="109"/>
      <c r="T240" s="109"/>
      <c r="U240" s="100"/>
      <c r="V240" s="110"/>
      <c r="W240" s="110"/>
      <c r="X240" s="100"/>
      <c r="Y240" s="100"/>
      <c r="Z240" s="100"/>
      <c r="AA240" s="110"/>
      <c r="AB240" s="110"/>
      <c r="AC240" s="100"/>
      <c r="AD240" s="108"/>
      <c r="AE240" s="109"/>
      <c r="AF240" s="109"/>
      <c r="AG240" s="109"/>
      <c r="AH240" s="109"/>
      <c r="AI240" s="109"/>
      <c r="AJ240" s="108"/>
      <c r="AK240" s="100"/>
      <c r="AL240" s="142"/>
      <c r="AM240" s="142"/>
      <c r="AN240" s="100"/>
      <c r="AO240" s="100"/>
      <c r="AP240" s="142"/>
      <c r="AQ240" s="100"/>
      <c r="AR240" s="100"/>
      <c r="AS240" s="142"/>
      <c r="AT240" s="100"/>
      <c r="AU240" s="100"/>
      <c r="AV240" s="100"/>
    </row>
    <row r="241" spans="1:48" ht="16.3">
      <c r="A241" s="87" t="s">
        <v>3</v>
      </c>
      <c r="B241" s="260">
        <f>SUM(L241+M241+N241+O241+P241+U241+X241+Y241+Z241+AC241+AK241+AL241+AK241+AO241+AR241+AS241+AU241+AV241+AW241+AX241+AP241)</f>
        <v>0</v>
      </c>
      <c r="C241" s="214">
        <f t="shared" ref="C241:C242" si="39">B241</f>
        <v>0</v>
      </c>
      <c r="D241" s="133"/>
      <c r="E241" s="134"/>
      <c r="F241" s="135"/>
      <c r="G241" s="136"/>
      <c r="H241" s="683"/>
      <c r="I241" s="676"/>
      <c r="J241" s="534"/>
      <c r="K241" s="96"/>
      <c r="L241" s="104"/>
      <c r="M241" s="75"/>
      <c r="N241" s="75"/>
      <c r="O241" s="75"/>
      <c r="P241" s="75"/>
      <c r="Q241" s="97"/>
      <c r="R241" s="163"/>
      <c r="S241" s="109"/>
      <c r="T241" s="109"/>
      <c r="U241" s="100"/>
      <c r="V241" s="110"/>
      <c r="W241" s="110"/>
      <c r="X241" s="100"/>
      <c r="Y241" s="100"/>
      <c r="Z241" s="100"/>
      <c r="AA241" s="110"/>
      <c r="AB241" s="110"/>
      <c r="AC241" s="100"/>
      <c r="AD241" s="108"/>
      <c r="AE241" s="109"/>
      <c r="AF241" s="109"/>
      <c r="AG241" s="109"/>
      <c r="AH241" s="109"/>
      <c r="AI241" s="109"/>
      <c r="AJ241" s="108"/>
      <c r="AK241" s="100"/>
      <c r="AL241" s="142"/>
      <c r="AM241" s="142"/>
      <c r="AN241" s="100"/>
      <c r="AO241" s="100"/>
      <c r="AP241" s="142"/>
      <c r="AQ241" s="100"/>
      <c r="AR241" s="100"/>
      <c r="AS241" s="142"/>
      <c r="AT241" s="100"/>
      <c r="AU241" s="100"/>
      <c r="AV241" s="100"/>
    </row>
    <row r="242" spans="1:48" ht="17" thickBot="1">
      <c r="A242" s="88" t="s">
        <v>4</v>
      </c>
      <c r="B242" s="260">
        <f>SUM(L242+M242+N242+O242+P242+U242+X242+Y242+Z242+AC242+AK242+AL242+AK242+AO242+AR242+AS242+AU242+AV242+AW242+AX242+AP242)</f>
        <v>0</v>
      </c>
      <c r="C242" s="214">
        <f t="shared" si="39"/>
        <v>0</v>
      </c>
      <c r="D242" s="133"/>
      <c r="E242" s="134"/>
      <c r="F242" s="135"/>
      <c r="G242" s="136"/>
      <c r="H242" s="683"/>
      <c r="I242" s="676"/>
      <c r="J242" s="534"/>
      <c r="K242" s="96"/>
      <c r="L242" s="104"/>
      <c r="M242" s="75"/>
      <c r="N242" s="75"/>
      <c r="O242" s="75"/>
      <c r="P242" s="75"/>
      <c r="Q242" s="97"/>
      <c r="R242" s="163"/>
      <c r="S242" s="109"/>
      <c r="T242" s="109"/>
      <c r="U242" s="100"/>
      <c r="V242" s="110"/>
      <c r="W242" s="110"/>
      <c r="X242" s="100"/>
      <c r="Y242" s="100"/>
      <c r="Z242" s="100"/>
      <c r="AA242" s="110"/>
      <c r="AB242" s="110"/>
      <c r="AC242" s="100"/>
      <c r="AD242" s="108"/>
      <c r="AE242" s="109"/>
      <c r="AF242" s="109"/>
      <c r="AG242" s="109"/>
      <c r="AH242" s="109"/>
      <c r="AI242" s="109"/>
      <c r="AJ242" s="108"/>
      <c r="AK242" s="100"/>
      <c r="AL242" s="142"/>
      <c r="AM242" s="142"/>
      <c r="AN242" s="100"/>
      <c r="AO242" s="100"/>
      <c r="AP242" s="142"/>
      <c r="AQ242" s="100"/>
      <c r="AR242" s="100"/>
      <c r="AS242" s="142"/>
      <c r="AT242" s="100"/>
      <c r="AU242" s="100"/>
      <c r="AV242" s="100"/>
    </row>
    <row r="243" spans="1:48" ht="21.1">
      <c r="A243" s="86" t="s">
        <v>258</v>
      </c>
      <c r="B243" s="264"/>
      <c r="C243" s="218"/>
      <c r="D243" s="153"/>
      <c r="E243" s="154"/>
      <c r="F243" s="155"/>
      <c r="G243" s="156"/>
      <c r="H243" s="682"/>
      <c r="I243" s="757"/>
      <c r="J243" s="536"/>
      <c r="K243" s="124" t="s">
        <v>689</v>
      </c>
      <c r="L243" s="123" t="s">
        <v>689</v>
      </c>
      <c r="M243" s="122" t="s">
        <v>689</v>
      </c>
      <c r="N243" s="122" t="s">
        <v>375</v>
      </c>
      <c r="O243" s="122" t="s">
        <v>441</v>
      </c>
      <c r="P243" s="122" t="s">
        <v>370</v>
      </c>
      <c r="Q243" s="125"/>
      <c r="R243" s="166"/>
      <c r="S243" s="99" t="s">
        <v>689</v>
      </c>
      <c r="T243" s="99" t="s">
        <v>689</v>
      </c>
      <c r="U243" s="102" t="s">
        <v>370</v>
      </c>
      <c r="V243" s="101" t="s">
        <v>375</v>
      </c>
      <c r="W243" s="101" t="s">
        <v>375</v>
      </c>
      <c r="X243" s="102" t="s">
        <v>375</v>
      </c>
      <c r="Y243" s="102" t="s">
        <v>370</v>
      </c>
      <c r="Z243" s="102" t="s">
        <v>375</v>
      </c>
      <c r="AA243" s="101" t="s">
        <v>375</v>
      </c>
      <c r="AB243" s="101" t="s">
        <v>370</v>
      </c>
      <c r="AC243" s="102" t="s">
        <v>375</v>
      </c>
      <c r="AD243" s="98"/>
      <c r="AE243" s="99"/>
      <c r="AF243" s="99"/>
      <c r="AG243" s="99"/>
      <c r="AH243" s="99"/>
      <c r="AI243" s="99"/>
      <c r="AJ243" s="98"/>
      <c r="AK243" s="102"/>
      <c r="AL243" s="138"/>
      <c r="AM243" s="138"/>
      <c r="AN243" s="102"/>
      <c r="AO243" s="102"/>
      <c r="AP243" s="138"/>
      <c r="AQ243" s="102"/>
      <c r="AR243" s="102"/>
      <c r="AS243" s="138"/>
      <c r="AT243" s="102"/>
      <c r="AU243" s="102"/>
      <c r="AV243" s="102"/>
    </row>
    <row r="244" spans="1:48" ht="16.3">
      <c r="A244" s="234" t="s">
        <v>1</v>
      </c>
      <c r="B244" s="261">
        <f>SUM(L244+M244+N244+O244+P244+U244+X244+Y244+Z244+AC244+AK244+AL244+AK244+AO244+AR244+AS244+AU244+AV244+AW244+AX244+AP244)+22</f>
        <v>25</v>
      </c>
      <c r="C244" s="215">
        <f t="shared" ref="C244:C245" si="40">B244</f>
        <v>25</v>
      </c>
      <c r="D244" s="139"/>
      <c r="E244" s="140"/>
      <c r="F244" s="135"/>
      <c r="G244" s="136"/>
      <c r="H244" s="683"/>
      <c r="I244" s="676"/>
      <c r="J244" s="534"/>
      <c r="K244" s="96"/>
      <c r="L244" s="104"/>
      <c r="M244" s="75"/>
      <c r="N244" s="75"/>
      <c r="O244" s="75"/>
      <c r="P244" s="75">
        <v>1</v>
      </c>
      <c r="Q244" s="97"/>
      <c r="R244" s="163"/>
      <c r="S244" s="109"/>
      <c r="T244" s="109"/>
      <c r="U244" s="100">
        <v>1</v>
      </c>
      <c r="V244" s="110"/>
      <c r="W244" s="110"/>
      <c r="X244" s="100"/>
      <c r="Y244" s="100">
        <v>1</v>
      </c>
      <c r="Z244" s="100"/>
      <c r="AA244" s="110"/>
      <c r="AB244" s="110">
        <v>1</v>
      </c>
      <c r="AC244" s="100"/>
      <c r="AD244" s="108"/>
      <c r="AE244" s="109"/>
      <c r="AF244" s="109"/>
      <c r="AG244" s="109"/>
      <c r="AH244" s="109"/>
      <c r="AI244" s="109"/>
      <c r="AJ244" s="108"/>
      <c r="AK244" s="100"/>
      <c r="AL244" s="142"/>
      <c r="AM244" s="142"/>
      <c r="AN244" s="100"/>
      <c r="AO244" s="100"/>
      <c r="AP244" s="142"/>
      <c r="AQ244" s="100"/>
      <c r="AR244" s="100"/>
      <c r="AS244" s="142"/>
      <c r="AT244" s="100"/>
      <c r="AU244" s="100"/>
      <c r="AV244" s="100"/>
    </row>
    <row r="245" spans="1:48" ht="16.3">
      <c r="A245" s="234" t="s">
        <v>2</v>
      </c>
      <c r="B245" s="261">
        <f>SUM(L245+M245+N245+O245+P245+U245+X245+Y245+Z245+AC245+AK245+AL245+AK245+AO245+AR245+AS245+AU245+AV245+AW245+AX245+AP245)+13</f>
        <v>18</v>
      </c>
      <c r="C245" s="215">
        <f t="shared" si="40"/>
        <v>18</v>
      </c>
      <c r="D245" s="139"/>
      <c r="E245" s="140"/>
      <c r="F245" s="135"/>
      <c r="G245" s="136"/>
      <c r="H245" s="683"/>
      <c r="I245" s="676"/>
      <c r="J245" s="534"/>
      <c r="K245" s="96"/>
      <c r="L245" s="104"/>
      <c r="M245" s="75"/>
      <c r="N245" s="75">
        <v>1</v>
      </c>
      <c r="O245" s="75">
        <v>1</v>
      </c>
      <c r="P245" s="75"/>
      <c r="Q245" s="97"/>
      <c r="R245" s="163"/>
      <c r="S245" s="109"/>
      <c r="T245" s="109"/>
      <c r="U245" s="100"/>
      <c r="V245" s="110">
        <v>1</v>
      </c>
      <c r="W245" s="110">
        <v>1</v>
      </c>
      <c r="X245" s="100">
        <v>1</v>
      </c>
      <c r="Y245" s="100"/>
      <c r="Z245" s="100">
        <v>1</v>
      </c>
      <c r="AA245" s="110">
        <v>1</v>
      </c>
      <c r="AB245" s="110"/>
      <c r="AC245" s="100">
        <v>1</v>
      </c>
      <c r="AD245" s="108"/>
      <c r="AE245" s="109"/>
      <c r="AF245" s="109"/>
      <c r="AG245" s="109"/>
      <c r="AH245" s="109"/>
      <c r="AI245" s="109"/>
      <c r="AJ245" s="108"/>
      <c r="AK245" s="100"/>
      <c r="AL245" s="142"/>
      <c r="AM245" s="142"/>
      <c r="AN245" s="100"/>
      <c r="AO245" s="100"/>
      <c r="AP245" s="142"/>
      <c r="AQ245" s="100"/>
      <c r="AR245" s="100"/>
      <c r="AS245" s="142"/>
      <c r="AT245" s="100"/>
      <c r="AU245" s="100"/>
      <c r="AV245" s="100"/>
    </row>
    <row r="246" spans="1:48" ht="16.3">
      <c r="A246" s="87" t="s">
        <v>363</v>
      </c>
      <c r="B246" s="260">
        <f>SUM(B244+B245)</f>
        <v>43</v>
      </c>
      <c r="C246" s="214">
        <f>SUM(C244+C245)</f>
        <v>43</v>
      </c>
      <c r="D246" s="133"/>
      <c r="E246" s="134"/>
      <c r="F246" s="135"/>
      <c r="G246" s="136"/>
      <c r="H246" s="683"/>
      <c r="I246" s="676"/>
      <c r="J246" s="534"/>
      <c r="K246" s="96"/>
      <c r="L246" s="104"/>
      <c r="M246" s="75"/>
      <c r="N246" s="75"/>
      <c r="O246" s="75"/>
      <c r="P246" s="75"/>
      <c r="Q246" s="97"/>
      <c r="R246" s="163"/>
      <c r="S246" s="109"/>
      <c r="T246" s="109"/>
      <c r="U246" s="100"/>
      <c r="V246" s="110"/>
      <c r="W246" s="110"/>
      <c r="X246" s="100"/>
      <c r="Y246" s="100"/>
      <c r="Z246" s="100"/>
      <c r="AA246" s="110"/>
      <c r="AB246" s="110"/>
      <c r="AC246" s="100"/>
      <c r="AD246" s="108"/>
      <c r="AE246" s="109"/>
      <c r="AF246" s="109"/>
      <c r="AG246" s="109"/>
      <c r="AH246" s="109"/>
      <c r="AI246" s="109"/>
      <c r="AJ246" s="108"/>
      <c r="AK246" s="100"/>
      <c r="AL246" s="142"/>
      <c r="AM246" s="142"/>
      <c r="AN246" s="100"/>
      <c r="AO246" s="100"/>
      <c r="AP246" s="142"/>
      <c r="AQ246" s="100"/>
      <c r="AR246" s="100"/>
      <c r="AS246" s="142"/>
      <c r="AT246" s="100"/>
      <c r="AU246" s="100"/>
      <c r="AV246" s="100"/>
    </row>
    <row r="247" spans="1:48" ht="16.3">
      <c r="A247" s="246" t="s">
        <v>362</v>
      </c>
      <c r="B247" s="261">
        <f>SUM(L247+M247+N247+O247+P247+U247+X247+Y247+Z247+AC247+AK247+AL247+AK247+AO247+AR247+AS247+AU247+AV247+AW247+AX247+AP247)</f>
        <v>1</v>
      </c>
      <c r="C247" s="215">
        <f t="shared" ref="C247:C249" si="41">B247</f>
        <v>1</v>
      </c>
      <c r="D247" s="133"/>
      <c r="E247" s="134"/>
      <c r="F247" s="135"/>
      <c r="G247" s="136"/>
      <c r="H247" s="683"/>
      <c r="I247" s="676"/>
      <c r="J247" s="534"/>
      <c r="K247" s="96"/>
      <c r="L247" s="104"/>
      <c r="M247" s="75"/>
      <c r="N247" s="75"/>
      <c r="O247" s="75">
        <v>1</v>
      </c>
      <c r="P247" s="75"/>
      <c r="Q247" s="97"/>
      <c r="R247" s="163"/>
      <c r="S247" s="109"/>
      <c r="T247" s="109"/>
      <c r="U247" s="100"/>
      <c r="V247" s="110"/>
      <c r="W247" s="110"/>
      <c r="X247" s="100"/>
      <c r="Y247" s="100"/>
      <c r="Z247" s="100"/>
      <c r="AA247" s="110"/>
      <c r="AB247" s="110"/>
      <c r="AC247" s="100"/>
      <c r="AD247" s="108"/>
      <c r="AE247" s="109"/>
      <c r="AF247" s="109"/>
      <c r="AG247" s="109"/>
      <c r="AH247" s="109"/>
      <c r="AI247" s="109"/>
      <c r="AJ247" s="108"/>
      <c r="AK247" s="100"/>
      <c r="AL247" s="142"/>
      <c r="AM247" s="142"/>
      <c r="AN247" s="100"/>
      <c r="AO247" s="100"/>
      <c r="AP247" s="142"/>
      <c r="AQ247" s="100"/>
      <c r="AR247" s="100"/>
      <c r="AS247" s="142"/>
      <c r="AT247" s="100"/>
      <c r="AU247" s="100"/>
      <c r="AV247" s="100"/>
    </row>
    <row r="248" spans="1:48" ht="16.3">
      <c r="A248" s="87" t="s">
        <v>3</v>
      </c>
      <c r="B248" s="260">
        <f>SUM(L248+M248+N248+O248+P248+U248+X248+Y248+Z248+AC248+AK248+AL248+AK248+AO248+AR248+AS248+AU248+AV248+AW248+AX248+AP248)+13</f>
        <v>16</v>
      </c>
      <c r="C248" s="214">
        <f t="shared" si="41"/>
        <v>16</v>
      </c>
      <c r="D248" s="133"/>
      <c r="E248" s="134"/>
      <c r="F248" s="135"/>
      <c r="G248" s="136"/>
      <c r="H248" s="683"/>
      <c r="I248" s="676"/>
      <c r="J248" s="534"/>
      <c r="K248" s="96"/>
      <c r="L248" s="104"/>
      <c r="M248" s="75"/>
      <c r="N248" s="75"/>
      <c r="O248" s="75"/>
      <c r="P248" s="75"/>
      <c r="Q248" s="97"/>
      <c r="R248" s="163"/>
      <c r="S248" s="109"/>
      <c r="T248" s="109"/>
      <c r="U248" s="100">
        <v>1</v>
      </c>
      <c r="V248" s="110"/>
      <c r="W248" s="110"/>
      <c r="X248" s="100"/>
      <c r="Y248" s="100">
        <v>2</v>
      </c>
      <c r="Z248" s="100"/>
      <c r="AA248" s="110"/>
      <c r="AB248" s="110">
        <v>1</v>
      </c>
      <c r="AC248" s="100"/>
      <c r="AD248" s="108"/>
      <c r="AE248" s="109"/>
      <c r="AF248" s="109"/>
      <c r="AG248" s="109"/>
      <c r="AH248" s="109"/>
      <c r="AI248" s="109"/>
      <c r="AJ248" s="108"/>
      <c r="AK248" s="100"/>
      <c r="AL248" s="142"/>
      <c r="AM248" s="142"/>
      <c r="AN248" s="100"/>
      <c r="AO248" s="100"/>
      <c r="AP248" s="142"/>
      <c r="AQ248" s="100"/>
      <c r="AR248" s="100"/>
      <c r="AS248" s="142"/>
      <c r="AT248" s="100"/>
      <c r="AU248" s="100"/>
      <c r="AV248" s="100"/>
    </row>
    <row r="249" spans="1:48" ht="17" thickBot="1">
      <c r="A249" s="88" t="s">
        <v>4</v>
      </c>
      <c r="B249" s="262">
        <f>SUM(L249+M249+N249+O249+P249+U249+X249+Y249+Z249+AC249+AK249+AL249+AK249+AO249+AR249+AS249+AU249+AV249+AW249+AX249+AP249)+65</f>
        <v>80</v>
      </c>
      <c r="C249" s="217">
        <f t="shared" si="41"/>
        <v>80</v>
      </c>
      <c r="D249" s="144"/>
      <c r="E249" s="145"/>
      <c r="F249" s="146"/>
      <c r="G249" s="147"/>
      <c r="H249" s="684"/>
      <c r="I249" s="677"/>
      <c r="J249" s="535"/>
      <c r="K249" s="114"/>
      <c r="L249" s="113"/>
      <c r="M249" s="112"/>
      <c r="N249" s="112"/>
      <c r="O249" s="112"/>
      <c r="P249" s="112"/>
      <c r="Q249" s="115"/>
      <c r="R249" s="164"/>
      <c r="S249" s="118"/>
      <c r="T249" s="114"/>
      <c r="U249" s="116">
        <v>5</v>
      </c>
      <c r="V249" s="120"/>
      <c r="W249" s="120"/>
      <c r="X249" s="116"/>
      <c r="Y249" s="116">
        <v>10</v>
      </c>
      <c r="Z249" s="116"/>
      <c r="AA249" s="120"/>
      <c r="AB249" s="120">
        <v>5</v>
      </c>
      <c r="AC249" s="116"/>
      <c r="AD249" s="117"/>
      <c r="AE249" s="118"/>
      <c r="AF249" s="118"/>
      <c r="AG249" s="118"/>
      <c r="AH249" s="118"/>
      <c r="AI249" s="118"/>
      <c r="AJ249" s="117"/>
      <c r="AK249" s="116"/>
      <c r="AL249" s="149"/>
      <c r="AM249" s="149"/>
      <c r="AN249" s="116"/>
      <c r="AO249" s="116"/>
      <c r="AP249" s="149"/>
      <c r="AQ249" s="116"/>
      <c r="AR249" s="116"/>
      <c r="AS249" s="149"/>
      <c r="AT249" s="116"/>
      <c r="AU249" s="116"/>
      <c r="AV249" s="116"/>
    </row>
    <row r="250" spans="1:48" ht="21.1">
      <c r="A250" s="82" t="s">
        <v>108</v>
      </c>
      <c r="B250" s="260"/>
      <c r="C250" s="214"/>
      <c r="D250" s="133"/>
      <c r="E250" s="134"/>
      <c r="F250" s="135"/>
      <c r="G250" s="136"/>
      <c r="H250" s="683"/>
      <c r="I250" s="676"/>
      <c r="J250" s="534"/>
      <c r="K250" s="96" t="s">
        <v>501</v>
      </c>
      <c r="L250" s="104" t="s">
        <v>501</v>
      </c>
      <c r="M250" s="75" t="s">
        <v>501</v>
      </c>
      <c r="N250" s="75" t="s">
        <v>370</v>
      </c>
      <c r="O250" s="75" t="s">
        <v>370</v>
      </c>
      <c r="P250" s="75" t="s">
        <v>375</v>
      </c>
      <c r="Q250" s="97" t="s">
        <v>775</v>
      </c>
      <c r="R250" s="163"/>
      <c r="S250" s="96" t="s">
        <v>775</v>
      </c>
      <c r="T250" s="96" t="s">
        <v>775</v>
      </c>
      <c r="U250" s="100" t="s">
        <v>375</v>
      </c>
      <c r="V250" s="110" t="s">
        <v>850</v>
      </c>
      <c r="W250" s="110" t="s">
        <v>339</v>
      </c>
      <c r="X250" s="100" t="s">
        <v>339</v>
      </c>
      <c r="Y250" s="100" t="s">
        <v>339</v>
      </c>
      <c r="Z250" s="100" t="s">
        <v>339</v>
      </c>
      <c r="AA250" s="110" t="s">
        <v>339</v>
      </c>
      <c r="AB250" s="110" t="s">
        <v>339</v>
      </c>
      <c r="AC250" s="100" t="s">
        <v>339</v>
      </c>
      <c r="AD250" s="108"/>
      <c r="AE250" s="109" t="s">
        <v>339</v>
      </c>
      <c r="AF250" s="109" t="s">
        <v>339</v>
      </c>
      <c r="AG250" s="109" t="s">
        <v>339</v>
      </c>
      <c r="AH250" s="109" t="s">
        <v>339</v>
      </c>
      <c r="AI250" s="109" t="s">
        <v>339</v>
      </c>
      <c r="AJ250" s="108"/>
      <c r="AK250" s="100" t="s">
        <v>339</v>
      </c>
      <c r="AL250" s="142" t="s">
        <v>339</v>
      </c>
      <c r="AM250" s="142" t="s">
        <v>339</v>
      </c>
      <c r="AN250" s="100" t="s">
        <v>339</v>
      </c>
      <c r="AO250" s="100"/>
      <c r="AP250" s="142"/>
      <c r="AQ250" s="100"/>
      <c r="AR250" s="100"/>
      <c r="AS250" s="142"/>
      <c r="AT250" s="100"/>
      <c r="AU250" s="100"/>
      <c r="AV250" s="100"/>
    </row>
    <row r="251" spans="1:48" ht="16.3">
      <c r="A251" s="246" t="s">
        <v>1</v>
      </c>
      <c r="B251" s="261">
        <f>SUM(L251+M251+N251+O251+P251+U251+X251+Y251+Z251+AC251+AK251+AL251+AK251+AO251+AR251+AS251+AU251+AV251+AW251+AX251+AP251)+57</f>
        <v>59</v>
      </c>
      <c r="C251" s="215">
        <f>SUM(L251+M251+N251+O251+P251+U251+Y251+Z251+X251+AC251+AL251+AK251+AL251+AP251+AS251+AO251+AV251+AW251+AX251+AY251+AR251+AU251)+66</f>
        <v>68</v>
      </c>
      <c r="D251" s="139"/>
      <c r="E251" s="140"/>
      <c r="F251" s="135"/>
      <c r="G251" s="136"/>
      <c r="H251" s="683"/>
      <c r="I251" s="676"/>
      <c r="J251" s="534"/>
      <c r="K251" s="96"/>
      <c r="L251" s="104"/>
      <c r="M251" s="75"/>
      <c r="N251" s="75">
        <v>1</v>
      </c>
      <c r="O251" s="75">
        <v>1</v>
      </c>
      <c r="P251" s="75"/>
      <c r="Q251" s="97"/>
      <c r="R251" s="163"/>
      <c r="S251" s="109"/>
      <c r="T251" s="109"/>
      <c r="U251" s="100"/>
      <c r="V251" s="110">
        <v>1</v>
      </c>
      <c r="W251" s="110"/>
      <c r="X251" s="100"/>
      <c r="Y251" s="100"/>
      <c r="Z251" s="100"/>
      <c r="AA251" s="110"/>
      <c r="AB251" s="110"/>
      <c r="AC251" s="100"/>
      <c r="AD251" s="108"/>
      <c r="AE251" s="109"/>
      <c r="AF251" s="109"/>
      <c r="AG251" s="109"/>
      <c r="AH251" s="109"/>
      <c r="AI251" s="109"/>
      <c r="AJ251" s="108"/>
      <c r="AK251" s="100"/>
      <c r="AL251" s="142"/>
      <c r="AM251" s="142"/>
      <c r="AN251" s="100"/>
      <c r="AO251" s="100"/>
      <c r="AP251" s="142"/>
      <c r="AQ251" s="100"/>
      <c r="AR251" s="100"/>
      <c r="AS251" s="142"/>
      <c r="AT251" s="100"/>
      <c r="AU251" s="100"/>
      <c r="AV251" s="100"/>
    </row>
    <row r="252" spans="1:48" ht="16.3">
      <c r="A252" s="246" t="s">
        <v>2</v>
      </c>
      <c r="B252" s="261">
        <f>SUM(L252+M252+N252+O252+P252+U252+X252+Y252+Z252+AC252+AK252+AL252+AK252+AO252+AR252+AS252+AU252+AV252+AW252+AX252+AP252)+20</f>
        <v>22</v>
      </c>
      <c r="C252" s="215">
        <f>SUM(L252+M252+N252+O252+P252+U252+Y252+Z252+X252+AC252+AL252+AK252+AL252+AP252+AS252+AO252+AV252+AW252+AX252+AY252+AR252+AU252)+27</f>
        <v>29</v>
      </c>
      <c r="D252" s="139"/>
      <c r="E252" s="140"/>
      <c r="F252" s="135"/>
      <c r="G252" s="136"/>
      <c r="H252" s="683"/>
      <c r="I252" s="676"/>
      <c r="J252" s="534"/>
      <c r="K252" s="96"/>
      <c r="L252" s="104"/>
      <c r="M252" s="75"/>
      <c r="N252" s="75"/>
      <c r="O252" s="75"/>
      <c r="P252" s="75">
        <v>1</v>
      </c>
      <c r="Q252" s="97"/>
      <c r="R252" s="163"/>
      <c r="S252" s="109"/>
      <c r="T252" s="109"/>
      <c r="U252" s="100">
        <v>1</v>
      </c>
      <c r="V252" s="110"/>
      <c r="W252" s="110"/>
      <c r="X252" s="100"/>
      <c r="Y252" s="100"/>
      <c r="Z252" s="100"/>
      <c r="AA252" s="110"/>
      <c r="AB252" s="110"/>
      <c r="AC252" s="100"/>
      <c r="AD252" s="108"/>
      <c r="AE252" s="109"/>
      <c r="AF252" s="109"/>
      <c r="AG252" s="109"/>
      <c r="AH252" s="109"/>
      <c r="AI252" s="109"/>
      <c r="AJ252" s="108"/>
      <c r="AK252" s="100"/>
      <c r="AL252" s="142"/>
      <c r="AM252" s="142"/>
      <c r="AN252" s="100"/>
      <c r="AO252" s="100"/>
      <c r="AP252" s="142"/>
      <c r="AQ252" s="100"/>
      <c r="AR252" s="100"/>
      <c r="AS252" s="142"/>
      <c r="AT252" s="100"/>
      <c r="AU252" s="100"/>
      <c r="AV252" s="100"/>
    </row>
    <row r="253" spans="1:48" ht="16.3">
      <c r="A253" s="87" t="s">
        <v>363</v>
      </c>
      <c r="B253" s="260">
        <f>SUM(B251+B252)</f>
        <v>81</v>
      </c>
      <c r="C253" s="214">
        <f>SUM(C251+C252)</f>
        <v>97</v>
      </c>
      <c r="D253" s="133"/>
      <c r="E253" s="134"/>
      <c r="F253" s="135"/>
      <c r="G253" s="136"/>
      <c r="H253" s="683"/>
      <c r="I253" s="676"/>
      <c r="J253" s="534"/>
      <c r="K253" s="96"/>
      <c r="L253" s="104"/>
      <c r="M253" s="75"/>
      <c r="N253" s="75"/>
      <c r="O253" s="75"/>
      <c r="P253" s="75"/>
      <c r="Q253" s="97"/>
      <c r="R253" s="163"/>
      <c r="S253" s="109"/>
      <c r="T253" s="109"/>
      <c r="U253" s="100"/>
      <c r="V253" s="110"/>
      <c r="W253" s="110"/>
      <c r="X253" s="100"/>
      <c r="Y253" s="100"/>
      <c r="Z253" s="100"/>
      <c r="AA253" s="110"/>
      <c r="AB253" s="110"/>
      <c r="AC253" s="100"/>
      <c r="AD253" s="108"/>
      <c r="AE253" s="109"/>
      <c r="AF253" s="109"/>
      <c r="AG253" s="109"/>
      <c r="AH253" s="109"/>
      <c r="AI253" s="109"/>
      <c r="AJ253" s="108"/>
      <c r="AK253" s="100"/>
      <c r="AL253" s="142"/>
      <c r="AM253" s="142"/>
      <c r="AN253" s="100"/>
      <c r="AO253" s="100"/>
      <c r="AP253" s="142"/>
      <c r="AQ253" s="100"/>
      <c r="AR253" s="100"/>
      <c r="AS253" s="142"/>
      <c r="AT253" s="100"/>
      <c r="AU253" s="100"/>
      <c r="AV253" s="100"/>
    </row>
    <row r="254" spans="1:48" ht="16.3">
      <c r="A254" s="87" t="s">
        <v>3</v>
      </c>
      <c r="B254" s="260">
        <f>SUM(L254+M254+N254+O254+P254+U254+X254+Y254+Z254+AC254+AK254+AL254+AK254+AO254+AR254+AS254+AU254+AV254+AW254+AX254+AP254)+9</f>
        <v>9</v>
      </c>
      <c r="C254" s="214">
        <f>SUM(L254+M254+N254+O254+P254+U254+Y254+Z254+X254+AC254+AL254+AK254+AL254+AP254+AS254+AO254+AV254+AW254+AX254+AY254+AR254+AU254)+11</f>
        <v>11</v>
      </c>
      <c r="D254" s="133"/>
      <c r="E254" s="134"/>
      <c r="F254" s="135"/>
      <c r="G254" s="136"/>
      <c r="H254" s="683"/>
      <c r="I254" s="676"/>
      <c r="J254" s="534"/>
      <c r="K254" s="96"/>
      <c r="L254" s="104"/>
      <c r="M254" s="75"/>
      <c r="N254" s="75"/>
      <c r="O254" s="75"/>
      <c r="P254" s="75"/>
      <c r="Q254" s="97"/>
      <c r="R254" s="163"/>
      <c r="S254" s="109"/>
      <c r="T254" s="109"/>
      <c r="U254" s="100"/>
      <c r="V254" s="110"/>
      <c r="W254" s="110"/>
      <c r="X254" s="100"/>
      <c r="Y254" s="100"/>
      <c r="Z254" s="100"/>
      <c r="AA254" s="110"/>
      <c r="AB254" s="110"/>
      <c r="AC254" s="100"/>
      <c r="AD254" s="108"/>
      <c r="AE254" s="109"/>
      <c r="AF254" s="109"/>
      <c r="AG254" s="109"/>
      <c r="AH254" s="109"/>
      <c r="AI254" s="109"/>
      <c r="AJ254" s="108"/>
      <c r="AK254" s="100"/>
      <c r="AL254" s="142"/>
      <c r="AM254" s="142"/>
      <c r="AN254" s="100"/>
      <c r="AO254" s="100"/>
      <c r="AP254" s="142"/>
      <c r="AQ254" s="100"/>
      <c r="AR254" s="100"/>
      <c r="AS254" s="142"/>
      <c r="AT254" s="100"/>
      <c r="AU254" s="100"/>
      <c r="AV254" s="100"/>
    </row>
    <row r="255" spans="1:48" ht="17" thickBot="1">
      <c r="A255" s="88" t="s">
        <v>4</v>
      </c>
      <c r="B255" s="262">
        <f>SUM(L255+M255+N255+O255+P255+U255+X255+Y255+Z255+AC255+AK255+AL255+AK255+AO255+AR255+AS255+AU255+AV255+AW255+AX255+AP255)+45</f>
        <v>45</v>
      </c>
      <c r="C255" s="217">
        <f>SUM(L255+M255+N255+O255+P255+U255+Y255+Z255+X255+AC255+AL255+AK255+AL255+AP255+AS255+AO255+AV255+AW255+AX255+AY255+AR255+AU255)+55</f>
        <v>55</v>
      </c>
      <c r="D255" s="144"/>
      <c r="E255" s="145"/>
      <c r="F255" s="146"/>
      <c r="G255" s="147"/>
      <c r="H255" s="684"/>
      <c r="I255" s="677"/>
      <c r="J255" s="535"/>
      <c r="K255" s="114"/>
      <c r="L255" s="113"/>
      <c r="M255" s="112"/>
      <c r="N255" s="112"/>
      <c r="O255" s="112"/>
      <c r="P255" s="112"/>
      <c r="Q255" s="115"/>
      <c r="R255" s="164"/>
      <c r="S255" s="118"/>
      <c r="T255" s="118"/>
      <c r="U255" s="116"/>
      <c r="V255" s="120"/>
      <c r="W255" s="120"/>
      <c r="X255" s="116"/>
      <c r="Y255" s="116"/>
      <c r="Z255" s="116"/>
      <c r="AA255" s="120"/>
      <c r="AB255" s="120"/>
      <c r="AC255" s="116"/>
      <c r="AD255" s="127"/>
      <c r="AE255" s="118"/>
      <c r="AF255" s="118"/>
      <c r="AG255" s="118"/>
      <c r="AH255" s="118"/>
      <c r="AI255" s="118"/>
      <c r="AJ255" s="117"/>
      <c r="AK255" s="116"/>
      <c r="AL255" s="149"/>
      <c r="AM255" s="149"/>
      <c r="AN255" s="116"/>
      <c r="AO255" s="116"/>
      <c r="AP255" s="149"/>
      <c r="AQ255" s="116"/>
      <c r="AR255" s="116"/>
      <c r="AS255" s="149"/>
      <c r="AT255" s="116"/>
      <c r="AU255" s="116"/>
      <c r="AV255" s="116"/>
    </row>
    <row r="256" spans="1:48" ht="21.1">
      <c r="A256" s="82" t="s">
        <v>295</v>
      </c>
      <c r="B256" s="260"/>
      <c r="C256" s="214"/>
      <c r="D256" s="133"/>
      <c r="E256" s="134"/>
      <c r="F256" s="135"/>
      <c r="G256" s="136"/>
      <c r="H256" s="683"/>
      <c r="I256" s="676"/>
      <c r="J256" s="534"/>
      <c r="K256" s="96"/>
      <c r="L256" s="75" t="s">
        <v>375</v>
      </c>
      <c r="M256" s="75" t="s">
        <v>375</v>
      </c>
      <c r="N256" s="75" t="s">
        <v>375</v>
      </c>
      <c r="O256" s="75" t="s">
        <v>375</v>
      </c>
      <c r="P256" s="75" t="s">
        <v>441</v>
      </c>
      <c r="Q256" s="97"/>
      <c r="R256" s="163"/>
      <c r="S256" s="109"/>
      <c r="T256" s="109" t="s">
        <v>375</v>
      </c>
      <c r="U256" s="100" t="s">
        <v>375</v>
      </c>
      <c r="V256" s="110" t="s">
        <v>375</v>
      </c>
      <c r="W256" s="110" t="s">
        <v>375</v>
      </c>
      <c r="X256" s="100" t="s">
        <v>369</v>
      </c>
      <c r="Y256" s="100" t="s">
        <v>375</v>
      </c>
      <c r="Z256" s="100"/>
      <c r="AA256" s="110" t="s">
        <v>375</v>
      </c>
      <c r="AB256" s="106" t="s">
        <v>375</v>
      </c>
      <c r="AC256" s="104" t="s">
        <v>369</v>
      </c>
      <c r="AD256" s="108"/>
      <c r="AE256" s="109"/>
      <c r="AF256" s="109"/>
      <c r="AG256" s="109"/>
      <c r="AH256" s="109" t="s">
        <v>670</v>
      </c>
      <c r="AI256" s="109"/>
      <c r="AJ256" s="108"/>
      <c r="AK256" s="100"/>
      <c r="AL256" s="142"/>
      <c r="AM256" s="142"/>
      <c r="AN256" s="100"/>
      <c r="AO256" s="100"/>
      <c r="AP256" s="142"/>
      <c r="AQ256" s="100"/>
      <c r="AR256" s="100"/>
      <c r="AS256" s="142"/>
      <c r="AT256" s="100"/>
      <c r="AU256" s="100"/>
      <c r="AV256" s="100"/>
    </row>
    <row r="257" spans="1:48" ht="16.3">
      <c r="A257" s="246" t="s">
        <v>1</v>
      </c>
      <c r="B257" s="261">
        <f>SUM(L257+M257+N257+O257+P257+U257+X257+Y257+Z257+AC257+AK257+AL257+AK257+AO257+AR257+AS257+AU257+AV257+AW257+AX257+AP257)+4</f>
        <v>6</v>
      </c>
      <c r="C257" s="215">
        <f>SUM(L257+M257+N257+O257+P257+U257+Y257+Z257+X257+AC257+AL257+AK257+AL257+AP257+AS257+AO257+AV257+AW257+AX257+AY257+AR257+AU257)+32</f>
        <v>34</v>
      </c>
      <c r="D257" s="139"/>
      <c r="E257" s="140"/>
      <c r="F257" s="135"/>
      <c r="G257" s="136"/>
      <c r="H257" s="683"/>
      <c r="I257" s="676"/>
      <c r="J257" s="534"/>
      <c r="K257" s="96"/>
      <c r="L257" s="75"/>
      <c r="M257" s="75"/>
      <c r="N257" s="75"/>
      <c r="O257" s="75"/>
      <c r="P257" s="75"/>
      <c r="Q257" s="97"/>
      <c r="R257" s="163"/>
      <c r="S257" s="109"/>
      <c r="T257" s="109"/>
      <c r="U257" s="100"/>
      <c r="V257" s="110"/>
      <c r="W257" s="110"/>
      <c r="X257" s="100">
        <v>1</v>
      </c>
      <c r="Y257" s="100"/>
      <c r="Z257" s="100"/>
      <c r="AA257" s="110"/>
      <c r="AB257" s="106"/>
      <c r="AC257" s="104">
        <v>1</v>
      </c>
      <c r="AD257" s="108"/>
      <c r="AE257" s="109"/>
      <c r="AF257" s="109"/>
      <c r="AG257" s="109"/>
      <c r="AH257" s="109">
        <v>1</v>
      </c>
      <c r="AI257" s="109"/>
      <c r="AJ257" s="108"/>
      <c r="AK257" s="100"/>
      <c r="AL257" s="142"/>
      <c r="AM257" s="142"/>
      <c r="AN257" s="100"/>
      <c r="AO257" s="100"/>
      <c r="AP257" s="142"/>
      <c r="AQ257" s="100"/>
      <c r="AR257" s="100"/>
      <c r="AS257" s="142"/>
      <c r="AT257" s="100"/>
      <c r="AU257" s="100"/>
      <c r="AV257" s="100"/>
    </row>
    <row r="258" spans="1:48" ht="16.3">
      <c r="A258" s="246" t="s">
        <v>2</v>
      </c>
      <c r="B258" s="261">
        <f>SUM(L258+M258+N258+O258+P258+U258+X258+Y258+Z258+AC258+AK258+AL258+AK258+AO258+AR258+AS258+AU258+AV258+AW258+AX258+AP258)+15</f>
        <v>22</v>
      </c>
      <c r="C258" s="215">
        <f>SUM(L258+M258+N258+O258+P258+U258+Y258+Z258+X258+AC258+AL258+AK258+AL258+AP258+AS258+AO258+AV258+AW258+AX258+AY258+AR258+AU258)+79</f>
        <v>86</v>
      </c>
      <c r="D258" s="139"/>
      <c r="E258" s="140"/>
      <c r="F258" s="135"/>
      <c r="G258" s="136"/>
      <c r="H258" s="683"/>
      <c r="I258" s="676"/>
      <c r="J258" s="534"/>
      <c r="K258" s="96"/>
      <c r="L258" s="75">
        <v>1</v>
      </c>
      <c r="M258" s="75">
        <v>1</v>
      </c>
      <c r="N258" s="75">
        <v>1</v>
      </c>
      <c r="O258" s="75">
        <v>1</v>
      </c>
      <c r="P258" s="75">
        <v>1</v>
      </c>
      <c r="Q258" s="97"/>
      <c r="R258" s="163"/>
      <c r="S258" s="109"/>
      <c r="T258" s="109">
        <v>1</v>
      </c>
      <c r="U258" s="100">
        <v>1</v>
      </c>
      <c r="V258" s="110">
        <v>1</v>
      </c>
      <c r="W258" s="110">
        <v>1</v>
      </c>
      <c r="X258" s="100"/>
      <c r="Y258" s="100">
        <v>1</v>
      </c>
      <c r="Z258" s="100"/>
      <c r="AA258" s="110">
        <v>1</v>
      </c>
      <c r="AB258" s="106">
        <v>1</v>
      </c>
      <c r="AC258" s="104"/>
      <c r="AD258" s="108"/>
      <c r="AE258" s="109"/>
      <c r="AF258" s="109"/>
      <c r="AG258" s="109"/>
      <c r="AH258" s="109"/>
      <c r="AI258" s="109"/>
      <c r="AJ258" s="108"/>
      <c r="AK258" s="100"/>
      <c r="AL258" s="142"/>
      <c r="AM258" s="142"/>
      <c r="AN258" s="100"/>
      <c r="AO258" s="100"/>
      <c r="AP258" s="142"/>
      <c r="AQ258" s="100"/>
      <c r="AR258" s="100"/>
      <c r="AS258" s="142"/>
      <c r="AT258" s="100"/>
      <c r="AU258" s="100"/>
      <c r="AV258" s="100"/>
    </row>
    <row r="259" spans="1:48" ht="16.3">
      <c r="A259" s="87" t="s">
        <v>363</v>
      </c>
      <c r="B259" s="260">
        <f>SUM(B257+B258)</f>
        <v>28</v>
      </c>
      <c r="C259" s="214">
        <f>SUM(C257+C258)</f>
        <v>120</v>
      </c>
      <c r="D259" s="133"/>
      <c r="E259" s="134"/>
      <c r="F259" s="135"/>
      <c r="G259" s="136"/>
      <c r="H259" s="683"/>
      <c r="I259" s="676"/>
      <c r="J259" s="534"/>
      <c r="K259" s="96"/>
      <c r="L259" s="75"/>
      <c r="M259" s="75"/>
      <c r="N259" s="75"/>
      <c r="O259" s="75"/>
      <c r="P259" s="75"/>
      <c r="Q259" s="97"/>
      <c r="R259" s="163"/>
      <c r="S259" s="109"/>
      <c r="T259" s="109"/>
      <c r="U259" s="100"/>
      <c r="V259" s="110"/>
      <c r="W259" s="110"/>
      <c r="X259" s="100"/>
      <c r="Y259" s="100"/>
      <c r="Z259" s="100"/>
      <c r="AA259" s="110"/>
      <c r="AB259" s="106"/>
      <c r="AC259" s="104"/>
      <c r="AD259" s="108"/>
      <c r="AE259" s="109"/>
      <c r="AF259" s="109"/>
      <c r="AG259" s="109"/>
      <c r="AH259" s="109"/>
      <c r="AI259" s="109"/>
      <c r="AJ259" s="108"/>
      <c r="AK259" s="100"/>
      <c r="AL259" s="142"/>
      <c r="AM259" s="142"/>
      <c r="AN259" s="100"/>
      <c r="AO259" s="100"/>
      <c r="AP259" s="142"/>
      <c r="AQ259" s="100"/>
      <c r="AR259" s="100"/>
      <c r="AS259" s="142"/>
      <c r="AT259" s="100"/>
      <c r="AU259" s="100"/>
      <c r="AV259" s="100"/>
    </row>
    <row r="260" spans="1:48" ht="16.3">
      <c r="A260" s="246" t="s">
        <v>362</v>
      </c>
      <c r="B260" s="261">
        <f>SUM(L260+M260+N260+O260+P260+U260+X260+Y260+Z260+AC260+AK260+AL260+AK260+AO260+AR260+AS260+AU260+AV260+AW260+AX260+AP260)</f>
        <v>1</v>
      </c>
      <c r="C260" s="215">
        <f>SUM(L260+M260+N260+O260+P260+U260+Y260+Z260+X260+AC260+AL260+AK260+AL260+AP260+AS260+AO260+AV260+AW260+AX260+AY260+AR260+AU260)+1</f>
        <v>2</v>
      </c>
      <c r="D260" s="139"/>
      <c r="E260" s="140"/>
      <c r="F260" s="135"/>
      <c r="G260" s="136"/>
      <c r="H260" s="683"/>
      <c r="I260" s="676"/>
      <c r="J260" s="534"/>
      <c r="K260" s="96"/>
      <c r="L260" s="75"/>
      <c r="M260" s="75"/>
      <c r="N260" s="75"/>
      <c r="O260" s="75"/>
      <c r="P260" s="75">
        <v>1</v>
      </c>
      <c r="Q260" s="97"/>
      <c r="R260" s="163"/>
      <c r="S260" s="109"/>
      <c r="T260" s="109"/>
      <c r="U260" s="100"/>
      <c r="V260" s="110"/>
      <c r="W260" s="110"/>
      <c r="X260" s="100"/>
      <c r="Y260" s="100"/>
      <c r="Z260" s="100"/>
      <c r="AA260" s="110"/>
      <c r="AB260" s="106"/>
      <c r="AC260" s="104"/>
      <c r="AD260" s="108"/>
      <c r="AE260" s="109"/>
      <c r="AF260" s="109"/>
      <c r="AG260" s="109"/>
      <c r="AH260" s="109">
        <v>1</v>
      </c>
      <c r="AI260" s="109"/>
      <c r="AJ260" s="108"/>
      <c r="AK260" s="100"/>
      <c r="AL260" s="142"/>
      <c r="AM260" s="142"/>
      <c r="AN260" s="100"/>
      <c r="AO260" s="100"/>
      <c r="AP260" s="142"/>
      <c r="AQ260" s="100"/>
      <c r="AR260" s="100"/>
      <c r="AS260" s="142"/>
      <c r="AT260" s="100"/>
      <c r="AU260" s="100"/>
      <c r="AV260" s="100"/>
    </row>
    <row r="261" spans="1:48" ht="16.3">
      <c r="A261" s="246" t="s">
        <v>364</v>
      </c>
      <c r="B261" s="261">
        <f>SUM(L261+M261+N261+O261+P261+U261+X261+Y261+Z261+AC261+AK261+AL261+AK261+AO261+AR261+AS261+AU261+AV261+AW261+AX261+AP261)</f>
        <v>0</v>
      </c>
      <c r="C261" s="215">
        <f>SUM(L261+M261+N261+O261+P261+U261+Y261+Z261+X261+AC261+AL261+AK261+AL261+AP261+AS261+AO261+AV261+AW261+AX261+AY261+AR261+AU261)+1</f>
        <v>1</v>
      </c>
      <c r="D261" s="139"/>
      <c r="E261" s="140"/>
      <c r="F261" s="135"/>
      <c r="G261" s="136"/>
      <c r="H261" s="683"/>
      <c r="I261" s="676"/>
      <c r="J261" s="534"/>
      <c r="K261" s="96"/>
      <c r="L261" s="75"/>
      <c r="M261" s="75"/>
      <c r="N261" s="75"/>
      <c r="O261" s="75"/>
      <c r="P261" s="75"/>
      <c r="Q261" s="97"/>
      <c r="R261" s="163"/>
      <c r="S261" s="109"/>
      <c r="T261" s="109"/>
      <c r="U261" s="100"/>
      <c r="V261" s="110"/>
      <c r="W261" s="110"/>
      <c r="X261" s="100"/>
      <c r="Y261" s="100"/>
      <c r="Z261" s="100"/>
      <c r="AA261" s="110"/>
      <c r="AB261" s="106"/>
      <c r="AC261" s="104"/>
      <c r="AD261" s="108"/>
      <c r="AE261" s="109"/>
      <c r="AF261" s="109"/>
      <c r="AG261" s="109"/>
      <c r="AH261" s="109"/>
      <c r="AI261" s="109"/>
      <c r="AJ261" s="108"/>
      <c r="AK261" s="100"/>
      <c r="AL261" s="142"/>
      <c r="AM261" s="142"/>
      <c r="AN261" s="100"/>
      <c r="AO261" s="100"/>
      <c r="AP261" s="142"/>
      <c r="AQ261" s="100"/>
      <c r="AR261" s="100"/>
      <c r="AS261" s="142"/>
      <c r="AT261" s="100"/>
      <c r="AU261" s="100"/>
      <c r="AV261" s="100"/>
    </row>
    <row r="262" spans="1:48" ht="16.3">
      <c r="A262" s="87" t="s">
        <v>3</v>
      </c>
      <c r="B262" s="260">
        <f>SUM(L262+M262+N262+O262+P262+U262+X262+Y262+Z262+AC262+AK262+AL262+AK262+AO262+AR262+AS262+AU262+AV262+AW262+AX262+AP262)+3</f>
        <v>4</v>
      </c>
      <c r="C262" s="214">
        <f>SUM(L262+M262+N262+O262+P262+U262+Y262+Z262+X262+AC262+AL262+AK262+AL262+AP262+AS262+AO262+AV262+AW262+AX262+AY262+AR262+AU262)+6</f>
        <v>7</v>
      </c>
      <c r="D262" s="133"/>
      <c r="E262" s="134"/>
      <c r="F262" s="135"/>
      <c r="G262" s="136"/>
      <c r="H262" s="683"/>
      <c r="I262" s="676"/>
      <c r="J262" s="534"/>
      <c r="K262" s="96"/>
      <c r="L262" s="75"/>
      <c r="M262" s="75"/>
      <c r="N262" s="75"/>
      <c r="O262" s="75"/>
      <c r="P262" s="75"/>
      <c r="Q262" s="97"/>
      <c r="R262" s="163"/>
      <c r="S262" s="109"/>
      <c r="T262" s="109"/>
      <c r="U262" s="100"/>
      <c r="V262" s="110"/>
      <c r="W262" s="110"/>
      <c r="X262" s="100">
        <v>1</v>
      </c>
      <c r="Y262" s="100"/>
      <c r="Z262" s="100"/>
      <c r="AA262" s="110"/>
      <c r="AB262" s="106"/>
      <c r="AC262" s="104"/>
      <c r="AD262" s="108"/>
      <c r="AE262" s="109"/>
      <c r="AF262" s="109"/>
      <c r="AG262" s="109"/>
      <c r="AH262" s="109"/>
      <c r="AI262" s="109"/>
      <c r="AJ262" s="108"/>
      <c r="AK262" s="100"/>
      <c r="AL262" s="142"/>
      <c r="AM262" s="142"/>
      <c r="AN262" s="100"/>
      <c r="AO262" s="100"/>
      <c r="AP262" s="142"/>
      <c r="AQ262" s="100"/>
      <c r="AR262" s="100"/>
      <c r="AS262" s="142"/>
      <c r="AT262" s="100"/>
      <c r="AU262" s="100"/>
      <c r="AV262" s="100"/>
    </row>
    <row r="263" spans="1:48" ht="17" thickBot="1">
      <c r="A263" s="88" t="s">
        <v>4</v>
      </c>
      <c r="B263" s="262">
        <f>SUM(L263+M263+N263+O263+P263+U263+X263+Y263+Z263+AC263+AK263+AL263+AK263+AO263+AR263+AS263+AU263+AV263+AW263+AX263+AP263)+15</f>
        <v>20</v>
      </c>
      <c r="C263" s="217">
        <f>SUM(L263+M263+N263+O263+P263+U263+Y263+Z263+X263+AC263+AL263+AK263+AL263+AP263+AS263+AO263+AV263+AW263+AX263+AY263+AR263+AU263)+30</f>
        <v>35</v>
      </c>
      <c r="D263" s="144"/>
      <c r="E263" s="145"/>
      <c r="F263" s="146"/>
      <c r="G263" s="147"/>
      <c r="H263" s="684"/>
      <c r="I263" s="677"/>
      <c r="J263" s="535"/>
      <c r="K263" s="114"/>
      <c r="L263" s="112"/>
      <c r="M263" s="112"/>
      <c r="N263" s="112"/>
      <c r="O263" s="112"/>
      <c r="P263" s="112"/>
      <c r="Q263" s="115"/>
      <c r="R263" s="164"/>
      <c r="S263" s="118"/>
      <c r="T263" s="118"/>
      <c r="U263" s="116"/>
      <c r="V263" s="120"/>
      <c r="W263" s="120"/>
      <c r="X263" s="116">
        <v>5</v>
      </c>
      <c r="Y263" s="116"/>
      <c r="Z263" s="116"/>
      <c r="AA263" s="120"/>
      <c r="AB263" s="119"/>
      <c r="AC263" s="113"/>
      <c r="AD263" s="117"/>
      <c r="AE263" s="118"/>
      <c r="AF263" s="118"/>
      <c r="AG263" s="118"/>
      <c r="AH263" s="118"/>
      <c r="AI263" s="118"/>
      <c r="AJ263" s="117"/>
      <c r="AK263" s="116"/>
      <c r="AL263" s="149"/>
      <c r="AM263" s="149"/>
      <c r="AN263" s="116"/>
      <c r="AO263" s="116"/>
      <c r="AP263" s="149"/>
      <c r="AQ263" s="116"/>
      <c r="AR263" s="116"/>
      <c r="AS263" s="149"/>
      <c r="AT263" s="116"/>
      <c r="AU263" s="116"/>
      <c r="AV263" s="116"/>
    </row>
    <row r="264" spans="1:48" ht="21.1">
      <c r="A264" s="82" t="s">
        <v>198</v>
      </c>
      <c r="B264" s="260"/>
      <c r="C264" s="214"/>
      <c r="D264" s="133"/>
      <c r="E264" s="134"/>
      <c r="F264" s="135"/>
      <c r="G264" s="136"/>
      <c r="H264" s="683"/>
      <c r="I264" s="676"/>
      <c r="J264" s="534"/>
      <c r="K264" s="96"/>
      <c r="L264" s="104" t="s">
        <v>375</v>
      </c>
      <c r="M264" s="75" t="s">
        <v>375</v>
      </c>
      <c r="N264" s="75"/>
      <c r="O264" s="75"/>
      <c r="P264" s="75"/>
      <c r="Q264" s="97"/>
      <c r="R264" s="163"/>
      <c r="S264" s="109" t="s">
        <v>803</v>
      </c>
      <c r="T264" s="109" t="s">
        <v>803</v>
      </c>
      <c r="U264" s="100"/>
      <c r="V264" s="110"/>
      <c r="W264" s="110"/>
      <c r="X264" s="100" t="s">
        <v>370</v>
      </c>
      <c r="Y264" s="100" t="s">
        <v>375</v>
      </c>
      <c r="Z264" s="100"/>
      <c r="AA264" s="110"/>
      <c r="AB264" s="106" t="s">
        <v>375</v>
      </c>
      <c r="AC264" s="104" t="s">
        <v>370</v>
      </c>
      <c r="AD264" s="108"/>
      <c r="AE264" s="109" t="s">
        <v>803</v>
      </c>
      <c r="AF264" s="109" t="s">
        <v>803</v>
      </c>
      <c r="AG264" s="109" t="s">
        <v>803</v>
      </c>
      <c r="AH264" s="109"/>
      <c r="AI264" s="109" t="s">
        <v>803</v>
      </c>
      <c r="AJ264" s="108"/>
      <c r="AK264" s="100"/>
      <c r="AL264" s="142"/>
      <c r="AM264" s="142"/>
      <c r="AN264" s="100"/>
      <c r="AO264" s="100"/>
      <c r="AP264" s="142"/>
      <c r="AQ264" s="100"/>
      <c r="AR264" s="100"/>
      <c r="AS264" s="142"/>
      <c r="AT264" s="100"/>
      <c r="AU264" s="100"/>
      <c r="AV264" s="100"/>
    </row>
    <row r="265" spans="1:48" ht="16.3">
      <c r="A265" s="246" t="s">
        <v>1</v>
      </c>
      <c r="B265" s="261">
        <f>SUM(L265+M265+N265+O265+P265+U265+X265+Y265+Z265+AC265+AK265+AL265+AK265+AO265+AR265+AS265+AU265+AV265+AW265+AX265+AP265)+2</f>
        <v>4</v>
      </c>
      <c r="C265" s="215">
        <f t="shared" ref="C265:C266" si="42">B265</f>
        <v>4</v>
      </c>
      <c r="D265" s="133"/>
      <c r="E265" s="134"/>
      <c r="F265" s="135"/>
      <c r="G265" s="136"/>
      <c r="H265" s="683"/>
      <c r="I265" s="676"/>
      <c r="J265" s="534"/>
      <c r="K265" s="96"/>
      <c r="L265" s="104"/>
      <c r="M265" s="75"/>
      <c r="N265" s="75"/>
      <c r="O265" s="75"/>
      <c r="P265" s="75"/>
      <c r="Q265" s="97"/>
      <c r="R265" s="163"/>
      <c r="S265" s="109"/>
      <c r="T265" s="109"/>
      <c r="U265" s="100"/>
      <c r="V265" s="110"/>
      <c r="W265" s="110"/>
      <c r="X265" s="100">
        <v>1</v>
      </c>
      <c r="Y265" s="100"/>
      <c r="Z265" s="100"/>
      <c r="AA265" s="110"/>
      <c r="AB265" s="106"/>
      <c r="AC265" s="104">
        <v>1</v>
      </c>
      <c r="AD265" s="108"/>
      <c r="AE265" s="109"/>
      <c r="AF265" s="109"/>
      <c r="AG265" s="109"/>
      <c r="AH265" s="109"/>
      <c r="AI265" s="109"/>
      <c r="AJ265" s="108"/>
      <c r="AK265" s="100"/>
      <c r="AL265" s="142"/>
      <c r="AM265" s="142"/>
      <c r="AN265" s="100"/>
      <c r="AO265" s="100"/>
      <c r="AP265" s="142"/>
      <c r="AQ265" s="100"/>
      <c r="AR265" s="100"/>
      <c r="AS265" s="142"/>
      <c r="AT265" s="100"/>
      <c r="AU265" s="100"/>
      <c r="AV265" s="100"/>
    </row>
    <row r="266" spans="1:48" ht="16.3">
      <c r="A266" s="246" t="s">
        <v>2</v>
      </c>
      <c r="B266" s="261">
        <f>SUM(L266+M266+N266+O266+P266+U266+X266+Y266+Z266+AC266+AK266+AL266+AK266+AO266+AR266+AS266+AU266+AV266+AW266+AX266+AP266)+11</f>
        <v>14</v>
      </c>
      <c r="C266" s="215">
        <f t="shared" si="42"/>
        <v>14</v>
      </c>
      <c r="D266" s="133"/>
      <c r="E266" s="134"/>
      <c r="F266" s="135"/>
      <c r="G266" s="136"/>
      <c r="H266" s="683"/>
      <c r="I266" s="676"/>
      <c r="J266" s="534"/>
      <c r="K266" s="96"/>
      <c r="L266" s="104">
        <v>1</v>
      </c>
      <c r="M266" s="75">
        <v>1</v>
      </c>
      <c r="N266" s="75"/>
      <c r="O266" s="75"/>
      <c r="P266" s="75"/>
      <c r="Q266" s="97"/>
      <c r="R266" s="163"/>
      <c r="S266" s="109"/>
      <c r="T266" s="109"/>
      <c r="U266" s="100"/>
      <c r="V266" s="110"/>
      <c r="W266" s="110"/>
      <c r="X266" s="100"/>
      <c r="Y266" s="100">
        <v>1</v>
      </c>
      <c r="Z266" s="100"/>
      <c r="AA266" s="110"/>
      <c r="AB266" s="106">
        <v>1</v>
      </c>
      <c r="AC266" s="104"/>
      <c r="AD266" s="108"/>
      <c r="AE266" s="109"/>
      <c r="AF266" s="109"/>
      <c r="AG266" s="109"/>
      <c r="AH266" s="109"/>
      <c r="AI266" s="109"/>
      <c r="AJ266" s="108"/>
      <c r="AK266" s="100"/>
      <c r="AL266" s="142"/>
      <c r="AM266" s="142"/>
      <c r="AN266" s="100"/>
      <c r="AO266" s="100"/>
      <c r="AP266" s="142"/>
      <c r="AQ266" s="100"/>
      <c r="AR266" s="100"/>
      <c r="AS266" s="142"/>
      <c r="AT266" s="100"/>
      <c r="AU266" s="100"/>
      <c r="AV266" s="100"/>
    </row>
    <row r="267" spans="1:48" ht="16.3">
      <c r="A267" s="87" t="s">
        <v>363</v>
      </c>
      <c r="B267" s="260">
        <f>SUM(B265+B266)</f>
        <v>18</v>
      </c>
      <c r="C267" s="214">
        <f>SUM(C265+C266)</f>
        <v>18</v>
      </c>
      <c r="D267" s="133"/>
      <c r="E267" s="134"/>
      <c r="F267" s="135"/>
      <c r="G267" s="136"/>
      <c r="H267" s="683"/>
      <c r="I267" s="676"/>
      <c r="J267" s="534"/>
      <c r="K267" s="96"/>
      <c r="L267" s="104"/>
      <c r="M267" s="75"/>
      <c r="N267" s="75"/>
      <c r="O267" s="75"/>
      <c r="P267" s="75"/>
      <c r="Q267" s="97"/>
      <c r="R267" s="163"/>
      <c r="S267" s="109"/>
      <c r="T267" s="109"/>
      <c r="U267" s="100"/>
      <c r="V267" s="110"/>
      <c r="W267" s="110"/>
      <c r="X267" s="100"/>
      <c r="Y267" s="100"/>
      <c r="Z267" s="100"/>
      <c r="AA267" s="110"/>
      <c r="AB267" s="106"/>
      <c r="AC267" s="104"/>
      <c r="AD267" s="108"/>
      <c r="AE267" s="109"/>
      <c r="AF267" s="109"/>
      <c r="AG267" s="109"/>
      <c r="AH267" s="109"/>
      <c r="AI267" s="109"/>
      <c r="AJ267" s="108"/>
      <c r="AK267" s="100"/>
      <c r="AL267" s="142"/>
      <c r="AM267" s="142"/>
      <c r="AN267" s="100"/>
      <c r="AO267" s="100"/>
      <c r="AP267" s="142"/>
      <c r="AQ267" s="100"/>
      <c r="AR267" s="100"/>
      <c r="AS267" s="142"/>
      <c r="AT267" s="100"/>
      <c r="AU267" s="100"/>
      <c r="AV267" s="100"/>
    </row>
    <row r="268" spans="1:48" ht="16.3">
      <c r="A268" s="246" t="s">
        <v>362</v>
      </c>
      <c r="B268" s="261">
        <f>SUM(L268+M268+N268+O268+P268+U268+X268+Y268+Z268+AC268+AK268+AL268+AK268+AO268+AR268+AS268+AU268+AV268+AW268+AX268+AP268)+1</f>
        <v>1</v>
      </c>
      <c r="C268" s="215">
        <f t="shared" ref="C268:C270" si="43">B268</f>
        <v>1</v>
      </c>
      <c r="D268" s="133"/>
      <c r="E268" s="134"/>
      <c r="F268" s="135"/>
      <c r="G268" s="136"/>
      <c r="H268" s="683"/>
      <c r="I268" s="676"/>
      <c r="J268" s="534"/>
      <c r="K268" s="96"/>
      <c r="L268" s="104"/>
      <c r="M268" s="75"/>
      <c r="N268" s="75"/>
      <c r="O268" s="75"/>
      <c r="P268" s="75"/>
      <c r="Q268" s="97"/>
      <c r="R268" s="163"/>
      <c r="S268" s="109"/>
      <c r="T268" s="109"/>
      <c r="U268" s="100"/>
      <c r="V268" s="110"/>
      <c r="W268" s="110"/>
      <c r="X268" s="100"/>
      <c r="Y268" s="100"/>
      <c r="Z268" s="100"/>
      <c r="AA268" s="110"/>
      <c r="AB268" s="106"/>
      <c r="AC268" s="104"/>
      <c r="AD268" s="108"/>
      <c r="AE268" s="109"/>
      <c r="AF268" s="109"/>
      <c r="AG268" s="109"/>
      <c r="AH268" s="109"/>
      <c r="AI268" s="109"/>
      <c r="AJ268" s="108"/>
      <c r="AK268" s="100"/>
      <c r="AL268" s="142"/>
      <c r="AM268" s="142"/>
      <c r="AN268" s="100"/>
      <c r="AO268" s="100"/>
      <c r="AP268" s="142"/>
      <c r="AQ268" s="100"/>
      <c r="AR268" s="100"/>
      <c r="AS268" s="142"/>
      <c r="AT268" s="100"/>
      <c r="AU268" s="100"/>
      <c r="AV268" s="100"/>
    </row>
    <row r="269" spans="1:48" ht="16.3">
      <c r="A269" s="87" t="s">
        <v>3</v>
      </c>
      <c r="B269" s="260">
        <f>SUM(L269+M269+N269+O269+P269+U269+X269+Y269+Z269+AC269+AK269+AL269+AK269+AO269+AR269+AS269+AU269+AV269+AW269+AX269+AP269)</f>
        <v>2</v>
      </c>
      <c r="C269" s="214">
        <f t="shared" si="43"/>
        <v>2</v>
      </c>
      <c r="D269" s="133"/>
      <c r="E269" s="134"/>
      <c r="F269" s="135"/>
      <c r="G269" s="136"/>
      <c r="H269" s="683"/>
      <c r="I269" s="676"/>
      <c r="J269" s="534"/>
      <c r="K269" s="96"/>
      <c r="L269" s="104">
        <v>1</v>
      </c>
      <c r="M269" s="75"/>
      <c r="N269" s="75"/>
      <c r="O269" s="75"/>
      <c r="P269" s="75"/>
      <c r="Q269" s="97"/>
      <c r="R269" s="163"/>
      <c r="S269" s="109"/>
      <c r="T269" s="109"/>
      <c r="U269" s="100"/>
      <c r="V269" s="110"/>
      <c r="W269" s="110"/>
      <c r="X269" s="100">
        <v>1</v>
      </c>
      <c r="Y269" s="100"/>
      <c r="Z269" s="100"/>
      <c r="AA269" s="110"/>
      <c r="AB269" s="106"/>
      <c r="AC269" s="104"/>
      <c r="AD269" s="108"/>
      <c r="AE269" s="109"/>
      <c r="AF269" s="109"/>
      <c r="AG269" s="109"/>
      <c r="AH269" s="109"/>
      <c r="AI269" s="109"/>
      <c r="AJ269" s="108"/>
      <c r="AK269" s="100"/>
      <c r="AL269" s="142"/>
      <c r="AM269" s="142"/>
      <c r="AN269" s="100"/>
      <c r="AO269" s="100"/>
      <c r="AP269" s="142"/>
      <c r="AQ269" s="100"/>
      <c r="AR269" s="100"/>
      <c r="AS269" s="142"/>
      <c r="AT269" s="100"/>
      <c r="AU269" s="100"/>
      <c r="AV269" s="100"/>
    </row>
    <row r="270" spans="1:48" ht="17" thickBot="1">
      <c r="A270" s="88" t="s">
        <v>4</v>
      </c>
      <c r="B270" s="262">
        <f>SUM(L270+M270+N270+O270+P270+U270+X270+Y270+Z270+AC270+AK270+AL270+AK270+AO270+AR270+AS270+AU270+AV270+AW270+AX270+AP270)</f>
        <v>10</v>
      </c>
      <c r="C270" s="217">
        <f t="shared" si="43"/>
        <v>10</v>
      </c>
      <c r="D270" s="144"/>
      <c r="E270" s="145"/>
      <c r="F270" s="146"/>
      <c r="G270" s="147"/>
      <c r="H270" s="684"/>
      <c r="I270" s="677"/>
      <c r="J270" s="535"/>
      <c r="K270" s="114"/>
      <c r="L270" s="113">
        <v>5</v>
      </c>
      <c r="M270" s="112"/>
      <c r="N270" s="112"/>
      <c r="O270" s="112"/>
      <c r="P270" s="112"/>
      <c r="Q270" s="118"/>
      <c r="R270" s="164"/>
      <c r="S270" s="118"/>
      <c r="T270" s="118"/>
      <c r="U270" s="116"/>
      <c r="V270" s="120"/>
      <c r="W270" s="120"/>
      <c r="X270" s="116">
        <v>5</v>
      </c>
      <c r="Y270" s="116"/>
      <c r="Z270" s="116"/>
      <c r="AA270" s="120"/>
      <c r="AB270" s="119"/>
      <c r="AC270" s="113"/>
      <c r="AD270" s="117"/>
      <c r="AE270" s="118"/>
      <c r="AF270" s="118"/>
      <c r="AG270" s="118"/>
      <c r="AH270" s="118"/>
      <c r="AI270" s="118"/>
      <c r="AJ270" s="117"/>
      <c r="AK270" s="116"/>
      <c r="AL270" s="149"/>
      <c r="AM270" s="149"/>
      <c r="AN270" s="116"/>
      <c r="AO270" s="116"/>
      <c r="AP270" s="149"/>
      <c r="AQ270" s="116"/>
      <c r="AR270" s="116"/>
      <c r="AS270" s="149"/>
      <c r="AT270" s="116"/>
      <c r="AU270" s="116"/>
      <c r="AV270" s="116"/>
    </row>
    <row r="271" spans="1:48" ht="21.1">
      <c r="A271" s="82" t="s">
        <v>399</v>
      </c>
      <c r="B271" s="260"/>
      <c r="C271" s="214"/>
      <c r="D271" s="133"/>
      <c r="E271" s="134"/>
      <c r="F271" s="135"/>
      <c r="G271" s="136"/>
      <c r="H271" s="683"/>
      <c r="I271" s="676"/>
      <c r="J271" s="534"/>
      <c r="K271" s="96"/>
      <c r="L271" s="75" t="s">
        <v>370</v>
      </c>
      <c r="M271" s="75" t="s">
        <v>370</v>
      </c>
      <c r="N271" s="75"/>
      <c r="O271" s="75"/>
      <c r="P271" s="75"/>
      <c r="Q271" s="97" t="s">
        <v>370</v>
      </c>
      <c r="R271" s="163"/>
      <c r="S271" s="109"/>
      <c r="T271" s="109" t="s">
        <v>375</v>
      </c>
      <c r="U271" s="100"/>
      <c r="V271" s="110"/>
      <c r="W271" s="110" t="s">
        <v>370</v>
      </c>
      <c r="X271" s="100"/>
      <c r="Y271" s="100"/>
      <c r="Z271" s="100" t="s">
        <v>370</v>
      </c>
      <c r="AA271" s="110" t="s">
        <v>370</v>
      </c>
      <c r="AB271" s="106"/>
      <c r="AC271" s="104"/>
      <c r="AD271" s="108"/>
      <c r="AE271" s="109" t="s">
        <v>775</v>
      </c>
      <c r="AF271" s="109" t="s">
        <v>339</v>
      </c>
      <c r="AG271" s="109" t="s">
        <v>339</v>
      </c>
      <c r="AH271" s="109" t="s">
        <v>370</v>
      </c>
      <c r="AI271" s="109"/>
      <c r="AJ271" s="108"/>
      <c r="AK271" s="100"/>
      <c r="AL271" s="142"/>
      <c r="AM271" s="142"/>
      <c r="AN271" s="100"/>
      <c r="AO271" s="100"/>
      <c r="AP271" s="142"/>
      <c r="AQ271" s="100"/>
      <c r="AR271" s="100"/>
      <c r="AS271" s="142"/>
      <c r="AT271" s="100"/>
      <c r="AU271" s="100"/>
      <c r="AV271" s="100"/>
    </row>
    <row r="272" spans="1:48" ht="16.3">
      <c r="A272" s="246" t="s">
        <v>1</v>
      </c>
      <c r="B272" s="261">
        <f>SUM(L272+M272+N272+O272+P272+U272+X272+Y272+Z272+AC272+AK272+AL272+AK272+AO272+AR272+AS272+AU272+AV272+AW272+AX272+AP272)</f>
        <v>3</v>
      </c>
      <c r="C272" s="215">
        <f t="shared" ref="C272:C273" si="44">B272</f>
        <v>3</v>
      </c>
      <c r="D272" s="133"/>
      <c r="E272" s="134"/>
      <c r="F272" s="135"/>
      <c r="G272" s="136"/>
      <c r="H272" s="683"/>
      <c r="I272" s="676"/>
      <c r="J272" s="534"/>
      <c r="K272" s="96"/>
      <c r="L272" s="75">
        <v>1</v>
      </c>
      <c r="M272" s="75">
        <v>1</v>
      </c>
      <c r="N272" s="75"/>
      <c r="O272" s="75"/>
      <c r="P272" s="75"/>
      <c r="Q272" s="97">
        <v>1</v>
      </c>
      <c r="R272" s="163"/>
      <c r="S272" s="109"/>
      <c r="T272" s="109"/>
      <c r="U272" s="100"/>
      <c r="V272" s="110"/>
      <c r="W272" s="110">
        <v>1</v>
      </c>
      <c r="X272" s="100"/>
      <c r="Y272" s="100"/>
      <c r="Z272" s="100">
        <v>1</v>
      </c>
      <c r="AA272" s="110">
        <v>1</v>
      </c>
      <c r="AB272" s="106"/>
      <c r="AC272" s="104"/>
      <c r="AD272" s="108"/>
      <c r="AE272" s="109"/>
      <c r="AF272" s="109"/>
      <c r="AG272" s="109"/>
      <c r="AH272" s="109">
        <v>1</v>
      </c>
      <c r="AI272" s="109"/>
      <c r="AJ272" s="108"/>
      <c r="AK272" s="100"/>
      <c r="AL272" s="142"/>
      <c r="AM272" s="142"/>
      <c r="AN272" s="100"/>
      <c r="AO272" s="100"/>
      <c r="AP272" s="142"/>
      <c r="AQ272" s="100"/>
      <c r="AR272" s="100"/>
      <c r="AS272" s="142"/>
      <c r="AT272" s="100"/>
      <c r="AU272" s="100"/>
      <c r="AV272" s="100"/>
    </row>
    <row r="273" spans="1:48" ht="16.3">
      <c r="A273" s="246" t="s">
        <v>2</v>
      </c>
      <c r="B273" s="261">
        <f>SUM(L273+M273+N273+O273+P273+U273+X273+Y273+Z273+AC273+AK273+AL273+AK273+AO273+AR273+AS273+AU273+AV273+AW273+AX273+AP273)+3</f>
        <v>3</v>
      </c>
      <c r="C273" s="215">
        <f t="shared" si="44"/>
        <v>3</v>
      </c>
      <c r="D273" s="133"/>
      <c r="E273" s="134"/>
      <c r="F273" s="135"/>
      <c r="G273" s="136"/>
      <c r="H273" s="683"/>
      <c r="I273" s="676"/>
      <c r="J273" s="534"/>
      <c r="K273" s="96"/>
      <c r="L273" s="75"/>
      <c r="M273" s="75"/>
      <c r="N273" s="75"/>
      <c r="O273" s="75"/>
      <c r="P273" s="75"/>
      <c r="Q273" s="97"/>
      <c r="R273" s="163"/>
      <c r="S273" s="109"/>
      <c r="T273" s="109">
        <v>1</v>
      </c>
      <c r="U273" s="100"/>
      <c r="V273" s="110"/>
      <c r="W273" s="110"/>
      <c r="X273" s="100"/>
      <c r="Y273" s="100"/>
      <c r="Z273" s="100"/>
      <c r="AA273" s="110"/>
      <c r="AB273" s="106"/>
      <c r="AC273" s="104"/>
      <c r="AD273" s="108"/>
      <c r="AE273" s="109"/>
      <c r="AF273" s="109"/>
      <c r="AG273" s="109"/>
      <c r="AH273" s="109"/>
      <c r="AI273" s="109"/>
      <c r="AJ273" s="108"/>
      <c r="AK273" s="100"/>
      <c r="AL273" s="142"/>
      <c r="AM273" s="142"/>
      <c r="AN273" s="100"/>
      <c r="AO273" s="100"/>
      <c r="AP273" s="142"/>
      <c r="AQ273" s="100"/>
      <c r="AR273" s="100"/>
      <c r="AS273" s="142"/>
      <c r="AT273" s="100"/>
      <c r="AU273" s="100"/>
      <c r="AV273" s="100"/>
    </row>
    <row r="274" spans="1:48" ht="16.3">
      <c r="A274" s="87" t="s">
        <v>363</v>
      </c>
      <c r="B274" s="260">
        <f>SUM(B272+B273)</f>
        <v>6</v>
      </c>
      <c r="C274" s="214">
        <f>SUM(C272+C273)</f>
        <v>6</v>
      </c>
      <c r="D274" s="133"/>
      <c r="E274" s="134"/>
      <c r="F274" s="135"/>
      <c r="G274" s="136"/>
      <c r="H274" s="683"/>
      <c r="I274" s="676"/>
      <c r="J274" s="534"/>
      <c r="K274" s="96"/>
      <c r="L274" s="75"/>
      <c r="M274" s="75"/>
      <c r="N274" s="75"/>
      <c r="O274" s="75"/>
      <c r="P274" s="75"/>
      <c r="Q274" s="97"/>
      <c r="R274" s="163"/>
      <c r="S274" s="109"/>
      <c r="T274" s="109"/>
      <c r="U274" s="100"/>
      <c r="V274" s="110"/>
      <c r="W274" s="110"/>
      <c r="X274" s="100"/>
      <c r="Y274" s="100"/>
      <c r="Z274" s="100"/>
      <c r="AA274" s="110"/>
      <c r="AB274" s="106"/>
      <c r="AC274" s="104"/>
      <c r="AD274" s="108"/>
      <c r="AE274" s="109"/>
      <c r="AF274" s="109"/>
      <c r="AG274" s="109"/>
      <c r="AH274" s="109"/>
      <c r="AI274" s="109"/>
      <c r="AJ274" s="108"/>
      <c r="AK274" s="100"/>
      <c r="AL274" s="142"/>
      <c r="AM274" s="142"/>
      <c r="AN274" s="100"/>
      <c r="AO274" s="100"/>
      <c r="AP274" s="142"/>
      <c r="AQ274" s="100"/>
      <c r="AR274" s="100"/>
      <c r="AS274" s="142"/>
      <c r="AT274" s="100"/>
      <c r="AU274" s="100"/>
      <c r="AV274" s="100"/>
    </row>
    <row r="275" spans="1:48" ht="16.3">
      <c r="A275" s="87" t="s">
        <v>3</v>
      </c>
      <c r="B275" s="260">
        <f>SUM(L275+M275+N275+O275+P275+U275+X275+Y275+Z275+AC275+AK275+AL275+AK275+AO275+AR275+AS275+AU275+AV275+AW275+AX275+AP275)</f>
        <v>1</v>
      </c>
      <c r="C275" s="214">
        <f t="shared" ref="C275:C276" si="45">B275</f>
        <v>1</v>
      </c>
      <c r="D275" s="133"/>
      <c r="E275" s="134"/>
      <c r="F275" s="135"/>
      <c r="G275" s="136"/>
      <c r="H275" s="683"/>
      <c r="I275" s="676"/>
      <c r="J275" s="534"/>
      <c r="K275" s="96"/>
      <c r="L275" s="75">
        <v>1</v>
      </c>
      <c r="M275" s="75"/>
      <c r="N275" s="75"/>
      <c r="O275" s="75"/>
      <c r="P275" s="75"/>
      <c r="Q275" s="97">
        <v>1</v>
      </c>
      <c r="R275" s="163"/>
      <c r="S275" s="109"/>
      <c r="T275" s="109"/>
      <c r="U275" s="100"/>
      <c r="V275" s="110"/>
      <c r="W275" s="110"/>
      <c r="X275" s="100"/>
      <c r="Y275" s="100"/>
      <c r="Z275" s="100"/>
      <c r="AA275" s="110"/>
      <c r="AB275" s="106"/>
      <c r="AC275" s="104"/>
      <c r="AD275" s="108"/>
      <c r="AE275" s="109"/>
      <c r="AF275" s="109"/>
      <c r="AG275" s="109"/>
      <c r="AH275" s="109"/>
      <c r="AI275" s="109"/>
      <c r="AJ275" s="108"/>
      <c r="AK275" s="100"/>
      <c r="AL275" s="142"/>
      <c r="AM275" s="142"/>
      <c r="AN275" s="100"/>
      <c r="AO275" s="100"/>
      <c r="AP275" s="142"/>
      <c r="AQ275" s="100"/>
      <c r="AR275" s="100"/>
      <c r="AS275" s="142"/>
      <c r="AT275" s="100"/>
      <c r="AU275" s="100"/>
      <c r="AV275" s="100"/>
    </row>
    <row r="276" spans="1:48" ht="17" thickBot="1">
      <c r="A276" s="88" t="s">
        <v>4</v>
      </c>
      <c r="B276" s="262">
        <f>SUM(L276+M276+N276+O276+P276+U276+X276+Y276+Z276+AC276+AK276+AL276+AK276+AO276+AR276+AS276+AU276+AV276+AW276+AX276+AP276)</f>
        <v>5</v>
      </c>
      <c r="C276" s="217">
        <f t="shared" si="45"/>
        <v>5</v>
      </c>
      <c r="D276" s="144"/>
      <c r="E276" s="145"/>
      <c r="F276" s="146"/>
      <c r="G276" s="147"/>
      <c r="H276" s="684"/>
      <c r="I276" s="677"/>
      <c r="J276" s="535"/>
      <c r="K276" s="114"/>
      <c r="L276" s="112">
        <v>5</v>
      </c>
      <c r="M276" s="112"/>
      <c r="N276" s="112"/>
      <c r="O276" s="112"/>
      <c r="P276" s="112"/>
      <c r="Q276" s="115">
        <v>5</v>
      </c>
      <c r="R276" s="164"/>
      <c r="S276" s="118"/>
      <c r="T276" s="118"/>
      <c r="U276" s="116"/>
      <c r="V276" s="120"/>
      <c r="W276" s="120"/>
      <c r="X276" s="116"/>
      <c r="Y276" s="116"/>
      <c r="Z276" s="116"/>
      <c r="AA276" s="120"/>
      <c r="AB276" s="119"/>
      <c r="AC276" s="113"/>
      <c r="AD276" s="117"/>
      <c r="AE276" s="118"/>
      <c r="AF276" s="118"/>
      <c r="AG276" s="118"/>
      <c r="AH276" s="118"/>
      <c r="AI276" s="118"/>
      <c r="AJ276" s="117"/>
      <c r="AK276" s="116"/>
      <c r="AL276" s="149"/>
      <c r="AM276" s="149"/>
      <c r="AN276" s="116"/>
      <c r="AO276" s="116"/>
      <c r="AP276" s="149"/>
      <c r="AQ276" s="116"/>
      <c r="AR276" s="116"/>
      <c r="AS276" s="149"/>
      <c r="AT276" s="116"/>
      <c r="AU276" s="116"/>
      <c r="AV276" s="116"/>
    </row>
    <row r="277" spans="1:48" ht="21.1">
      <c r="A277" s="82" t="s">
        <v>442</v>
      </c>
      <c r="B277" s="260"/>
      <c r="C277" s="214"/>
      <c r="D277" s="133"/>
      <c r="E277" s="134"/>
      <c r="F277" s="135"/>
      <c r="G277" s="136"/>
      <c r="H277" s="683"/>
      <c r="I277" s="676"/>
      <c r="J277" s="534"/>
      <c r="K277" s="96" t="s">
        <v>370</v>
      </c>
      <c r="L277" s="75"/>
      <c r="M277" s="75"/>
      <c r="N277" s="75"/>
      <c r="O277" s="75"/>
      <c r="P277" s="75"/>
      <c r="Q277" s="97" t="s">
        <v>375</v>
      </c>
      <c r="R277" s="163"/>
      <c r="S277" s="109" t="s">
        <v>370</v>
      </c>
      <c r="T277" s="109" t="s">
        <v>370</v>
      </c>
      <c r="U277" s="100"/>
      <c r="V277" s="110"/>
      <c r="W277" s="110"/>
      <c r="X277" s="100"/>
      <c r="Y277" s="100"/>
      <c r="Z277" s="100"/>
      <c r="AA277" s="110"/>
      <c r="AB277" s="106"/>
      <c r="AC277" s="104"/>
      <c r="AD277" s="108"/>
      <c r="AE277" s="109" t="s">
        <v>370</v>
      </c>
      <c r="AF277" s="109" t="s">
        <v>370</v>
      </c>
      <c r="AG277" s="109" t="s">
        <v>370</v>
      </c>
      <c r="AH277" s="109"/>
      <c r="AI277" s="109" t="s">
        <v>370</v>
      </c>
      <c r="AJ277" s="108"/>
      <c r="AK277" s="100"/>
      <c r="AL277" s="142"/>
      <c r="AM277" s="142"/>
      <c r="AN277" s="100"/>
      <c r="AO277" s="100"/>
      <c r="AP277" s="142"/>
      <c r="AQ277" s="100"/>
      <c r="AR277" s="100"/>
      <c r="AS277" s="142"/>
      <c r="AT277" s="100"/>
      <c r="AU277" s="100"/>
      <c r="AV277" s="100"/>
    </row>
    <row r="278" spans="1:48" ht="16.3">
      <c r="A278" s="246" t="s">
        <v>1</v>
      </c>
      <c r="B278" s="261">
        <f>SUM(L278+M278+N278+O278+P278+U278+X278+Y278+Z278+AC278+AK278+AL278+AK278+AO278+AR278+AS278+AU278+AV278+AW278+AX278+AP278)</f>
        <v>0</v>
      </c>
      <c r="C278" s="215">
        <f t="shared" ref="C278:C279" si="46">B278</f>
        <v>0</v>
      </c>
      <c r="D278" s="133"/>
      <c r="E278" s="134"/>
      <c r="F278" s="135"/>
      <c r="G278" s="136"/>
      <c r="H278" s="683"/>
      <c r="I278" s="676"/>
      <c r="J278" s="534"/>
      <c r="K278" s="96">
        <v>1</v>
      </c>
      <c r="L278" s="75"/>
      <c r="M278" s="75"/>
      <c r="N278" s="75"/>
      <c r="O278" s="75"/>
      <c r="P278" s="75"/>
      <c r="Q278" s="97"/>
      <c r="R278" s="163"/>
      <c r="S278" s="109">
        <v>1</v>
      </c>
      <c r="T278" s="109">
        <v>1</v>
      </c>
      <c r="U278" s="100"/>
      <c r="V278" s="110"/>
      <c r="W278" s="110"/>
      <c r="X278" s="100"/>
      <c r="Y278" s="100"/>
      <c r="Z278" s="100"/>
      <c r="AA278" s="110"/>
      <c r="AB278" s="106"/>
      <c r="AC278" s="104"/>
      <c r="AD278" s="108"/>
      <c r="AE278" s="109">
        <v>1</v>
      </c>
      <c r="AF278" s="109">
        <v>1</v>
      </c>
      <c r="AG278" s="109">
        <v>1</v>
      </c>
      <c r="AH278" s="109"/>
      <c r="AI278" s="109">
        <v>1</v>
      </c>
      <c r="AJ278" s="108"/>
      <c r="AK278" s="100"/>
      <c r="AL278" s="142"/>
      <c r="AM278" s="142"/>
      <c r="AN278" s="100"/>
      <c r="AO278" s="100"/>
      <c r="AP278" s="142"/>
      <c r="AQ278" s="100"/>
      <c r="AR278" s="100"/>
      <c r="AS278" s="142"/>
      <c r="AT278" s="100"/>
      <c r="AU278" s="100"/>
      <c r="AV278" s="100"/>
    </row>
    <row r="279" spans="1:48" ht="16.3">
      <c r="A279" s="246" t="s">
        <v>2</v>
      </c>
      <c r="B279" s="261">
        <f>SUM(L279+M279+N279+O279+P279+U279+X279+Y279+Z279+AC279+AK279+AL279+AK279+AO279+AR279+AS279+AU279+AV279+AW279+AX279+AP279)+10</f>
        <v>10</v>
      </c>
      <c r="C279" s="215">
        <f t="shared" si="46"/>
        <v>10</v>
      </c>
      <c r="D279" s="133"/>
      <c r="E279" s="134"/>
      <c r="F279" s="135"/>
      <c r="G279" s="136"/>
      <c r="H279" s="683"/>
      <c r="I279" s="676"/>
      <c r="J279" s="534"/>
      <c r="K279" s="96"/>
      <c r="L279" s="75"/>
      <c r="M279" s="75"/>
      <c r="N279" s="75"/>
      <c r="O279" s="75"/>
      <c r="P279" s="75"/>
      <c r="Q279" s="97">
        <v>1</v>
      </c>
      <c r="R279" s="163"/>
      <c r="S279" s="109"/>
      <c r="T279" s="109"/>
      <c r="U279" s="100"/>
      <c r="V279" s="110"/>
      <c r="W279" s="110"/>
      <c r="X279" s="100"/>
      <c r="Y279" s="100"/>
      <c r="Z279" s="100"/>
      <c r="AA279" s="110"/>
      <c r="AB279" s="106"/>
      <c r="AC279" s="104"/>
      <c r="AD279" s="108"/>
      <c r="AE279" s="109"/>
      <c r="AF279" s="109"/>
      <c r="AG279" s="109"/>
      <c r="AH279" s="109"/>
      <c r="AI279" s="109"/>
      <c r="AJ279" s="108"/>
      <c r="AK279" s="100"/>
      <c r="AL279" s="142"/>
      <c r="AM279" s="142"/>
      <c r="AN279" s="100"/>
      <c r="AO279" s="100"/>
      <c r="AP279" s="142"/>
      <c r="AQ279" s="100"/>
      <c r="AR279" s="100"/>
      <c r="AS279" s="142"/>
      <c r="AT279" s="100"/>
      <c r="AU279" s="100"/>
      <c r="AV279" s="100"/>
    </row>
    <row r="280" spans="1:48" ht="16.3">
      <c r="A280" s="87" t="s">
        <v>363</v>
      </c>
      <c r="B280" s="260">
        <f>SUM(B278+B279)</f>
        <v>10</v>
      </c>
      <c r="C280" s="214">
        <f>SUM(C278+C279)</f>
        <v>10</v>
      </c>
      <c r="D280" s="133"/>
      <c r="E280" s="134"/>
      <c r="F280" s="135"/>
      <c r="G280" s="136"/>
      <c r="H280" s="683"/>
      <c r="I280" s="676"/>
      <c r="J280" s="534"/>
      <c r="K280" s="96"/>
      <c r="L280" s="75"/>
      <c r="M280" s="75"/>
      <c r="N280" s="75"/>
      <c r="O280" s="75"/>
      <c r="P280" s="75"/>
      <c r="Q280" s="97"/>
      <c r="R280" s="163"/>
      <c r="S280" s="109"/>
      <c r="T280" s="109"/>
      <c r="U280" s="100"/>
      <c r="V280" s="110"/>
      <c r="W280" s="110"/>
      <c r="X280" s="100"/>
      <c r="Y280" s="100"/>
      <c r="Z280" s="100"/>
      <c r="AA280" s="110"/>
      <c r="AB280" s="106"/>
      <c r="AC280" s="104"/>
      <c r="AD280" s="108"/>
      <c r="AE280" s="109"/>
      <c r="AF280" s="109"/>
      <c r="AG280" s="109"/>
      <c r="AH280" s="109"/>
      <c r="AI280" s="109"/>
      <c r="AJ280" s="108"/>
      <c r="AK280" s="100"/>
      <c r="AL280" s="142"/>
      <c r="AM280" s="142"/>
      <c r="AN280" s="100"/>
      <c r="AO280" s="100"/>
      <c r="AP280" s="142"/>
      <c r="AQ280" s="100"/>
      <c r="AR280" s="100"/>
      <c r="AS280" s="142"/>
      <c r="AT280" s="100"/>
      <c r="AU280" s="100"/>
      <c r="AV280" s="100"/>
    </row>
    <row r="281" spans="1:48" ht="16.3">
      <c r="A281" s="246" t="s">
        <v>362</v>
      </c>
      <c r="B281" s="261">
        <f>SUM(L281+M281+N281+O281+P281+U281+X281+Y281+Z281+AC281+AK281+AL281+AK281+AO281+AR281+AS281+AU281+AV281+AW281+AX281+AP281)+1</f>
        <v>1</v>
      </c>
      <c r="C281" s="215">
        <f t="shared" ref="C281:C283" si="47">B281</f>
        <v>1</v>
      </c>
      <c r="D281" s="133"/>
      <c r="E281" s="134"/>
      <c r="F281" s="135"/>
      <c r="G281" s="136"/>
      <c r="H281" s="683"/>
      <c r="I281" s="676"/>
      <c r="J281" s="534"/>
      <c r="K281" s="96"/>
      <c r="L281" s="75"/>
      <c r="M281" s="75"/>
      <c r="N281" s="75"/>
      <c r="O281" s="75"/>
      <c r="P281" s="75"/>
      <c r="Q281" s="97"/>
      <c r="R281" s="163"/>
      <c r="S281" s="109"/>
      <c r="T281" s="109"/>
      <c r="U281" s="100"/>
      <c r="V281" s="110"/>
      <c r="W281" s="110"/>
      <c r="X281" s="100"/>
      <c r="Y281" s="100"/>
      <c r="Z281" s="100"/>
      <c r="AA281" s="110"/>
      <c r="AB281" s="106"/>
      <c r="AC281" s="104"/>
      <c r="AD281" s="108"/>
      <c r="AE281" s="109"/>
      <c r="AF281" s="109"/>
      <c r="AG281" s="109"/>
      <c r="AH281" s="109"/>
      <c r="AI281" s="109"/>
      <c r="AJ281" s="108"/>
      <c r="AK281" s="100"/>
      <c r="AL281" s="142"/>
      <c r="AM281" s="142"/>
      <c r="AN281" s="100"/>
      <c r="AO281" s="100"/>
      <c r="AP281" s="142"/>
      <c r="AQ281" s="100"/>
      <c r="AR281" s="100"/>
      <c r="AS281" s="142"/>
      <c r="AT281" s="100"/>
      <c r="AU281" s="100"/>
      <c r="AV281" s="100"/>
    </row>
    <row r="282" spans="1:48" ht="16.3">
      <c r="A282" s="87" t="s">
        <v>3</v>
      </c>
      <c r="B282" s="260">
        <f>SUM(L282+M282+N282+O282+P282+U282+X282+Y282+Z282+AC282+AK282+AL282+AK282+AO282+AR282+AS282+AU282+AV282+AW282+AX282+AP282)</f>
        <v>0</v>
      </c>
      <c r="C282" s="214">
        <f t="shared" si="47"/>
        <v>0</v>
      </c>
      <c r="D282" s="133"/>
      <c r="E282" s="134"/>
      <c r="F282" s="135"/>
      <c r="G282" s="136"/>
      <c r="H282" s="683"/>
      <c r="I282" s="676"/>
      <c r="J282" s="534"/>
      <c r="K282" s="96"/>
      <c r="L282" s="75"/>
      <c r="M282" s="75"/>
      <c r="N282" s="75"/>
      <c r="O282" s="75"/>
      <c r="P282" s="75"/>
      <c r="Q282" s="97"/>
      <c r="R282" s="163"/>
      <c r="S282" s="109"/>
      <c r="T282" s="109"/>
      <c r="U282" s="100"/>
      <c r="V282" s="110"/>
      <c r="W282" s="110"/>
      <c r="X282" s="100"/>
      <c r="Y282" s="100"/>
      <c r="Z282" s="100"/>
      <c r="AA282" s="110"/>
      <c r="AB282" s="106"/>
      <c r="AC282" s="104"/>
      <c r="AD282" s="108"/>
      <c r="AE282" s="109"/>
      <c r="AF282" s="109"/>
      <c r="AG282" s="109"/>
      <c r="AH282" s="109"/>
      <c r="AI282" s="109"/>
      <c r="AJ282" s="108"/>
      <c r="AK282" s="100"/>
      <c r="AL282" s="142"/>
      <c r="AM282" s="142"/>
      <c r="AN282" s="100"/>
      <c r="AO282" s="100"/>
      <c r="AP282" s="142"/>
      <c r="AQ282" s="100"/>
      <c r="AR282" s="100"/>
      <c r="AS282" s="142"/>
      <c r="AT282" s="100"/>
      <c r="AU282" s="100"/>
      <c r="AV282" s="100"/>
    </row>
    <row r="283" spans="1:48" ht="17" thickBot="1">
      <c r="A283" s="88" t="s">
        <v>4</v>
      </c>
      <c r="B283" s="262">
        <f>SUM(L283+M283+N283+O283+P283+U283+X283+Y283+Z283+AC283+AK283+AL283+AK283+AO283+AR283+AS283+AU283+AV283+AW283+AX283+AP283)</f>
        <v>0</v>
      </c>
      <c r="C283" s="217">
        <f t="shared" si="47"/>
        <v>0</v>
      </c>
      <c r="D283" s="144"/>
      <c r="E283" s="145"/>
      <c r="F283" s="146"/>
      <c r="G283" s="147"/>
      <c r="H283" s="684"/>
      <c r="I283" s="677"/>
      <c r="J283" s="535"/>
      <c r="K283" s="114"/>
      <c r="L283" s="112"/>
      <c r="M283" s="112"/>
      <c r="N283" s="112"/>
      <c r="O283" s="112"/>
      <c r="P283" s="112"/>
      <c r="Q283" s="115"/>
      <c r="R283" s="164"/>
      <c r="S283" s="118"/>
      <c r="T283" s="118"/>
      <c r="U283" s="116"/>
      <c r="V283" s="120"/>
      <c r="W283" s="120"/>
      <c r="X283" s="116"/>
      <c r="Y283" s="116"/>
      <c r="Z283" s="116"/>
      <c r="AA283" s="120"/>
      <c r="AB283" s="119"/>
      <c r="AC283" s="113"/>
      <c r="AD283" s="117"/>
      <c r="AE283" s="118"/>
      <c r="AF283" s="118"/>
      <c r="AG283" s="118"/>
      <c r="AH283" s="118"/>
      <c r="AI283" s="118"/>
      <c r="AJ283" s="117"/>
      <c r="AK283" s="116"/>
      <c r="AL283" s="149"/>
      <c r="AM283" s="149"/>
      <c r="AN283" s="116"/>
      <c r="AO283" s="116"/>
      <c r="AP283" s="149"/>
      <c r="AQ283" s="116"/>
      <c r="AR283" s="116"/>
      <c r="AS283" s="149"/>
      <c r="AT283" s="116"/>
      <c r="AU283" s="116"/>
      <c r="AV283" s="116"/>
    </row>
    <row r="284" spans="1:48" ht="21.1">
      <c r="A284" s="82" t="s">
        <v>669</v>
      </c>
      <c r="B284" s="260"/>
      <c r="C284" s="214"/>
      <c r="D284" s="133"/>
      <c r="E284" s="134"/>
      <c r="F284" s="135"/>
      <c r="G284" s="136"/>
      <c r="H284" s="683"/>
      <c r="I284" s="676"/>
      <c r="J284" s="534"/>
      <c r="K284" s="96" t="s">
        <v>432</v>
      </c>
      <c r="L284" s="104"/>
      <c r="M284" s="75"/>
      <c r="N284" s="75"/>
      <c r="O284" s="75"/>
      <c r="P284" s="75"/>
      <c r="Q284" s="97"/>
      <c r="R284" s="163"/>
      <c r="S284" s="97"/>
      <c r="T284" s="109"/>
      <c r="U284" s="100"/>
      <c r="V284" s="110"/>
      <c r="W284" s="110"/>
      <c r="X284" s="100"/>
      <c r="Y284" s="100"/>
      <c r="Z284" s="100"/>
      <c r="AA284" s="110"/>
      <c r="AB284" s="181"/>
      <c r="AC284" s="104"/>
      <c r="AD284" s="108"/>
      <c r="AE284" s="109"/>
      <c r="AF284" s="109"/>
      <c r="AG284" s="109" t="s">
        <v>375</v>
      </c>
      <c r="AH284" s="109"/>
      <c r="AI284" s="109"/>
      <c r="AJ284" s="108"/>
      <c r="AK284" s="100"/>
      <c r="AL284" s="142"/>
      <c r="AM284" s="142"/>
      <c r="AN284" s="100"/>
      <c r="AO284" s="100"/>
      <c r="AP284" s="142"/>
      <c r="AQ284" s="100"/>
      <c r="AR284" s="100"/>
      <c r="AS284" s="142"/>
      <c r="AT284" s="100"/>
      <c r="AU284" s="100"/>
      <c r="AV284" s="100"/>
    </row>
    <row r="285" spans="1:48" ht="16.3">
      <c r="A285" s="246" t="s">
        <v>1</v>
      </c>
      <c r="B285" s="261">
        <f>SUM(L285+M285+N285+O285+P285+U285+X285+Y285+Z285+AC285+AK285+AL285+AK285+AO285+AR285+AS285+AU285+AV285+AW285+AX285+AP285)</f>
        <v>0</v>
      </c>
      <c r="C285" s="215">
        <f>B285</f>
        <v>0</v>
      </c>
      <c r="D285" s="133"/>
      <c r="E285" s="134"/>
      <c r="F285" s="135"/>
      <c r="G285" s="136"/>
      <c r="H285" s="683"/>
      <c r="I285" s="676"/>
      <c r="J285" s="534"/>
      <c r="K285" s="96"/>
      <c r="L285" s="104"/>
      <c r="M285" s="75"/>
      <c r="N285" s="75"/>
      <c r="O285" s="75"/>
      <c r="P285" s="75"/>
      <c r="Q285" s="97"/>
      <c r="R285" s="163"/>
      <c r="S285" s="97"/>
      <c r="T285" s="109"/>
      <c r="U285" s="100"/>
      <c r="V285" s="110"/>
      <c r="W285" s="110"/>
      <c r="X285" s="100"/>
      <c r="Y285" s="100"/>
      <c r="Z285" s="100"/>
      <c r="AA285" s="110"/>
      <c r="AB285" s="106"/>
      <c r="AC285" s="104"/>
      <c r="AD285" s="108"/>
      <c r="AE285" s="109"/>
      <c r="AF285" s="109"/>
      <c r="AG285" s="109"/>
      <c r="AH285" s="109"/>
      <c r="AI285" s="109"/>
      <c r="AJ285" s="108"/>
      <c r="AK285" s="100"/>
      <c r="AL285" s="142"/>
      <c r="AM285" s="142"/>
      <c r="AN285" s="100"/>
      <c r="AO285" s="100"/>
      <c r="AP285" s="142"/>
      <c r="AQ285" s="100"/>
      <c r="AR285" s="100"/>
      <c r="AS285" s="142"/>
      <c r="AT285" s="100"/>
      <c r="AU285" s="100"/>
      <c r="AV285" s="100"/>
    </row>
    <row r="286" spans="1:48" ht="16.3">
      <c r="A286" s="246" t="s">
        <v>2</v>
      </c>
      <c r="B286" s="261">
        <f>SUM(L286+M286+N286+O286+P286+U286+X286+Y286+Z286+AC286+AK286+AL286+AK286+AO286+AR286+AS286+AU286+AV286+AW286+AX286)</f>
        <v>0</v>
      </c>
      <c r="C286" s="215">
        <f t="shared" ref="C286:C289" si="48">B286</f>
        <v>0</v>
      </c>
      <c r="D286" s="133"/>
      <c r="E286" s="134"/>
      <c r="F286" s="135"/>
      <c r="G286" s="136"/>
      <c r="H286" s="683"/>
      <c r="I286" s="676"/>
      <c r="J286" s="534"/>
      <c r="K286" s="96">
        <v>1</v>
      </c>
      <c r="L286" s="104"/>
      <c r="M286" s="75"/>
      <c r="N286" s="75"/>
      <c r="O286" s="75"/>
      <c r="P286" s="75"/>
      <c r="Q286" s="97"/>
      <c r="R286" s="163"/>
      <c r="S286" s="97"/>
      <c r="T286" s="109"/>
      <c r="U286" s="100"/>
      <c r="V286" s="110"/>
      <c r="W286" s="110"/>
      <c r="X286" s="100"/>
      <c r="Y286" s="100"/>
      <c r="Z286" s="100"/>
      <c r="AA286" s="110"/>
      <c r="AB286" s="106"/>
      <c r="AC286" s="104"/>
      <c r="AD286" s="108"/>
      <c r="AE286" s="109"/>
      <c r="AF286" s="109"/>
      <c r="AG286" s="109">
        <v>1</v>
      </c>
      <c r="AH286" s="109"/>
      <c r="AI286" s="109"/>
      <c r="AJ286" s="108"/>
      <c r="AK286" s="100"/>
      <c r="AL286" s="142"/>
      <c r="AM286" s="142"/>
      <c r="AN286" s="100"/>
      <c r="AO286" s="100"/>
      <c r="AP286" s="142"/>
      <c r="AQ286" s="100"/>
      <c r="AR286" s="100"/>
      <c r="AS286" s="142"/>
      <c r="AT286" s="100"/>
      <c r="AU286" s="100"/>
      <c r="AV286" s="100"/>
    </row>
    <row r="287" spans="1:48" ht="16.3">
      <c r="A287" s="87" t="s">
        <v>363</v>
      </c>
      <c r="B287" s="260">
        <f>SUM(B285+B286)</f>
        <v>0</v>
      </c>
      <c r="C287" s="214">
        <f t="shared" si="48"/>
        <v>0</v>
      </c>
      <c r="D287" s="133"/>
      <c r="E287" s="134"/>
      <c r="F287" s="135"/>
      <c r="G287" s="136"/>
      <c r="H287" s="683"/>
      <c r="I287" s="676"/>
      <c r="J287" s="534"/>
      <c r="K287" s="96"/>
      <c r="L287" s="104"/>
      <c r="M287" s="75"/>
      <c r="N287" s="75"/>
      <c r="O287" s="75"/>
      <c r="P287" s="75"/>
      <c r="Q287" s="97"/>
      <c r="R287" s="163"/>
      <c r="S287" s="97"/>
      <c r="T287" s="109"/>
      <c r="U287" s="100"/>
      <c r="V287" s="110"/>
      <c r="W287" s="110"/>
      <c r="X287" s="100"/>
      <c r="Y287" s="100"/>
      <c r="Z287" s="100"/>
      <c r="AA287" s="110"/>
      <c r="AB287" s="106"/>
      <c r="AC287" s="104"/>
      <c r="AD287" s="108"/>
      <c r="AE287" s="109"/>
      <c r="AF287" s="109"/>
      <c r="AG287" s="109"/>
      <c r="AH287" s="109"/>
      <c r="AI287" s="109"/>
      <c r="AJ287" s="108"/>
      <c r="AK287" s="100"/>
      <c r="AL287" s="142"/>
      <c r="AM287" s="142"/>
      <c r="AN287" s="100"/>
      <c r="AO287" s="100"/>
      <c r="AP287" s="142"/>
      <c r="AQ287" s="100"/>
      <c r="AR287" s="100"/>
      <c r="AS287" s="142"/>
      <c r="AT287" s="100"/>
      <c r="AU287" s="100"/>
      <c r="AV287" s="100"/>
    </row>
    <row r="288" spans="1:48" ht="16.3">
      <c r="A288" s="87" t="s">
        <v>3</v>
      </c>
      <c r="B288" s="260">
        <f>SUM(L288+M288+N288+O288+P288+U288+X288+Y288+Z288+AC288+AK288+AL288+AK288+AO288+AR288+AS288+AU288+AV288+AW288+AX288+AP288)</f>
        <v>0</v>
      </c>
      <c r="C288" s="214">
        <f t="shared" si="48"/>
        <v>0</v>
      </c>
      <c r="D288" s="133"/>
      <c r="E288" s="134"/>
      <c r="F288" s="135"/>
      <c r="G288" s="136"/>
      <c r="H288" s="683"/>
      <c r="I288" s="676"/>
      <c r="J288" s="534"/>
      <c r="K288" s="96"/>
      <c r="L288" s="104"/>
      <c r="M288" s="75"/>
      <c r="N288" s="75"/>
      <c r="O288" s="75"/>
      <c r="P288" s="75"/>
      <c r="Q288" s="97"/>
      <c r="R288" s="163"/>
      <c r="S288" s="97"/>
      <c r="T288" s="109"/>
      <c r="U288" s="100"/>
      <c r="V288" s="110"/>
      <c r="W288" s="110"/>
      <c r="X288" s="100"/>
      <c r="Y288" s="100"/>
      <c r="Z288" s="100"/>
      <c r="AA288" s="110"/>
      <c r="AB288" s="106"/>
      <c r="AC288" s="104"/>
      <c r="AD288" s="108"/>
      <c r="AE288" s="109"/>
      <c r="AF288" s="109"/>
      <c r="AG288" s="109"/>
      <c r="AH288" s="109"/>
      <c r="AI288" s="109"/>
      <c r="AJ288" s="108"/>
      <c r="AK288" s="100"/>
      <c r="AL288" s="142"/>
      <c r="AM288" s="142"/>
      <c r="AN288" s="100"/>
      <c r="AO288" s="100"/>
      <c r="AP288" s="142"/>
      <c r="AQ288" s="100"/>
      <c r="AR288" s="100"/>
      <c r="AS288" s="142"/>
      <c r="AT288" s="100"/>
      <c r="AU288" s="100"/>
      <c r="AV288" s="100"/>
    </row>
    <row r="289" spans="1:48" ht="17" thickBot="1">
      <c r="A289" s="88" t="s">
        <v>4</v>
      </c>
      <c r="B289" s="260">
        <f>SUM(L289+M289+N289+O289+P289+U289+X289+Y289+Z289+AC289+AK289+AL289+AK289+AO289+AR289+AS289+AU289+AV289+AW289+AX289+AP289)</f>
        <v>0</v>
      </c>
      <c r="C289" s="214">
        <f t="shared" si="48"/>
        <v>0</v>
      </c>
      <c r="D289" s="133"/>
      <c r="E289" s="134"/>
      <c r="F289" s="135"/>
      <c r="G289" s="136"/>
      <c r="H289" s="683"/>
      <c r="I289" s="676"/>
      <c r="J289" s="534"/>
      <c r="K289" s="96"/>
      <c r="L289" s="104"/>
      <c r="M289" s="75"/>
      <c r="N289" s="75"/>
      <c r="O289" s="75"/>
      <c r="P289" s="75"/>
      <c r="Q289" s="97"/>
      <c r="R289" s="163"/>
      <c r="S289" s="97"/>
      <c r="T289" s="109"/>
      <c r="U289" s="100"/>
      <c r="V289" s="110"/>
      <c r="W289" s="110"/>
      <c r="X289" s="100"/>
      <c r="Y289" s="100"/>
      <c r="Z289" s="100"/>
      <c r="AA289" s="110"/>
      <c r="AB289" s="119"/>
      <c r="AC289" s="104"/>
      <c r="AD289" s="108"/>
      <c r="AE289" s="109"/>
      <c r="AF289" s="109"/>
      <c r="AG289" s="109"/>
      <c r="AH289" s="109"/>
      <c r="AI289" s="109"/>
      <c r="AJ289" s="108"/>
      <c r="AK289" s="100"/>
      <c r="AL289" s="142"/>
      <c r="AM289" s="142"/>
      <c r="AN289" s="100"/>
      <c r="AO289" s="100"/>
      <c r="AP289" s="142"/>
      <c r="AQ289" s="100"/>
      <c r="AR289" s="100"/>
      <c r="AS289" s="142"/>
      <c r="AT289" s="100"/>
      <c r="AU289" s="100"/>
      <c r="AV289" s="100"/>
    </row>
    <row r="290" spans="1:48" ht="21.1">
      <c r="A290" s="86" t="s">
        <v>59</v>
      </c>
      <c r="B290" s="264"/>
      <c r="C290" s="218"/>
      <c r="D290" s="153"/>
      <c r="E290" s="154"/>
      <c r="F290" s="155"/>
      <c r="G290" s="156"/>
      <c r="H290" s="682"/>
      <c r="I290" s="757"/>
      <c r="J290" s="536"/>
      <c r="K290" s="124"/>
      <c r="L290" s="123" t="s">
        <v>371</v>
      </c>
      <c r="M290" s="122" t="s">
        <v>371</v>
      </c>
      <c r="N290" s="122" t="s">
        <v>371</v>
      </c>
      <c r="O290" s="122" t="s">
        <v>375</v>
      </c>
      <c r="P290" s="122" t="s">
        <v>371</v>
      </c>
      <c r="Q290" s="124"/>
      <c r="R290" s="166"/>
      <c r="S290" s="125"/>
      <c r="T290" s="99" t="s">
        <v>375</v>
      </c>
      <c r="U290" s="102" t="s">
        <v>371</v>
      </c>
      <c r="V290" s="101" t="s">
        <v>371</v>
      </c>
      <c r="W290" s="101" t="s">
        <v>371</v>
      </c>
      <c r="X290" s="102" t="s">
        <v>375</v>
      </c>
      <c r="Y290" s="102" t="s">
        <v>371</v>
      </c>
      <c r="Z290" s="102" t="s">
        <v>371</v>
      </c>
      <c r="AA290" s="101" t="s">
        <v>371</v>
      </c>
      <c r="AB290" s="101" t="s">
        <v>371</v>
      </c>
      <c r="AC290" s="102"/>
      <c r="AD290" s="98"/>
      <c r="AE290" s="99"/>
      <c r="AF290" s="99"/>
      <c r="AG290" s="99"/>
      <c r="AH290" s="99" t="s">
        <v>375</v>
      </c>
      <c r="AI290" s="99"/>
      <c r="AJ290" s="98"/>
      <c r="AK290" s="102"/>
      <c r="AL290" s="138"/>
      <c r="AM290" s="138"/>
      <c r="AN290" s="102"/>
      <c r="AO290" s="102"/>
      <c r="AP290" s="138"/>
      <c r="AQ290" s="102"/>
      <c r="AR290" s="102"/>
      <c r="AS290" s="138"/>
      <c r="AT290" s="102"/>
      <c r="AU290" s="102"/>
      <c r="AV290" s="102"/>
    </row>
    <row r="291" spans="1:48" ht="16.3">
      <c r="A291" s="246" t="s">
        <v>1</v>
      </c>
      <c r="B291" s="261">
        <f>SUM(L291+M291+N291+O291+P291+U291+X291+Y291+Z291+AC291+AK291+AL291+AK291+AO291+AR291+AS291+AU291+AV291+AW291+AX291+AP291)+126</f>
        <v>133</v>
      </c>
      <c r="C291" s="215">
        <f t="shared" ref="C291:C292" si="49">B291</f>
        <v>133</v>
      </c>
      <c r="D291" s="139"/>
      <c r="E291" s="140"/>
      <c r="F291" s="135"/>
      <c r="G291" s="136"/>
      <c r="H291" s="683"/>
      <c r="I291" s="676"/>
      <c r="J291" s="534"/>
      <c r="K291" s="96"/>
      <c r="L291" s="104">
        <v>1</v>
      </c>
      <c r="M291" s="75">
        <v>1</v>
      </c>
      <c r="N291" s="75">
        <v>1</v>
      </c>
      <c r="O291" s="75"/>
      <c r="P291" s="128">
        <v>1</v>
      </c>
      <c r="Q291" s="97"/>
      <c r="R291" s="163"/>
      <c r="S291" s="96"/>
      <c r="T291" s="109"/>
      <c r="U291" s="100">
        <v>1</v>
      </c>
      <c r="V291" s="110">
        <v>1</v>
      </c>
      <c r="W291" s="110">
        <v>1</v>
      </c>
      <c r="X291" s="100"/>
      <c r="Y291" s="100">
        <v>1</v>
      </c>
      <c r="Z291" s="100">
        <v>1</v>
      </c>
      <c r="AA291" s="110">
        <v>1</v>
      </c>
      <c r="AB291" s="110">
        <v>1</v>
      </c>
      <c r="AC291" s="100"/>
      <c r="AD291" s="108"/>
      <c r="AE291" s="109"/>
      <c r="AF291" s="109"/>
      <c r="AG291" s="109"/>
      <c r="AH291" s="109"/>
      <c r="AI291" s="109"/>
      <c r="AJ291" s="108"/>
      <c r="AK291" s="100"/>
      <c r="AL291" s="142"/>
      <c r="AM291" s="142"/>
      <c r="AN291" s="100"/>
      <c r="AO291" s="100"/>
      <c r="AP291" s="142"/>
      <c r="AQ291" s="100"/>
      <c r="AR291" s="100"/>
      <c r="AS291" s="142"/>
      <c r="AT291" s="100"/>
      <c r="AU291" s="100"/>
      <c r="AV291" s="100"/>
    </row>
    <row r="292" spans="1:48" ht="16.3">
      <c r="A292" s="246" t="s">
        <v>2</v>
      </c>
      <c r="B292" s="261">
        <f>SUM(L292+M292+N292+O292+P292+U292+X292+Y292+Z292+AC292+AK292+AL292+AK292+AO292+AR292+AS292+AU292+AV292+AW292+AX292+AP292)+60</f>
        <v>62</v>
      </c>
      <c r="C292" s="215">
        <f t="shared" si="49"/>
        <v>62</v>
      </c>
      <c r="D292" s="139"/>
      <c r="E292" s="140"/>
      <c r="F292" s="135"/>
      <c r="G292" s="136"/>
      <c r="H292" s="683"/>
      <c r="I292" s="676"/>
      <c r="J292" s="534"/>
      <c r="K292" s="96"/>
      <c r="L292" s="104"/>
      <c r="M292" s="75"/>
      <c r="N292" s="75"/>
      <c r="O292" s="75">
        <v>1</v>
      </c>
      <c r="P292" s="128"/>
      <c r="Q292" s="97"/>
      <c r="R292" s="163"/>
      <c r="S292" s="109"/>
      <c r="T292" s="109">
        <v>1</v>
      </c>
      <c r="U292" s="100"/>
      <c r="V292" s="110"/>
      <c r="W292" s="110"/>
      <c r="X292" s="100">
        <v>1</v>
      </c>
      <c r="Y292" s="100"/>
      <c r="Z292" s="100"/>
      <c r="AA292" s="110"/>
      <c r="AB292" s="110"/>
      <c r="AC292" s="100"/>
      <c r="AD292" s="108"/>
      <c r="AE292" s="109"/>
      <c r="AF292" s="109"/>
      <c r="AG292" s="109"/>
      <c r="AH292" s="109">
        <v>1</v>
      </c>
      <c r="AI292" s="109"/>
      <c r="AJ292" s="108"/>
      <c r="AK292" s="100"/>
      <c r="AL292" s="142"/>
      <c r="AM292" s="142"/>
      <c r="AN292" s="100"/>
      <c r="AO292" s="100"/>
      <c r="AP292" s="142"/>
      <c r="AQ292" s="100"/>
      <c r="AR292" s="100"/>
      <c r="AS292" s="142"/>
      <c r="AT292" s="100"/>
      <c r="AU292" s="100"/>
      <c r="AV292" s="100"/>
    </row>
    <row r="293" spans="1:48" ht="16.3">
      <c r="A293" s="87" t="s">
        <v>363</v>
      </c>
      <c r="B293" s="260">
        <f>SUM(B291+B292)</f>
        <v>195</v>
      </c>
      <c r="C293" s="214">
        <f>SUM(C291+C292)</f>
        <v>195</v>
      </c>
      <c r="D293" s="133"/>
      <c r="E293" s="134"/>
      <c r="F293" s="135"/>
      <c r="G293" s="136"/>
      <c r="H293" s="683"/>
      <c r="I293" s="676"/>
      <c r="J293" s="534"/>
      <c r="K293" s="96"/>
      <c r="L293" s="104"/>
      <c r="M293" s="75"/>
      <c r="N293" s="75"/>
      <c r="O293" s="75"/>
      <c r="P293" s="128"/>
      <c r="Q293" s="97"/>
      <c r="R293" s="163"/>
      <c r="S293" s="109"/>
      <c r="T293" s="109"/>
      <c r="U293" s="100"/>
      <c r="V293" s="110"/>
      <c r="W293" s="110"/>
      <c r="X293" s="100"/>
      <c r="Y293" s="100"/>
      <c r="Z293" s="100"/>
      <c r="AA293" s="110"/>
      <c r="AB293" s="110"/>
      <c r="AC293" s="100"/>
      <c r="AD293" s="108"/>
      <c r="AE293" s="109"/>
      <c r="AF293" s="109"/>
      <c r="AG293" s="109"/>
      <c r="AH293" s="109"/>
      <c r="AI293" s="109"/>
      <c r="AJ293" s="108"/>
      <c r="AK293" s="100"/>
      <c r="AL293" s="142"/>
      <c r="AM293" s="142"/>
      <c r="AN293" s="100"/>
      <c r="AO293" s="100"/>
      <c r="AP293" s="142"/>
      <c r="AQ293" s="100"/>
      <c r="AR293" s="100"/>
      <c r="AS293" s="142"/>
      <c r="AT293" s="100"/>
      <c r="AU293" s="100"/>
      <c r="AV293" s="100"/>
    </row>
    <row r="294" spans="1:48" ht="16.3">
      <c r="A294" s="246" t="s">
        <v>366</v>
      </c>
      <c r="B294" s="261">
        <f>SUM(L294+M294+N294+O294+P294+U294+X294+Y294+Z294+AC294+AK294+AL294+AK294+AO294+AR294+AS294+AU294+AV294+AW294+AX294+AP294)+8</f>
        <v>8</v>
      </c>
      <c r="C294" s="215">
        <f t="shared" ref="C294:C298" si="50">B294</f>
        <v>8</v>
      </c>
      <c r="D294" s="139"/>
      <c r="E294" s="140"/>
      <c r="F294" s="135"/>
      <c r="G294" s="136"/>
      <c r="H294" s="683"/>
      <c r="I294" s="676"/>
      <c r="J294" s="534"/>
      <c r="K294" s="96"/>
      <c r="L294" s="104"/>
      <c r="M294" s="75"/>
      <c r="N294" s="75"/>
      <c r="O294" s="75"/>
      <c r="P294" s="128"/>
      <c r="Q294" s="97"/>
      <c r="R294" s="163"/>
      <c r="S294" s="109"/>
      <c r="T294" s="109"/>
      <c r="U294" s="100"/>
      <c r="V294" s="110"/>
      <c r="W294" s="110"/>
      <c r="X294" s="100"/>
      <c r="Y294" s="100"/>
      <c r="Z294" s="100"/>
      <c r="AA294" s="110"/>
      <c r="AB294" s="110"/>
      <c r="AC294" s="100"/>
      <c r="AD294" s="108"/>
      <c r="AE294" s="109"/>
      <c r="AF294" s="109"/>
      <c r="AG294" s="109"/>
      <c r="AH294" s="109"/>
      <c r="AI294" s="109"/>
      <c r="AJ294" s="108"/>
      <c r="AK294" s="100"/>
      <c r="AL294" s="142"/>
      <c r="AM294" s="142"/>
      <c r="AN294" s="100"/>
      <c r="AO294" s="100"/>
      <c r="AP294" s="142"/>
      <c r="AQ294" s="100"/>
      <c r="AR294" s="100"/>
      <c r="AS294" s="142"/>
      <c r="AT294" s="100"/>
      <c r="AU294" s="100"/>
      <c r="AV294" s="100"/>
    </row>
    <row r="295" spans="1:48" ht="16.3">
      <c r="A295" s="246" t="s">
        <v>362</v>
      </c>
      <c r="B295" s="261">
        <f>SUM(L295+M295+N295+O295+P295+U295+X295+Y295+Z295+AC295+AK295+AL295+AK295+AO295+AR295+AS295+AU295+AV295+AW295+AX295+AP295)+5</f>
        <v>5</v>
      </c>
      <c r="C295" s="215">
        <f t="shared" si="50"/>
        <v>5</v>
      </c>
      <c r="D295" s="139"/>
      <c r="E295" s="140"/>
      <c r="F295" s="135"/>
      <c r="G295" s="136"/>
      <c r="H295" s="683"/>
      <c r="I295" s="676"/>
      <c r="J295" s="534"/>
      <c r="K295" s="96"/>
      <c r="L295" s="104"/>
      <c r="M295" s="75"/>
      <c r="N295" s="75"/>
      <c r="O295" s="75"/>
      <c r="P295" s="128"/>
      <c r="Q295" s="97"/>
      <c r="R295" s="163"/>
      <c r="S295" s="109"/>
      <c r="T295" s="109"/>
      <c r="U295" s="100"/>
      <c r="V295" s="110"/>
      <c r="W295" s="110"/>
      <c r="X295" s="100"/>
      <c r="Y295" s="100"/>
      <c r="Z295" s="100"/>
      <c r="AA295" s="110"/>
      <c r="AB295" s="110"/>
      <c r="AC295" s="100"/>
      <c r="AD295" s="108"/>
      <c r="AE295" s="109"/>
      <c r="AF295" s="109"/>
      <c r="AG295" s="109"/>
      <c r="AH295" s="109"/>
      <c r="AI295" s="109"/>
      <c r="AJ295" s="108"/>
      <c r="AK295" s="100"/>
      <c r="AL295" s="142"/>
      <c r="AM295" s="142"/>
      <c r="AN295" s="100"/>
      <c r="AO295" s="100"/>
      <c r="AP295" s="142"/>
      <c r="AQ295" s="100"/>
      <c r="AR295" s="100"/>
      <c r="AS295" s="142"/>
      <c r="AT295" s="100"/>
      <c r="AU295" s="100"/>
      <c r="AV295" s="100"/>
    </row>
    <row r="296" spans="1:48" ht="16.3">
      <c r="A296" s="246" t="s">
        <v>364</v>
      </c>
      <c r="B296" s="261">
        <f>SUM(L296+M296+N296+O296+P296+U296+X296+Y296+Z296+AC296+AK296+AL296+AK296+AO296+AR296+AS296+AU296+AV296+AW296+AX296+AP296)+2</f>
        <v>2</v>
      </c>
      <c r="C296" s="215">
        <f t="shared" si="50"/>
        <v>2</v>
      </c>
      <c r="D296" s="139"/>
      <c r="E296" s="140"/>
      <c r="F296" s="135"/>
      <c r="G296" s="136"/>
      <c r="H296" s="683"/>
      <c r="I296" s="676"/>
      <c r="J296" s="534"/>
      <c r="K296" s="96"/>
      <c r="L296" s="104"/>
      <c r="M296" s="75"/>
      <c r="N296" s="75"/>
      <c r="O296" s="75"/>
      <c r="P296" s="128"/>
      <c r="Q296" s="97"/>
      <c r="R296" s="163"/>
      <c r="S296" s="109"/>
      <c r="T296" s="109"/>
      <c r="U296" s="100"/>
      <c r="V296" s="110"/>
      <c r="W296" s="110"/>
      <c r="X296" s="100"/>
      <c r="Y296" s="100"/>
      <c r="Z296" s="100"/>
      <c r="AA296" s="110"/>
      <c r="AB296" s="110"/>
      <c r="AC296" s="100"/>
      <c r="AD296" s="108"/>
      <c r="AE296" s="109"/>
      <c r="AF296" s="109"/>
      <c r="AG296" s="109"/>
      <c r="AH296" s="109"/>
      <c r="AI296" s="109"/>
      <c r="AJ296" s="108"/>
      <c r="AK296" s="100"/>
      <c r="AL296" s="142"/>
      <c r="AM296" s="142"/>
      <c r="AN296" s="100"/>
      <c r="AO296" s="100"/>
      <c r="AP296" s="142"/>
      <c r="AQ296" s="100"/>
      <c r="AR296" s="100"/>
      <c r="AS296" s="142"/>
      <c r="AT296" s="100"/>
      <c r="AU296" s="100"/>
      <c r="AV296" s="100"/>
    </row>
    <row r="297" spans="1:48" ht="16.3">
      <c r="A297" s="87" t="s">
        <v>3</v>
      </c>
      <c r="B297" s="260">
        <f>SUM(L297+M297+N297+O297+P297+U297+X297+Y297+Z297+AC297+AK297+AL297+AK297+AO297+AR297+AS297+AU297+AV297+AW297+AX297+AP297)+35</f>
        <v>38</v>
      </c>
      <c r="C297" s="214">
        <f t="shared" si="50"/>
        <v>38</v>
      </c>
      <c r="D297" s="133"/>
      <c r="E297" s="134"/>
      <c r="F297" s="135"/>
      <c r="G297" s="136"/>
      <c r="H297" s="683"/>
      <c r="I297" s="676"/>
      <c r="J297" s="534"/>
      <c r="K297" s="96"/>
      <c r="L297" s="104">
        <v>1</v>
      </c>
      <c r="M297" s="75"/>
      <c r="N297" s="75">
        <v>1</v>
      </c>
      <c r="O297" s="75"/>
      <c r="P297" s="128"/>
      <c r="Q297" s="97"/>
      <c r="R297" s="163"/>
      <c r="S297" s="109"/>
      <c r="T297" s="109"/>
      <c r="U297" s="100"/>
      <c r="V297" s="110">
        <v>1</v>
      </c>
      <c r="W297" s="110"/>
      <c r="X297" s="100"/>
      <c r="Y297" s="100">
        <v>1</v>
      </c>
      <c r="Z297" s="100"/>
      <c r="AA297" s="110"/>
      <c r="AB297" s="110">
        <v>1</v>
      </c>
      <c r="AC297" s="100"/>
      <c r="AD297" s="108"/>
      <c r="AE297" s="109"/>
      <c r="AF297" s="109"/>
      <c r="AG297" s="109"/>
      <c r="AH297" s="109"/>
      <c r="AI297" s="109"/>
      <c r="AJ297" s="108"/>
      <c r="AK297" s="100"/>
      <c r="AL297" s="142"/>
      <c r="AM297" s="142"/>
      <c r="AN297" s="100"/>
      <c r="AO297" s="100"/>
      <c r="AP297" s="142"/>
      <c r="AQ297" s="100"/>
      <c r="AR297" s="100"/>
      <c r="AS297" s="142"/>
      <c r="AT297" s="100"/>
      <c r="AU297" s="100"/>
      <c r="AV297" s="100"/>
    </row>
    <row r="298" spans="1:48" ht="17" thickBot="1">
      <c r="A298" s="88" t="s">
        <v>4</v>
      </c>
      <c r="B298" s="262">
        <f>SUM(L298+M298+N298+O298+P298+U298+X298+Y298+Z298+AC298+AK298+AL298+AK298+AO298+AR298+AS298+AU298+AV298+AW298+AX298+AP298)+175</f>
        <v>190</v>
      </c>
      <c r="C298" s="217">
        <f t="shared" si="50"/>
        <v>190</v>
      </c>
      <c r="D298" s="144"/>
      <c r="E298" s="145"/>
      <c r="F298" s="146"/>
      <c r="G298" s="147"/>
      <c r="H298" s="684"/>
      <c r="I298" s="677"/>
      <c r="J298" s="535"/>
      <c r="K298" s="114"/>
      <c r="L298" s="113">
        <v>5</v>
      </c>
      <c r="M298" s="112"/>
      <c r="N298" s="112">
        <v>5</v>
      </c>
      <c r="O298" s="112"/>
      <c r="P298" s="129"/>
      <c r="Q298" s="115"/>
      <c r="R298" s="164"/>
      <c r="S298" s="118"/>
      <c r="T298" s="118"/>
      <c r="U298" s="116"/>
      <c r="V298" s="120">
        <v>5</v>
      </c>
      <c r="W298" s="120"/>
      <c r="X298" s="116"/>
      <c r="Y298" s="116">
        <v>5</v>
      </c>
      <c r="Z298" s="116"/>
      <c r="AA298" s="120"/>
      <c r="AB298" s="120">
        <v>5</v>
      </c>
      <c r="AC298" s="116"/>
      <c r="AD298" s="117"/>
      <c r="AE298" s="118"/>
      <c r="AF298" s="118"/>
      <c r="AG298" s="118"/>
      <c r="AH298" s="118"/>
      <c r="AI298" s="118"/>
      <c r="AJ298" s="117"/>
      <c r="AK298" s="116"/>
      <c r="AL298" s="149"/>
      <c r="AM298" s="149"/>
      <c r="AN298" s="116"/>
      <c r="AO298" s="116"/>
      <c r="AP298" s="149"/>
      <c r="AQ298" s="116"/>
      <c r="AR298" s="116"/>
      <c r="AS298" s="149"/>
      <c r="AT298" s="116"/>
      <c r="AU298" s="116"/>
      <c r="AV298" s="116"/>
    </row>
    <row r="299" spans="1:48" ht="21.1">
      <c r="A299" s="86" t="s">
        <v>72</v>
      </c>
      <c r="B299" s="260"/>
      <c r="C299" s="214"/>
      <c r="D299" s="133"/>
      <c r="E299" s="134"/>
      <c r="F299" s="135"/>
      <c r="G299" s="136"/>
      <c r="H299" s="683"/>
      <c r="I299" s="676"/>
      <c r="J299" s="534"/>
      <c r="K299" s="96"/>
      <c r="L299" s="104"/>
      <c r="M299" s="75" t="s">
        <v>375</v>
      </c>
      <c r="N299" s="75"/>
      <c r="O299" s="75" t="s">
        <v>371</v>
      </c>
      <c r="P299" s="75" t="s">
        <v>339</v>
      </c>
      <c r="Q299" s="96" t="s">
        <v>339</v>
      </c>
      <c r="R299" s="105"/>
      <c r="S299" s="96" t="s">
        <v>339</v>
      </c>
      <c r="T299" s="96" t="s">
        <v>371</v>
      </c>
      <c r="U299" s="100" t="s">
        <v>375</v>
      </c>
      <c r="V299" s="110"/>
      <c r="W299" s="110"/>
      <c r="X299" s="100" t="s">
        <v>903</v>
      </c>
      <c r="Y299" s="100" t="s">
        <v>441</v>
      </c>
      <c r="Z299" s="100"/>
      <c r="AA299" s="110"/>
      <c r="AB299" s="110" t="s">
        <v>375</v>
      </c>
      <c r="AC299" s="100">
        <v>2</v>
      </c>
      <c r="AD299" s="108"/>
      <c r="AE299" s="109" t="s">
        <v>371</v>
      </c>
      <c r="AF299" s="109" t="s">
        <v>371</v>
      </c>
      <c r="AG299" s="109" t="s">
        <v>375</v>
      </c>
      <c r="AH299" s="109"/>
      <c r="AI299" s="109" t="s">
        <v>371</v>
      </c>
      <c r="AJ299" s="108"/>
      <c r="AK299" s="100"/>
      <c r="AL299" s="142"/>
      <c r="AM299" s="142"/>
      <c r="AN299" s="100"/>
      <c r="AO299" s="100"/>
      <c r="AP299" s="142"/>
      <c r="AQ299" s="100"/>
      <c r="AR299" s="100"/>
      <c r="AS299" s="142"/>
      <c r="AT299" s="100"/>
      <c r="AU299" s="100"/>
      <c r="AV299" s="100"/>
    </row>
    <row r="300" spans="1:48" ht="16.3">
      <c r="A300" s="246" t="s">
        <v>1</v>
      </c>
      <c r="B300" s="261">
        <f>SUM(L300+M300+N300+O300+P300+U300+X300+Y300+Z300+AC300+AK300+AL300+AK300+AO300+AR300+AS300+AU300+AV300+AW300+AX300+AP300)</f>
        <v>3</v>
      </c>
      <c r="C300" s="215">
        <f>SUM(L300+M300+N300+O300+P300+U300+Y300+Z300+X300+AC300+AL300+AK300+AL300+AP300+AS300+AO300+AV300+AW300+AX300+AY300+AR300+AU300)+19</f>
        <v>22</v>
      </c>
      <c r="D300" s="133"/>
      <c r="E300" s="134"/>
      <c r="F300" s="135"/>
      <c r="G300" s="136"/>
      <c r="H300" s="683"/>
      <c r="I300" s="676"/>
      <c r="J300" s="534"/>
      <c r="K300" s="96"/>
      <c r="L300" s="104"/>
      <c r="M300" s="75"/>
      <c r="N300" s="75"/>
      <c r="O300" s="75">
        <v>1</v>
      </c>
      <c r="P300" s="128"/>
      <c r="Q300" s="97"/>
      <c r="R300" s="163"/>
      <c r="S300" s="109"/>
      <c r="T300" s="109">
        <v>1</v>
      </c>
      <c r="U300" s="100"/>
      <c r="V300" s="110"/>
      <c r="W300" s="110"/>
      <c r="X300" s="100">
        <v>1</v>
      </c>
      <c r="Y300" s="100"/>
      <c r="Z300" s="100"/>
      <c r="AA300" s="110"/>
      <c r="AB300" s="110"/>
      <c r="AC300" s="100">
        <v>1</v>
      </c>
      <c r="AD300" s="108"/>
      <c r="AE300" s="109">
        <v>1</v>
      </c>
      <c r="AF300" s="109">
        <v>1</v>
      </c>
      <c r="AG300" s="109"/>
      <c r="AH300" s="109"/>
      <c r="AI300" s="109">
        <v>1</v>
      </c>
      <c r="AJ300" s="108"/>
      <c r="AK300" s="100"/>
      <c r="AL300" s="142"/>
      <c r="AM300" s="142"/>
      <c r="AN300" s="100"/>
      <c r="AO300" s="100"/>
      <c r="AP300" s="142"/>
      <c r="AQ300" s="100"/>
      <c r="AR300" s="100"/>
      <c r="AS300" s="142"/>
      <c r="AT300" s="100"/>
      <c r="AU300" s="100"/>
      <c r="AV300" s="100"/>
    </row>
    <row r="301" spans="1:48" ht="16.3">
      <c r="A301" s="246" t="s">
        <v>2</v>
      </c>
      <c r="B301" s="261">
        <f>SUM(L301+M301+N301+O301+P301+U301+X301+Y301+Z301+AC301+AK301+AL301+AK301+AO301+AR301+AS301+AU301+AV301+AW301+AX301+AP301)</f>
        <v>3</v>
      </c>
      <c r="C301" s="215">
        <f>SUM(L301+M301+N301+O301+P301+U301+Y301+Z301+X301+AC301+AL301+AK301+AL301+AP301+AS301+AO301+AV301+AW301+AX301+AY301+AR301+AU301)+32</f>
        <v>35</v>
      </c>
      <c r="D301" s="133"/>
      <c r="E301" s="134"/>
      <c r="F301" s="135"/>
      <c r="G301" s="136"/>
      <c r="H301" s="683"/>
      <c r="I301" s="676"/>
      <c r="J301" s="534"/>
      <c r="K301" s="96"/>
      <c r="L301" s="104"/>
      <c r="M301" s="75">
        <v>1</v>
      </c>
      <c r="N301" s="75"/>
      <c r="O301" s="75"/>
      <c r="P301" s="128"/>
      <c r="Q301" s="97"/>
      <c r="R301" s="163"/>
      <c r="S301" s="109"/>
      <c r="T301" s="109"/>
      <c r="U301" s="100">
        <v>1</v>
      </c>
      <c r="V301" s="110"/>
      <c r="W301" s="110"/>
      <c r="X301" s="100"/>
      <c r="Y301" s="100">
        <v>1</v>
      </c>
      <c r="Z301" s="100"/>
      <c r="AA301" s="110"/>
      <c r="AB301" s="110">
        <v>1</v>
      </c>
      <c r="AC301" s="100"/>
      <c r="AD301" s="108"/>
      <c r="AE301" s="109"/>
      <c r="AF301" s="109"/>
      <c r="AG301" s="109">
        <v>1</v>
      </c>
      <c r="AH301" s="109"/>
      <c r="AI301" s="109"/>
      <c r="AJ301" s="108"/>
      <c r="AK301" s="100"/>
      <c r="AL301" s="142"/>
      <c r="AM301" s="142"/>
      <c r="AN301" s="100"/>
      <c r="AO301" s="100"/>
      <c r="AP301" s="142"/>
      <c r="AQ301" s="100"/>
      <c r="AR301" s="100"/>
      <c r="AS301" s="142"/>
      <c r="AT301" s="100"/>
      <c r="AU301" s="100"/>
      <c r="AV301" s="100"/>
    </row>
    <row r="302" spans="1:48" ht="16.3">
      <c r="A302" s="87" t="s">
        <v>363</v>
      </c>
      <c r="B302" s="260">
        <f>SUM(B300+B301)</f>
        <v>6</v>
      </c>
      <c r="C302" s="214">
        <f>SUM(C300+C301)</f>
        <v>57</v>
      </c>
      <c r="D302" s="133"/>
      <c r="E302" s="134"/>
      <c r="F302" s="135"/>
      <c r="G302" s="136"/>
      <c r="H302" s="683"/>
      <c r="I302" s="676"/>
      <c r="J302" s="534"/>
      <c r="K302" s="96"/>
      <c r="L302" s="104"/>
      <c r="M302" s="75"/>
      <c r="N302" s="75"/>
      <c r="O302" s="75"/>
      <c r="P302" s="128"/>
      <c r="Q302" s="97"/>
      <c r="R302" s="163"/>
      <c r="S302" s="109"/>
      <c r="T302" s="109"/>
      <c r="U302" s="100"/>
      <c r="V302" s="110"/>
      <c r="W302" s="110"/>
      <c r="X302" s="100"/>
      <c r="Y302" s="100"/>
      <c r="Z302" s="100"/>
      <c r="AA302" s="110"/>
      <c r="AB302" s="110"/>
      <c r="AC302" s="100"/>
      <c r="AD302" s="108"/>
      <c r="AE302" s="109"/>
      <c r="AF302" s="109"/>
      <c r="AG302" s="109"/>
      <c r="AH302" s="109"/>
      <c r="AI302" s="109"/>
      <c r="AJ302" s="108"/>
      <c r="AK302" s="100"/>
      <c r="AL302" s="142"/>
      <c r="AM302" s="142"/>
      <c r="AN302" s="100"/>
      <c r="AO302" s="100"/>
      <c r="AP302" s="142"/>
      <c r="AQ302" s="100"/>
      <c r="AR302" s="100"/>
      <c r="AS302" s="142"/>
      <c r="AT302" s="100"/>
      <c r="AU302" s="100"/>
      <c r="AV302" s="100"/>
    </row>
    <row r="303" spans="1:48" ht="16.3">
      <c r="A303" s="246" t="s">
        <v>362</v>
      </c>
      <c r="B303" s="261">
        <f>SUM(L303+M303+N303+O303+P303+U303+X303+Y303+Z303+AC303+AK303+AL303+AK303+AO303+AR303+AS303+AU303+AV303+AW303+AX303+AP303)</f>
        <v>1</v>
      </c>
      <c r="C303" s="215">
        <f>SUM(L303+M303+N303+O303+P303+U303+Y303+Z303+X303+AC303+AL303+AK303+AL303+AP303+AS303+AO303+AV303+AW303+AX303+AY303+AR303+AU303)+4</f>
        <v>5</v>
      </c>
      <c r="D303" s="133"/>
      <c r="E303" s="134"/>
      <c r="F303" s="135"/>
      <c r="G303" s="136"/>
      <c r="H303" s="683"/>
      <c r="I303" s="676"/>
      <c r="J303" s="534"/>
      <c r="K303" s="96"/>
      <c r="L303" s="104"/>
      <c r="M303" s="75"/>
      <c r="N303" s="75"/>
      <c r="O303" s="75"/>
      <c r="P303" s="128"/>
      <c r="Q303" s="97"/>
      <c r="R303" s="163"/>
      <c r="S303" s="109"/>
      <c r="T303" s="109"/>
      <c r="U303" s="100"/>
      <c r="V303" s="110"/>
      <c r="W303" s="110"/>
      <c r="X303" s="100"/>
      <c r="Y303" s="100">
        <v>1</v>
      </c>
      <c r="Z303" s="100"/>
      <c r="AA303" s="110"/>
      <c r="AB303" s="110"/>
      <c r="AC303" s="100"/>
      <c r="AD303" s="108"/>
      <c r="AE303" s="109"/>
      <c r="AF303" s="109"/>
      <c r="AG303" s="109"/>
      <c r="AH303" s="109"/>
      <c r="AI303" s="109"/>
      <c r="AJ303" s="108"/>
      <c r="AK303" s="100"/>
      <c r="AL303" s="142"/>
      <c r="AM303" s="142"/>
      <c r="AN303" s="100"/>
      <c r="AO303" s="100"/>
      <c r="AP303" s="142"/>
      <c r="AQ303" s="100"/>
      <c r="AR303" s="100"/>
      <c r="AS303" s="142"/>
      <c r="AT303" s="100"/>
      <c r="AU303" s="100"/>
      <c r="AV303" s="100"/>
    </row>
    <row r="304" spans="1:48" ht="16.3">
      <c r="A304" s="87" t="s">
        <v>3</v>
      </c>
      <c r="B304" s="260">
        <f>SUM(L304+M304+N304+O304+P304+U304+X304+Y304+Z304+AC304+AK304+AL304+AK304+AO304+AR304+AS304+AU304+AV304+AW304+AX304+AP304)</f>
        <v>4</v>
      </c>
      <c r="C304" s="214">
        <f>SUM(L304+M304+N304+O304+P304+U304+Y304+Z304+X304+AC304+AL304+AK304+AL304+AP304+AS304+AO304+AV304+AW304+AX304+AY304+AR304+AU304)+12</f>
        <v>16</v>
      </c>
      <c r="D304" s="133"/>
      <c r="E304" s="134"/>
      <c r="F304" s="135"/>
      <c r="G304" s="136"/>
      <c r="H304" s="683"/>
      <c r="I304" s="676"/>
      <c r="J304" s="534"/>
      <c r="K304" s="96"/>
      <c r="L304" s="104"/>
      <c r="M304" s="75"/>
      <c r="N304" s="75"/>
      <c r="O304" s="75">
        <v>1</v>
      </c>
      <c r="P304" s="128"/>
      <c r="Q304" s="97"/>
      <c r="R304" s="163"/>
      <c r="S304" s="109"/>
      <c r="T304" s="109">
        <v>1</v>
      </c>
      <c r="U304" s="100"/>
      <c r="V304" s="110"/>
      <c r="W304" s="110"/>
      <c r="X304" s="100">
        <v>2</v>
      </c>
      <c r="Y304" s="100"/>
      <c r="Z304" s="100"/>
      <c r="AA304" s="110"/>
      <c r="AB304" s="110"/>
      <c r="AC304" s="100">
        <v>1</v>
      </c>
      <c r="AD304" s="108"/>
      <c r="AE304" s="150">
        <v>3</v>
      </c>
      <c r="AF304" s="109"/>
      <c r="AG304" s="109">
        <v>1</v>
      </c>
      <c r="AH304" s="109"/>
      <c r="AI304" s="109"/>
      <c r="AJ304" s="108"/>
      <c r="AK304" s="100"/>
      <c r="AL304" s="142"/>
      <c r="AM304" s="142"/>
      <c r="AN304" s="100"/>
      <c r="AO304" s="100"/>
      <c r="AP304" s="142"/>
      <c r="AQ304" s="100"/>
      <c r="AR304" s="100"/>
      <c r="AS304" s="142"/>
      <c r="AT304" s="100"/>
      <c r="AU304" s="100"/>
      <c r="AV304" s="100"/>
    </row>
    <row r="305" spans="1:48" ht="17" thickBot="1">
      <c r="A305" s="88" t="s">
        <v>4</v>
      </c>
      <c r="B305" s="262">
        <f>SUM(L305+M305+N305+O305+P305+U305+X305+Y305+Z305+AC305+AK305+AL305+AK305+AO305+AR305+AS305+AU305+AV305+AW305+AX305+AP305)</f>
        <v>20</v>
      </c>
      <c r="C305" s="217">
        <f>SUM(L305+M305+N305+O305+P305+U305+Y305+Z305+X305+AC305+AL305+AK305+AL305+AP305+AS305+AO305+AV305+AW305+AX305+AY305+AR305+AU305)+60</f>
        <v>80</v>
      </c>
      <c r="D305" s="144"/>
      <c r="E305" s="145"/>
      <c r="F305" s="146"/>
      <c r="G305" s="179"/>
      <c r="H305" s="684"/>
      <c r="I305" s="677"/>
      <c r="J305" s="535"/>
      <c r="K305" s="114"/>
      <c r="L305" s="113"/>
      <c r="M305" s="112"/>
      <c r="N305" s="112"/>
      <c r="O305" s="112">
        <v>5</v>
      </c>
      <c r="P305" s="129"/>
      <c r="Q305" s="115"/>
      <c r="R305" s="164"/>
      <c r="S305" s="118"/>
      <c r="T305" s="118">
        <v>5</v>
      </c>
      <c r="U305" s="116"/>
      <c r="V305" s="120"/>
      <c r="W305" s="120"/>
      <c r="X305" s="116">
        <v>10</v>
      </c>
      <c r="Y305" s="116"/>
      <c r="Z305" s="116"/>
      <c r="AA305" s="120"/>
      <c r="AB305" s="120"/>
      <c r="AC305" s="116">
        <v>5</v>
      </c>
      <c r="AD305" s="117"/>
      <c r="AE305" s="118">
        <v>15</v>
      </c>
      <c r="AF305" s="118"/>
      <c r="AG305" s="118">
        <v>5</v>
      </c>
      <c r="AH305" s="118"/>
      <c r="AI305" s="118"/>
      <c r="AJ305" s="117"/>
      <c r="AK305" s="116"/>
      <c r="AL305" s="149"/>
      <c r="AM305" s="149"/>
      <c r="AN305" s="116"/>
      <c r="AO305" s="116"/>
      <c r="AP305" s="149"/>
      <c r="AQ305" s="116"/>
      <c r="AR305" s="116"/>
      <c r="AS305" s="149"/>
      <c r="AT305" s="116"/>
      <c r="AU305" s="116"/>
      <c r="AV305" s="116"/>
    </row>
    <row r="306" spans="1:48" ht="21.1">
      <c r="A306" s="82" t="s">
        <v>220</v>
      </c>
      <c r="B306" s="260"/>
      <c r="C306" s="214"/>
      <c r="D306" s="133"/>
      <c r="E306" s="134"/>
      <c r="F306" s="135"/>
      <c r="G306" s="136"/>
      <c r="H306" s="683"/>
      <c r="I306" s="676"/>
      <c r="J306" s="534"/>
      <c r="K306" s="96" t="s">
        <v>371</v>
      </c>
      <c r="L306" s="104"/>
      <c r="M306" s="75"/>
      <c r="N306" s="75"/>
      <c r="O306" s="75"/>
      <c r="P306" s="75"/>
      <c r="Q306" s="97" t="s">
        <v>375</v>
      </c>
      <c r="R306" s="163"/>
      <c r="S306" s="109">
        <v>2</v>
      </c>
      <c r="T306" s="109"/>
      <c r="U306" s="100" t="s">
        <v>830</v>
      </c>
      <c r="V306" s="110" t="s">
        <v>344</v>
      </c>
      <c r="W306" s="110" t="s">
        <v>344</v>
      </c>
      <c r="X306" s="100" t="s">
        <v>344</v>
      </c>
      <c r="Y306" s="100" t="s">
        <v>344</v>
      </c>
      <c r="Z306" s="100" t="s">
        <v>344</v>
      </c>
      <c r="AA306" s="110" t="s">
        <v>344</v>
      </c>
      <c r="AB306" s="110" t="s">
        <v>344</v>
      </c>
      <c r="AC306" s="100" t="s">
        <v>344</v>
      </c>
      <c r="AD306" s="108"/>
      <c r="AE306" s="109" t="s">
        <v>375</v>
      </c>
      <c r="AF306" s="109"/>
      <c r="AG306" s="109" t="s">
        <v>371</v>
      </c>
      <c r="AH306" s="109"/>
      <c r="AI306" s="109"/>
      <c r="AJ306" s="108"/>
      <c r="AK306" s="100"/>
      <c r="AL306" s="142"/>
      <c r="AM306" s="142"/>
      <c r="AN306" s="100"/>
      <c r="AO306" s="100"/>
      <c r="AP306" s="142"/>
      <c r="AQ306" s="100"/>
      <c r="AR306" s="100"/>
      <c r="AS306" s="142"/>
      <c r="AT306" s="100"/>
      <c r="AU306" s="100"/>
      <c r="AV306" s="100"/>
    </row>
    <row r="307" spans="1:48" ht="16.3">
      <c r="A307" s="246" t="s">
        <v>1</v>
      </c>
      <c r="B307" s="261">
        <f>SUM(L307+M307+N307+O307+P307+U307+X307+Y307+Z307+AC307+AK307+AL307+AK307+AO307+AR307+AS307+AU307+AV307+AW307+AX307+AP307)+2</f>
        <v>2</v>
      </c>
      <c r="C307" s="215">
        <f t="shared" ref="C307:C308" si="51">B307</f>
        <v>2</v>
      </c>
      <c r="D307" s="133"/>
      <c r="E307" s="134"/>
      <c r="F307" s="135"/>
      <c r="G307" s="136"/>
      <c r="H307" s="683"/>
      <c r="I307" s="676"/>
      <c r="J307" s="534"/>
      <c r="K307" s="96">
        <v>1</v>
      </c>
      <c r="L307" s="104"/>
      <c r="M307" s="75"/>
      <c r="N307" s="75"/>
      <c r="O307" s="75"/>
      <c r="P307" s="75"/>
      <c r="Q307" s="97"/>
      <c r="R307" s="163"/>
      <c r="S307" s="109">
        <v>1</v>
      </c>
      <c r="T307" s="109"/>
      <c r="U307" s="100"/>
      <c r="V307" s="110"/>
      <c r="W307" s="110"/>
      <c r="X307" s="100"/>
      <c r="Y307" s="100"/>
      <c r="Z307" s="100"/>
      <c r="AA307" s="110"/>
      <c r="AB307" s="110"/>
      <c r="AC307" s="100"/>
      <c r="AD307" s="108"/>
      <c r="AE307" s="109"/>
      <c r="AF307" s="109"/>
      <c r="AG307" s="109">
        <v>1</v>
      </c>
      <c r="AH307" s="109"/>
      <c r="AI307" s="109"/>
      <c r="AJ307" s="108"/>
      <c r="AK307" s="100"/>
      <c r="AL307" s="142"/>
      <c r="AM307" s="142"/>
      <c r="AN307" s="100"/>
      <c r="AO307" s="100"/>
      <c r="AP307" s="142"/>
      <c r="AQ307" s="100"/>
      <c r="AR307" s="100"/>
      <c r="AS307" s="142"/>
      <c r="AT307" s="100"/>
      <c r="AU307" s="100"/>
      <c r="AV307" s="100"/>
    </row>
    <row r="308" spans="1:48" ht="16.3">
      <c r="A308" s="246" t="s">
        <v>2</v>
      </c>
      <c r="B308" s="261">
        <f>SUM(L308+M308+N308+O308+P308+U308+X308+Y308+Z308+AC308+AK308+AL308+AK308+AO308+AR308+AS308+AU308+AV308+AW308+AX308+AP308)</f>
        <v>0</v>
      </c>
      <c r="C308" s="215">
        <f t="shared" si="51"/>
        <v>0</v>
      </c>
      <c r="D308" s="133"/>
      <c r="E308" s="134"/>
      <c r="F308" s="135"/>
      <c r="G308" s="136"/>
      <c r="H308" s="683"/>
      <c r="I308" s="676"/>
      <c r="J308" s="534"/>
      <c r="K308" s="96"/>
      <c r="L308" s="104"/>
      <c r="M308" s="75"/>
      <c r="N308" s="75"/>
      <c r="O308" s="75"/>
      <c r="P308" s="75"/>
      <c r="Q308" s="97">
        <v>1</v>
      </c>
      <c r="R308" s="163"/>
      <c r="S308" s="109"/>
      <c r="T308" s="109"/>
      <c r="U308" s="100"/>
      <c r="V308" s="110"/>
      <c r="W308" s="110"/>
      <c r="X308" s="100"/>
      <c r="Y308" s="100"/>
      <c r="Z308" s="100"/>
      <c r="AA308" s="110"/>
      <c r="AB308" s="110"/>
      <c r="AC308" s="100"/>
      <c r="AD308" s="108"/>
      <c r="AE308" s="109">
        <v>1</v>
      </c>
      <c r="AF308" s="109"/>
      <c r="AG308" s="109"/>
      <c r="AH308" s="109"/>
      <c r="AI308" s="109"/>
      <c r="AJ308" s="108"/>
      <c r="AK308" s="100"/>
      <c r="AL308" s="142"/>
      <c r="AM308" s="142"/>
      <c r="AN308" s="100"/>
      <c r="AO308" s="100"/>
      <c r="AP308" s="142"/>
      <c r="AQ308" s="100"/>
      <c r="AR308" s="100"/>
      <c r="AS308" s="142"/>
      <c r="AT308" s="100"/>
      <c r="AU308" s="100"/>
      <c r="AV308" s="100"/>
    </row>
    <row r="309" spans="1:48" ht="16.3">
      <c r="A309" s="87" t="s">
        <v>363</v>
      </c>
      <c r="B309" s="260">
        <f>SUM(B307+B308)</f>
        <v>2</v>
      </c>
      <c r="C309" s="214">
        <f>SUM(C307+C308)</f>
        <v>2</v>
      </c>
      <c r="D309" s="133"/>
      <c r="E309" s="134"/>
      <c r="F309" s="135"/>
      <c r="G309" s="136"/>
      <c r="H309" s="683"/>
      <c r="I309" s="676"/>
      <c r="J309" s="534"/>
      <c r="K309" s="96"/>
      <c r="L309" s="104"/>
      <c r="M309" s="75"/>
      <c r="N309" s="75"/>
      <c r="O309" s="75"/>
      <c r="P309" s="75"/>
      <c r="Q309" s="97"/>
      <c r="R309" s="163"/>
      <c r="S309" s="109"/>
      <c r="T309" s="109"/>
      <c r="U309" s="100"/>
      <c r="V309" s="110"/>
      <c r="W309" s="110"/>
      <c r="X309" s="100"/>
      <c r="Y309" s="100"/>
      <c r="Z309" s="100"/>
      <c r="AA309" s="110"/>
      <c r="AB309" s="110"/>
      <c r="AC309" s="100"/>
      <c r="AD309" s="108"/>
      <c r="AE309" s="109"/>
      <c r="AF309" s="109"/>
      <c r="AG309" s="109"/>
      <c r="AH309" s="109"/>
      <c r="AI309" s="109"/>
      <c r="AJ309" s="108"/>
      <c r="AK309" s="100"/>
      <c r="AL309" s="142"/>
      <c r="AM309" s="142"/>
      <c r="AN309" s="100"/>
      <c r="AO309" s="100"/>
      <c r="AP309" s="142"/>
      <c r="AQ309" s="100"/>
      <c r="AR309" s="100"/>
      <c r="AS309" s="142"/>
      <c r="AT309" s="100"/>
      <c r="AU309" s="100"/>
      <c r="AV309" s="100"/>
    </row>
    <row r="310" spans="1:48" ht="16.3">
      <c r="A310" s="87" t="s">
        <v>3</v>
      </c>
      <c r="B310" s="260">
        <f>SUM(L310+M310+N310+O310+P310+U310+X310+Y310+Z310+AC310+AK310+AL310+AK310+AO310+AR310+AS310+AU310+AV310+AW310+AX310+AP310)</f>
        <v>0</v>
      </c>
      <c r="C310" s="214">
        <f t="shared" ref="C310:C311" si="52">B310</f>
        <v>0</v>
      </c>
      <c r="D310" s="133"/>
      <c r="E310" s="134"/>
      <c r="F310" s="135"/>
      <c r="G310" s="136"/>
      <c r="H310" s="683"/>
      <c r="I310" s="676"/>
      <c r="J310" s="534"/>
      <c r="K310" s="96"/>
      <c r="L310" s="104"/>
      <c r="M310" s="75"/>
      <c r="N310" s="75"/>
      <c r="O310" s="75"/>
      <c r="P310" s="75"/>
      <c r="Q310" s="97"/>
      <c r="R310" s="163"/>
      <c r="S310" s="109"/>
      <c r="T310" s="109"/>
      <c r="U310" s="100"/>
      <c r="V310" s="110"/>
      <c r="W310" s="110"/>
      <c r="X310" s="100"/>
      <c r="Y310" s="100"/>
      <c r="Z310" s="100"/>
      <c r="AA310" s="110"/>
      <c r="AB310" s="110"/>
      <c r="AC310" s="100"/>
      <c r="AD310" s="108"/>
      <c r="AE310" s="109">
        <v>1</v>
      </c>
      <c r="AF310" s="109"/>
      <c r="AG310" s="109"/>
      <c r="AH310" s="109"/>
      <c r="AI310" s="109"/>
      <c r="AJ310" s="108"/>
      <c r="AK310" s="100"/>
      <c r="AL310" s="142"/>
      <c r="AM310" s="142"/>
      <c r="AN310" s="100"/>
      <c r="AO310" s="100"/>
      <c r="AP310" s="142"/>
      <c r="AQ310" s="100"/>
      <c r="AR310" s="100"/>
      <c r="AS310" s="142"/>
      <c r="AT310" s="100"/>
      <c r="AU310" s="100"/>
      <c r="AV310" s="100"/>
    </row>
    <row r="311" spans="1:48" ht="17" thickBot="1">
      <c r="A311" s="88" t="s">
        <v>4</v>
      </c>
      <c r="B311" s="262">
        <f>SUM(L311+M311+N311+O311+P311+U311+X311+Y311+Z311+AC311+AK311+AL311+AK311+AO311+AR311+AS311+AU311+AV311+AW311+AX311+AP311)</f>
        <v>0</v>
      </c>
      <c r="C311" s="217">
        <f t="shared" si="52"/>
        <v>0</v>
      </c>
      <c r="D311" s="144"/>
      <c r="E311" s="145"/>
      <c r="F311" s="146"/>
      <c r="G311" s="147"/>
      <c r="H311" s="684"/>
      <c r="I311" s="677"/>
      <c r="J311" s="535"/>
      <c r="K311" s="114"/>
      <c r="L311" s="113"/>
      <c r="M311" s="112"/>
      <c r="N311" s="112"/>
      <c r="O311" s="112"/>
      <c r="P311" s="112"/>
      <c r="Q311" s="115"/>
      <c r="R311" s="164"/>
      <c r="S311" s="118"/>
      <c r="T311" s="118"/>
      <c r="U311" s="100"/>
      <c r="V311" s="110"/>
      <c r="W311" s="110"/>
      <c r="X311" s="100"/>
      <c r="Y311" s="100"/>
      <c r="Z311" s="100"/>
      <c r="AA311" s="110"/>
      <c r="AB311" s="110"/>
      <c r="AC311" s="100"/>
      <c r="AD311" s="108"/>
      <c r="AE311" s="109">
        <v>5</v>
      </c>
      <c r="AF311" s="109"/>
      <c r="AG311" s="109"/>
      <c r="AH311" s="109"/>
      <c r="AI311" s="109"/>
      <c r="AJ311" s="108"/>
      <c r="AK311" s="100"/>
      <c r="AL311" s="142"/>
      <c r="AM311" s="142"/>
      <c r="AN311" s="100"/>
      <c r="AO311" s="100"/>
      <c r="AP311" s="142"/>
      <c r="AQ311" s="100"/>
      <c r="AR311" s="100"/>
      <c r="AS311" s="142"/>
      <c r="AT311" s="100"/>
      <c r="AU311" s="100"/>
      <c r="AV311" s="100"/>
    </row>
    <row r="312" spans="1:48" ht="21.1">
      <c r="A312" s="82" t="s">
        <v>964</v>
      </c>
      <c r="B312" s="260"/>
      <c r="C312" s="214"/>
      <c r="D312" s="133"/>
      <c r="E312" s="134"/>
      <c r="F312" s="135"/>
      <c r="G312" s="136"/>
      <c r="H312" s="683"/>
      <c r="I312" s="676"/>
      <c r="J312" s="534"/>
      <c r="K312" s="96"/>
      <c r="L312" s="104" t="s">
        <v>375</v>
      </c>
      <c r="M312" s="75"/>
      <c r="N312" s="75" t="s">
        <v>375</v>
      </c>
      <c r="O312" s="75"/>
      <c r="P312" s="75" t="s">
        <v>375</v>
      </c>
      <c r="Q312" s="97">
        <v>2</v>
      </c>
      <c r="R312" s="163"/>
      <c r="S312" s="109"/>
      <c r="T312" s="109" t="s">
        <v>730</v>
      </c>
      <c r="U312" s="102"/>
      <c r="V312" s="101" t="s">
        <v>375</v>
      </c>
      <c r="W312" s="101" t="s">
        <v>375</v>
      </c>
      <c r="X312" s="102"/>
      <c r="Y312" s="102"/>
      <c r="Z312" s="102" t="s">
        <v>375</v>
      </c>
      <c r="AA312" s="101" t="s">
        <v>375</v>
      </c>
      <c r="AB312" s="101"/>
      <c r="AC312" s="102" t="s">
        <v>375</v>
      </c>
      <c r="AD312" s="98"/>
      <c r="AE312" s="99" t="s">
        <v>816</v>
      </c>
      <c r="AF312" s="99" t="s">
        <v>375</v>
      </c>
      <c r="AG312" s="99" t="s">
        <v>730</v>
      </c>
      <c r="AH312" s="99" t="s">
        <v>371</v>
      </c>
      <c r="AI312" s="99" t="s">
        <v>375</v>
      </c>
      <c r="AJ312" s="98"/>
      <c r="AK312" s="102"/>
      <c r="AL312" s="138"/>
      <c r="AM312" s="138"/>
      <c r="AN312" s="102"/>
      <c r="AO312" s="102"/>
      <c r="AP312" s="138"/>
      <c r="AQ312" s="102"/>
      <c r="AR312" s="102"/>
      <c r="AS312" s="138"/>
      <c r="AT312" s="102"/>
      <c r="AU312" s="102"/>
      <c r="AV312" s="102"/>
    </row>
    <row r="313" spans="1:48" ht="16.3">
      <c r="A313" s="234" t="s">
        <v>1</v>
      </c>
      <c r="B313" s="261">
        <f>SUM(L313+M313+N313+O313+P313+U313+X313+Y313+Z313+AC313+AK313+AL313+AK313+AO313+AR313+AS313+AU313+AV313+AW313+AX313+AP313)</f>
        <v>0</v>
      </c>
      <c r="C313" s="215">
        <f t="shared" ref="C313:C314" si="53">B313</f>
        <v>0</v>
      </c>
      <c r="D313" s="133"/>
      <c r="E313" s="134"/>
      <c r="F313" s="135"/>
      <c r="G313" s="136"/>
      <c r="H313" s="683"/>
      <c r="I313" s="676"/>
      <c r="J313" s="534"/>
      <c r="K313" s="96"/>
      <c r="L313" s="104"/>
      <c r="M313" s="75"/>
      <c r="N313" s="75"/>
      <c r="O313" s="75"/>
      <c r="P313" s="75"/>
      <c r="Q313" s="97">
        <v>1</v>
      </c>
      <c r="R313" s="163"/>
      <c r="S313" s="109"/>
      <c r="T313" s="109"/>
      <c r="U313" s="100"/>
      <c r="V313" s="110"/>
      <c r="W313" s="110"/>
      <c r="X313" s="100"/>
      <c r="Y313" s="100"/>
      <c r="Z313" s="100"/>
      <c r="AA313" s="110"/>
      <c r="AB313" s="110"/>
      <c r="AC313" s="100"/>
      <c r="AD313" s="108"/>
      <c r="AE313" s="109"/>
      <c r="AF313" s="109"/>
      <c r="AG313" s="109"/>
      <c r="AH313" s="109">
        <v>1</v>
      </c>
      <c r="AI313" s="109"/>
      <c r="AJ313" s="108"/>
      <c r="AK313" s="100"/>
      <c r="AL313" s="142"/>
      <c r="AM313" s="142"/>
      <c r="AN313" s="100"/>
      <c r="AO313" s="100"/>
      <c r="AP313" s="142"/>
      <c r="AQ313" s="100"/>
      <c r="AR313" s="100"/>
      <c r="AS313" s="142"/>
      <c r="AT313" s="100"/>
      <c r="AU313" s="100"/>
      <c r="AV313" s="100"/>
    </row>
    <row r="314" spans="1:48" ht="16.3">
      <c r="A314" s="234" t="s">
        <v>2</v>
      </c>
      <c r="B314" s="261">
        <f>SUM(L314+M314+N314+O314+P314+U314+X314+Y314+Z314+AC314+AK314+AL314+AK314+AO314+AR314+AS314+AU314+AV314+AW314+AX314+AP314)+4</f>
        <v>9</v>
      </c>
      <c r="C314" s="215">
        <f t="shared" si="53"/>
        <v>9</v>
      </c>
      <c r="D314" s="133"/>
      <c r="E314" s="134"/>
      <c r="F314" s="135"/>
      <c r="G314" s="136"/>
      <c r="H314" s="683"/>
      <c r="I314" s="676"/>
      <c r="J314" s="534"/>
      <c r="K314" s="96"/>
      <c r="L314" s="104">
        <v>1</v>
      </c>
      <c r="M314" s="75"/>
      <c r="N314" s="75">
        <v>1</v>
      </c>
      <c r="O314" s="75"/>
      <c r="P314" s="75">
        <v>1</v>
      </c>
      <c r="Q314" s="97"/>
      <c r="R314" s="163"/>
      <c r="S314" s="109"/>
      <c r="T314" s="109">
        <v>1</v>
      </c>
      <c r="U314" s="100"/>
      <c r="V314" s="110">
        <v>1</v>
      </c>
      <c r="W314" s="110">
        <v>1</v>
      </c>
      <c r="X314" s="100"/>
      <c r="Y314" s="100"/>
      <c r="Z314" s="100">
        <v>1</v>
      </c>
      <c r="AA314" s="110">
        <v>1</v>
      </c>
      <c r="AB314" s="110"/>
      <c r="AC314" s="100">
        <v>1</v>
      </c>
      <c r="AD314" s="108"/>
      <c r="AE314" s="109"/>
      <c r="AF314" s="109">
        <v>1</v>
      </c>
      <c r="AG314" s="109">
        <v>1</v>
      </c>
      <c r="AH314" s="109"/>
      <c r="AI314" s="109">
        <v>1</v>
      </c>
      <c r="AJ314" s="108"/>
      <c r="AK314" s="100"/>
      <c r="AL314" s="142"/>
      <c r="AM314" s="142"/>
      <c r="AN314" s="100"/>
      <c r="AO314" s="100"/>
      <c r="AP314" s="142"/>
      <c r="AQ314" s="100"/>
      <c r="AR314" s="100"/>
      <c r="AS314" s="142"/>
      <c r="AT314" s="100"/>
      <c r="AU314" s="100"/>
      <c r="AV314" s="100"/>
    </row>
    <row r="315" spans="1:48" ht="16.3">
      <c r="A315" s="87" t="s">
        <v>363</v>
      </c>
      <c r="B315" s="260">
        <f>SUM(B313+B314)</f>
        <v>9</v>
      </c>
      <c r="C315" s="214">
        <f>SUM(C313+C314)</f>
        <v>9</v>
      </c>
      <c r="D315" s="133"/>
      <c r="E315" s="134"/>
      <c r="F315" s="135"/>
      <c r="G315" s="136"/>
      <c r="H315" s="683"/>
      <c r="I315" s="676"/>
      <c r="J315" s="534"/>
      <c r="K315" s="96"/>
      <c r="L315" s="104"/>
      <c r="M315" s="75"/>
      <c r="N315" s="75"/>
      <c r="O315" s="75"/>
      <c r="P315" s="75"/>
      <c r="Q315" s="97"/>
      <c r="R315" s="163"/>
      <c r="S315" s="109"/>
      <c r="T315" s="109"/>
      <c r="U315" s="100"/>
      <c r="V315" s="110"/>
      <c r="W315" s="110"/>
      <c r="X315" s="100"/>
      <c r="Y315" s="100"/>
      <c r="Z315" s="100"/>
      <c r="AA315" s="110"/>
      <c r="AB315" s="110"/>
      <c r="AC315" s="100"/>
      <c r="AD315" s="108"/>
      <c r="AE315" s="109"/>
      <c r="AF315" s="109"/>
      <c r="AG315" s="109"/>
      <c r="AH315" s="109"/>
      <c r="AI315" s="109"/>
      <c r="AJ315" s="108"/>
      <c r="AK315" s="100"/>
      <c r="AL315" s="142"/>
      <c r="AM315" s="142"/>
      <c r="AN315" s="100"/>
      <c r="AO315" s="100"/>
      <c r="AP315" s="142"/>
      <c r="AQ315" s="100"/>
      <c r="AR315" s="100"/>
      <c r="AS315" s="142"/>
      <c r="AT315" s="100"/>
      <c r="AU315" s="100"/>
      <c r="AV315" s="100"/>
    </row>
    <row r="316" spans="1:48" ht="16.3">
      <c r="A316" s="87" t="s">
        <v>3</v>
      </c>
      <c r="B316" s="260">
        <f>SUM(L316+M316+N316+O316+P316+U316+X316+Y316+Z316+AC316+AK316+AL316+AK316+AO316+AR316+AS316+AU316+AV316+AW316+AX316+AP316)+1</f>
        <v>1</v>
      </c>
      <c r="C316" s="214">
        <f t="shared" ref="C316:C317" si="54">B316</f>
        <v>1</v>
      </c>
      <c r="D316" s="133"/>
      <c r="E316" s="134"/>
      <c r="F316" s="135"/>
      <c r="G316" s="136"/>
      <c r="H316" s="683"/>
      <c r="I316" s="676"/>
      <c r="J316" s="534"/>
      <c r="K316" s="96"/>
      <c r="L316" s="104"/>
      <c r="M316" s="75"/>
      <c r="N316" s="75"/>
      <c r="O316" s="75"/>
      <c r="P316" s="75"/>
      <c r="Q316" s="97">
        <v>2</v>
      </c>
      <c r="R316" s="163"/>
      <c r="S316" s="109"/>
      <c r="T316" s="109"/>
      <c r="U316" s="100"/>
      <c r="V316" s="110"/>
      <c r="W316" s="110"/>
      <c r="X316" s="100"/>
      <c r="Y316" s="100"/>
      <c r="Z316" s="100"/>
      <c r="AA316" s="110"/>
      <c r="AB316" s="110"/>
      <c r="AC316" s="100"/>
      <c r="AD316" s="108"/>
      <c r="AE316" s="109"/>
      <c r="AF316" s="109"/>
      <c r="AG316" s="109"/>
      <c r="AH316" s="109">
        <v>1</v>
      </c>
      <c r="AI316" s="109"/>
      <c r="AJ316" s="108"/>
      <c r="AK316" s="100"/>
      <c r="AL316" s="142"/>
      <c r="AM316" s="142"/>
      <c r="AN316" s="100"/>
      <c r="AO316" s="100"/>
      <c r="AP316" s="142"/>
      <c r="AQ316" s="100"/>
      <c r="AR316" s="100"/>
      <c r="AS316" s="142"/>
      <c r="AT316" s="100"/>
      <c r="AU316" s="100"/>
      <c r="AV316" s="100"/>
    </row>
    <row r="317" spans="1:48" ht="17" thickBot="1">
      <c r="A317" s="88" t="s">
        <v>4</v>
      </c>
      <c r="B317" s="262">
        <f>SUM(L317+M317+N317+O317+P317+U317+X317+Y317+Z317+AC317+AK317+AL317+AK317+AO317+AR317+AS317+AU317+AV317+AW317+AX317+AP317)+5</f>
        <v>5</v>
      </c>
      <c r="C317" s="217">
        <f t="shared" si="54"/>
        <v>5</v>
      </c>
      <c r="D317" s="144"/>
      <c r="E317" s="145"/>
      <c r="F317" s="146"/>
      <c r="G317" s="147"/>
      <c r="H317" s="684"/>
      <c r="I317" s="677"/>
      <c r="J317" s="535"/>
      <c r="K317" s="114"/>
      <c r="L317" s="113"/>
      <c r="M317" s="112"/>
      <c r="N317" s="112"/>
      <c r="O317" s="112"/>
      <c r="P317" s="112"/>
      <c r="Q317" s="115">
        <v>10</v>
      </c>
      <c r="R317" s="164"/>
      <c r="S317" s="118"/>
      <c r="T317" s="114"/>
      <c r="U317" s="116"/>
      <c r="V317" s="120"/>
      <c r="W317" s="120"/>
      <c r="X317" s="116"/>
      <c r="Y317" s="116"/>
      <c r="Z317" s="116"/>
      <c r="AA317" s="120"/>
      <c r="AB317" s="120"/>
      <c r="AC317" s="116"/>
      <c r="AD317" s="117"/>
      <c r="AE317" s="118"/>
      <c r="AF317" s="118"/>
      <c r="AG317" s="118"/>
      <c r="AH317" s="118">
        <v>5</v>
      </c>
      <c r="AI317" s="118"/>
      <c r="AJ317" s="117"/>
      <c r="AK317" s="116"/>
      <c r="AL317" s="149"/>
      <c r="AM317" s="149"/>
      <c r="AN317" s="116"/>
      <c r="AO317" s="116"/>
      <c r="AP317" s="149"/>
      <c r="AQ317" s="116"/>
      <c r="AR317" s="116"/>
      <c r="AS317" s="149"/>
      <c r="AT317" s="116"/>
      <c r="AU317" s="116"/>
      <c r="AV317" s="116"/>
    </row>
    <row r="318" spans="1:48" ht="21.1">
      <c r="A318" s="82" t="s">
        <v>668</v>
      </c>
      <c r="B318" s="260"/>
      <c r="C318" s="214"/>
      <c r="D318" s="133"/>
      <c r="E318" s="134"/>
      <c r="F318" s="135"/>
      <c r="G318" s="136"/>
      <c r="H318" s="683"/>
      <c r="I318" s="676"/>
      <c r="J318" s="534"/>
      <c r="K318" s="96" t="s">
        <v>432</v>
      </c>
      <c r="L318" s="104"/>
      <c r="M318" s="75"/>
      <c r="N318" s="75"/>
      <c r="O318" s="75"/>
      <c r="P318" s="75"/>
      <c r="Q318" s="97"/>
      <c r="R318" s="163"/>
      <c r="S318" s="109" t="s">
        <v>393</v>
      </c>
      <c r="T318" s="109"/>
      <c r="U318" s="100"/>
      <c r="V318" s="110"/>
      <c r="W318" s="110"/>
      <c r="X318" s="100"/>
      <c r="Y318" s="100"/>
      <c r="Z318" s="100"/>
      <c r="AA318" s="110"/>
      <c r="AB318" s="110"/>
      <c r="AC318" s="100"/>
      <c r="AD318" s="108"/>
      <c r="AE318" s="109"/>
      <c r="AF318" s="109"/>
      <c r="AG318" s="109"/>
      <c r="AH318" s="109"/>
      <c r="AI318" s="109"/>
      <c r="AJ318" s="108"/>
      <c r="AK318" s="100"/>
      <c r="AL318" s="142"/>
      <c r="AM318" s="142"/>
      <c r="AN318" s="100"/>
      <c r="AO318" s="100"/>
      <c r="AP318" s="142"/>
      <c r="AQ318" s="100"/>
      <c r="AR318" s="100"/>
      <c r="AS318" s="142"/>
      <c r="AT318" s="100"/>
      <c r="AU318" s="100"/>
      <c r="AV318" s="100"/>
    </row>
    <row r="319" spans="1:48" ht="16.3">
      <c r="A319" s="234" t="s">
        <v>1</v>
      </c>
      <c r="B319" s="261">
        <f>SUM(L319+M319+N319+O319+P319+U319+X319+Y319+Z319+AC319+AK319+AL319+AK319+AO319+AR319+AS319+AU319+AV319+AW319+AX319+AP319)</f>
        <v>0</v>
      </c>
      <c r="C319" s="215">
        <f t="shared" ref="C319:C320" si="55">B319</f>
        <v>0</v>
      </c>
      <c r="D319" s="133"/>
      <c r="E319" s="134"/>
      <c r="F319" s="135"/>
      <c r="G319" s="136"/>
      <c r="H319" s="683"/>
      <c r="I319" s="676"/>
      <c r="J319" s="534"/>
      <c r="K319" s="96"/>
      <c r="L319" s="104"/>
      <c r="M319" s="75"/>
      <c r="N319" s="75"/>
      <c r="O319" s="75"/>
      <c r="P319" s="75"/>
      <c r="Q319" s="97"/>
      <c r="R319" s="163"/>
      <c r="S319" s="109"/>
      <c r="T319" s="109"/>
      <c r="U319" s="100"/>
      <c r="V319" s="110"/>
      <c r="W319" s="110"/>
      <c r="X319" s="100"/>
      <c r="Y319" s="100"/>
      <c r="Z319" s="100"/>
      <c r="AA319" s="110"/>
      <c r="AB319" s="110"/>
      <c r="AC319" s="100"/>
      <c r="AD319" s="108"/>
      <c r="AE319" s="109"/>
      <c r="AF319" s="109"/>
      <c r="AG319" s="109"/>
      <c r="AH319" s="109"/>
      <c r="AI319" s="109"/>
      <c r="AJ319" s="108"/>
      <c r="AK319" s="100"/>
      <c r="AL319" s="142"/>
      <c r="AM319" s="142"/>
      <c r="AN319" s="100"/>
      <c r="AO319" s="100"/>
      <c r="AP319" s="142"/>
      <c r="AQ319" s="100"/>
      <c r="AR319" s="100"/>
      <c r="AS319" s="142"/>
      <c r="AT319" s="100"/>
      <c r="AU319" s="100"/>
      <c r="AV319" s="100"/>
    </row>
    <row r="320" spans="1:48" ht="16.3">
      <c r="A320" s="234" t="s">
        <v>2</v>
      </c>
      <c r="B320" s="261">
        <f>SUM(L320+M320+N320+O320+P320+U320+X320+Y320+Z320+AC320+AK320+AL320+AK320+AO320+AR320+AS320+AU320+AV320+AW320+AX320+AP320)</f>
        <v>0</v>
      </c>
      <c r="C320" s="215">
        <f t="shared" si="55"/>
        <v>0</v>
      </c>
      <c r="D320" s="133"/>
      <c r="E320" s="134"/>
      <c r="F320" s="135"/>
      <c r="G320" s="136"/>
      <c r="H320" s="683"/>
      <c r="I320" s="676"/>
      <c r="J320" s="534"/>
      <c r="K320" s="96">
        <v>1</v>
      </c>
      <c r="L320" s="104"/>
      <c r="M320" s="75"/>
      <c r="N320" s="75"/>
      <c r="O320" s="75"/>
      <c r="P320" s="75"/>
      <c r="Q320" s="97"/>
      <c r="R320" s="163"/>
      <c r="S320" s="109"/>
      <c r="T320" s="109"/>
      <c r="U320" s="100"/>
      <c r="V320" s="110"/>
      <c r="W320" s="110"/>
      <c r="X320" s="100"/>
      <c r="Y320" s="100"/>
      <c r="Z320" s="100"/>
      <c r="AA320" s="110"/>
      <c r="AB320" s="110"/>
      <c r="AC320" s="100"/>
      <c r="AD320" s="108"/>
      <c r="AE320" s="109"/>
      <c r="AF320" s="109"/>
      <c r="AG320" s="109"/>
      <c r="AH320" s="109"/>
      <c r="AI320" s="109"/>
      <c r="AJ320" s="108"/>
      <c r="AK320" s="100"/>
      <c r="AL320" s="142"/>
      <c r="AM320" s="142"/>
      <c r="AN320" s="100"/>
      <c r="AO320" s="100"/>
      <c r="AP320" s="142"/>
      <c r="AQ320" s="100"/>
      <c r="AR320" s="100"/>
      <c r="AS320" s="142"/>
      <c r="AT320" s="100"/>
      <c r="AU320" s="100"/>
      <c r="AV320" s="100"/>
    </row>
    <row r="321" spans="1:48" ht="16.3">
      <c r="A321" s="87" t="s">
        <v>363</v>
      </c>
      <c r="B321" s="260">
        <f>SUM(B319+B320)</f>
        <v>0</v>
      </c>
      <c r="C321" s="214">
        <f>SUM(C319+C320)</f>
        <v>0</v>
      </c>
      <c r="D321" s="133"/>
      <c r="E321" s="134"/>
      <c r="F321" s="135"/>
      <c r="G321" s="136"/>
      <c r="H321" s="683"/>
      <c r="I321" s="676"/>
      <c r="J321" s="534"/>
      <c r="K321" s="96"/>
      <c r="L321" s="104"/>
      <c r="M321" s="75"/>
      <c r="N321" s="75"/>
      <c r="O321" s="75"/>
      <c r="P321" s="75"/>
      <c r="Q321" s="97"/>
      <c r="R321" s="163"/>
      <c r="S321" s="109"/>
      <c r="T321" s="109"/>
      <c r="U321" s="100"/>
      <c r="V321" s="110"/>
      <c r="W321" s="110"/>
      <c r="X321" s="100"/>
      <c r="Y321" s="100"/>
      <c r="Z321" s="100"/>
      <c r="AA321" s="110"/>
      <c r="AB321" s="110"/>
      <c r="AC321" s="100"/>
      <c r="AD321" s="108"/>
      <c r="AE321" s="109"/>
      <c r="AF321" s="109"/>
      <c r="AG321" s="109"/>
      <c r="AH321" s="109"/>
      <c r="AI321" s="109"/>
      <c r="AJ321" s="108"/>
      <c r="AK321" s="100"/>
      <c r="AL321" s="142"/>
      <c r="AM321" s="142"/>
      <c r="AN321" s="100"/>
      <c r="AO321" s="100"/>
      <c r="AP321" s="142"/>
      <c r="AQ321" s="100"/>
      <c r="AR321" s="100"/>
      <c r="AS321" s="142"/>
      <c r="AT321" s="100"/>
      <c r="AU321" s="100"/>
      <c r="AV321" s="100"/>
    </row>
    <row r="322" spans="1:48" ht="16.3">
      <c r="A322" s="87" t="s">
        <v>3</v>
      </c>
      <c r="B322" s="260">
        <f>SUM(L322+M322+N322+O322+P322+U322+X322+Y322+Z322+AC322+AK322+AL322+AK322+AO322+AR322+AS322+AU322+AV322+AW322+AX322+AP322)</f>
        <v>0</v>
      </c>
      <c r="C322" s="214">
        <f t="shared" ref="C322:C323" si="56">B322</f>
        <v>0</v>
      </c>
      <c r="D322" s="133"/>
      <c r="E322" s="134"/>
      <c r="F322" s="135"/>
      <c r="G322" s="136"/>
      <c r="H322" s="683"/>
      <c r="I322" s="676"/>
      <c r="J322" s="534"/>
      <c r="K322" s="96"/>
      <c r="L322" s="104"/>
      <c r="M322" s="75"/>
      <c r="N322" s="75"/>
      <c r="O322" s="75"/>
      <c r="P322" s="75"/>
      <c r="Q322" s="97"/>
      <c r="R322" s="163"/>
      <c r="S322" s="109"/>
      <c r="T322" s="109"/>
      <c r="U322" s="100"/>
      <c r="V322" s="110"/>
      <c r="W322" s="110"/>
      <c r="X322" s="100"/>
      <c r="Y322" s="100"/>
      <c r="Z322" s="100"/>
      <c r="AA322" s="110"/>
      <c r="AB322" s="110"/>
      <c r="AC322" s="100"/>
      <c r="AD322" s="108"/>
      <c r="AE322" s="109"/>
      <c r="AF322" s="109"/>
      <c r="AG322" s="109"/>
      <c r="AH322" s="109"/>
      <c r="AI322" s="109"/>
      <c r="AJ322" s="108"/>
      <c r="AK322" s="100"/>
      <c r="AL322" s="142"/>
      <c r="AM322" s="142"/>
      <c r="AN322" s="100"/>
      <c r="AO322" s="100"/>
      <c r="AP322" s="142"/>
      <c r="AQ322" s="100"/>
      <c r="AR322" s="100"/>
      <c r="AS322" s="142"/>
      <c r="AT322" s="100"/>
      <c r="AU322" s="100"/>
      <c r="AV322" s="100"/>
    </row>
    <row r="323" spans="1:48" ht="17" thickBot="1">
      <c r="A323" s="88" t="s">
        <v>4</v>
      </c>
      <c r="B323" s="262">
        <f>SUM(L323+M323+N323+O323+P323+U323+X323+Y323+Z323+AC323+AK323+AL323+AK323+AO323+AR323+AS323+AU323+AV323+AW323+AX323+AP323)</f>
        <v>0</v>
      </c>
      <c r="C323" s="217">
        <f t="shared" si="56"/>
        <v>0</v>
      </c>
      <c r="D323" s="144"/>
      <c r="E323" s="145"/>
      <c r="F323" s="146"/>
      <c r="G323" s="147"/>
      <c r="H323" s="684"/>
      <c r="I323" s="677"/>
      <c r="J323" s="535"/>
      <c r="K323" s="114"/>
      <c r="L323" s="113"/>
      <c r="M323" s="112"/>
      <c r="N323" s="112"/>
      <c r="O323" s="112"/>
      <c r="P323" s="112"/>
      <c r="Q323" s="115"/>
      <c r="R323" s="164"/>
      <c r="S323" s="118"/>
      <c r="T323" s="118"/>
      <c r="U323" s="112"/>
      <c r="V323" s="110"/>
      <c r="W323" s="110"/>
      <c r="X323" s="100"/>
      <c r="Y323" s="100"/>
      <c r="Z323" s="100"/>
      <c r="AA323" s="110"/>
      <c r="AB323" s="110"/>
      <c r="AC323" s="100"/>
      <c r="AD323" s="108"/>
      <c r="AE323" s="109"/>
      <c r="AF323" s="109"/>
      <c r="AG323" s="109"/>
      <c r="AH323" s="109"/>
      <c r="AI323" s="109"/>
      <c r="AJ323" s="108"/>
      <c r="AK323" s="100"/>
      <c r="AL323" s="142"/>
      <c r="AM323" s="142"/>
      <c r="AN323" s="100"/>
      <c r="AO323" s="100"/>
      <c r="AP323" s="142"/>
      <c r="AQ323" s="100"/>
      <c r="AR323" s="100"/>
      <c r="AS323" s="142"/>
      <c r="AT323" s="100"/>
      <c r="AU323" s="100"/>
      <c r="AV323" s="100"/>
    </row>
    <row r="324" spans="1:48" ht="21.1">
      <c r="A324" s="82" t="s">
        <v>259</v>
      </c>
      <c r="B324" s="260"/>
      <c r="C324" s="214"/>
      <c r="D324" s="133"/>
      <c r="E324" s="134"/>
      <c r="F324" s="135"/>
      <c r="G324" s="136"/>
      <c r="H324" s="683"/>
      <c r="I324" s="676"/>
      <c r="J324" s="534"/>
      <c r="K324" s="96" t="s">
        <v>501</v>
      </c>
      <c r="L324" s="104">
        <v>5</v>
      </c>
      <c r="M324" s="75" t="s">
        <v>387</v>
      </c>
      <c r="N324" s="75" t="s">
        <v>339</v>
      </c>
      <c r="O324" s="75" t="s">
        <v>339</v>
      </c>
      <c r="P324" s="75" t="s">
        <v>339</v>
      </c>
      <c r="Q324" s="97" t="s">
        <v>339</v>
      </c>
      <c r="R324" s="163"/>
      <c r="S324" s="109" t="s">
        <v>775</v>
      </c>
      <c r="T324" s="109" t="s">
        <v>775</v>
      </c>
      <c r="U324" s="100" t="s">
        <v>387</v>
      </c>
      <c r="V324" s="101">
        <v>5</v>
      </c>
      <c r="W324" s="101" t="s">
        <v>339</v>
      </c>
      <c r="X324" s="102" t="s">
        <v>339</v>
      </c>
      <c r="Y324" s="102" t="s">
        <v>339</v>
      </c>
      <c r="Z324" s="102" t="s">
        <v>339</v>
      </c>
      <c r="AA324" s="101" t="s">
        <v>339</v>
      </c>
      <c r="AB324" s="101" t="s">
        <v>339</v>
      </c>
      <c r="AC324" s="102" t="s">
        <v>375</v>
      </c>
      <c r="AD324" s="98"/>
      <c r="AE324" s="99"/>
      <c r="AF324" s="99"/>
      <c r="AG324" s="99"/>
      <c r="AH324" s="99">
        <v>5</v>
      </c>
      <c r="AI324" s="99"/>
      <c r="AJ324" s="98"/>
      <c r="AK324" s="102"/>
      <c r="AL324" s="138"/>
      <c r="AM324" s="138"/>
      <c r="AN324" s="102"/>
      <c r="AO324" s="102"/>
      <c r="AP324" s="138"/>
      <c r="AQ324" s="102"/>
      <c r="AR324" s="102"/>
      <c r="AS324" s="138"/>
      <c r="AT324" s="102"/>
      <c r="AU324" s="102"/>
      <c r="AV324" s="102"/>
    </row>
    <row r="325" spans="1:48" ht="16.3">
      <c r="A325" s="246" t="s">
        <v>1</v>
      </c>
      <c r="B325" s="261">
        <f>SUM(L325+M325+N325+O325+P325+U325+X325+Y325+Z325+AC325+AK325+AL325+AK325+AO325+AR325+AS325+AU325+AV325+AW325+AX325+AP325)+114</f>
        <v>117</v>
      </c>
      <c r="C325" s="215">
        <f t="shared" ref="C325:C326" si="57">B325</f>
        <v>117</v>
      </c>
      <c r="D325" s="139"/>
      <c r="E325" s="140"/>
      <c r="F325" s="135"/>
      <c r="G325" s="136"/>
      <c r="H325" s="683"/>
      <c r="I325" s="676"/>
      <c r="J325" s="534"/>
      <c r="K325" s="96"/>
      <c r="L325" s="104">
        <v>1</v>
      </c>
      <c r="M325" s="75">
        <v>1</v>
      </c>
      <c r="N325" s="75"/>
      <c r="O325" s="75"/>
      <c r="P325" s="75"/>
      <c r="Q325" s="97"/>
      <c r="R325" s="163"/>
      <c r="S325" s="109"/>
      <c r="T325" s="109"/>
      <c r="U325" s="100">
        <v>1</v>
      </c>
      <c r="V325" s="110">
        <v>1</v>
      </c>
      <c r="W325" s="110"/>
      <c r="X325" s="100"/>
      <c r="Y325" s="100"/>
      <c r="Z325" s="100"/>
      <c r="AA325" s="110"/>
      <c r="AB325" s="110"/>
      <c r="AC325" s="100"/>
      <c r="AD325" s="108"/>
      <c r="AE325" s="109"/>
      <c r="AF325" s="109"/>
      <c r="AG325" s="109"/>
      <c r="AH325" s="109">
        <v>1</v>
      </c>
      <c r="AI325" s="109"/>
      <c r="AJ325" s="108"/>
      <c r="AK325" s="100"/>
      <c r="AL325" s="142"/>
      <c r="AM325" s="142"/>
      <c r="AN325" s="100"/>
      <c r="AO325" s="100"/>
      <c r="AP325" s="142"/>
      <c r="AQ325" s="100"/>
      <c r="AR325" s="100"/>
      <c r="AS325" s="142"/>
      <c r="AT325" s="100"/>
      <c r="AU325" s="100"/>
      <c r="AV325" s="100"/>
    </row>
    <row r="326" spans="1:48" ht="16.3">
      <c r="A326" s="246" t="s">
        <v>2</v>
      </c>
      <c r="B326" s="261">
        <f>SUM(L326+M326+N326+O326+P326+U326+X326+Y326+Z326+AC326+AK326+AL326+AK326+AO326+AR326+AS326+AU326+AV326+AW326+AX326+AP326)+20</f>
        <v>21</v>
      </c>
      <c r="C326" s="215">
        <f t="shared" si="57"/>
        <v>21</v>
      </c>
      <c r="D326" s="139"/>
      <c r="E326" s="140"/>
      <c r="F326" s="135"/>
      <c r="G326" s="136"/>
      <c r="H326" s="683"/>
      <c r="I326" s="676"/>
      <c r="J326" s="534"/>
      <c r="K326" s="96"/>
      <c r="L326" s="104"/>
      <c r="M326" s="75"/>
      <c r="N326" s="75"/>
      <c r="O326" s="75"/>
      <c r="P326" s="75"/>
      <c r="Q326" s="97"/>
      <c r="R326" s="163"/>
      <c r="S326" s="109"/>
      <c r="T326" s="109"/>
      <c r="U326" s="100"/>
      <c r="V326" s="110"/>
      <c r="W326" s="110"/>
      <c r="X326" s="100"/>
      <c r="Y326" s="100"/>
      <c r="Z326" s="100"/>
      <c r="AA326" s="110"/>
      <c r="AB326" s="110"/>
      <c r="AC326" s="100">
        <v>1</v>
      </c>
      <c r="AD326" s="108"/>
      <c r="AE326" s="109"/>
      <c r="AF326" s="109"/>
      <c r="AG326" s="109"/>
      <c r="AH326" s="109"/>
      <c r="AI326" s="109"/>
      <c r="AJ326" s="108"/>
      <c r="AK326" s="100"/>
      <c r="AL326" s="142"/>
      <c r="AM326" s="142"/>
      <c r="AN326" s="100"/>
      <c r="AO326" s="100"/>
      <c r="AP326" s="142"/>
      <c r="AQ326" s="100"/>
      <c r="AR326" s="100"/>
      <c r="AS326" s="142"/>
      <c r="AT326" s="100"/>
      <c r="AU326" s="100"/>
      <c r="AV326" s="100"/>
    </row>
    <row r="327" spans="1:48" ht="16.3">
      <c r="A327" s="87" t="s">
        <v>363</v>
      </c>
      <c r="B327" s="260">
        <f>SUM(B325+B326)</f>
        <v>138</v>
      </c>
      <c r="C327" s="214">
        <f>SUM(C325+C326)</f>
        <v>138</v>
      </c>
      <c r="D327" s="133"/>
      <c r="E327" s="134"/>
      <c r="F327" s="135"/>
      <c r="G327" s="136"/>
      <c r="H327" s="683"/>
      <c r="I327" s="676"/>
      <c r="J327" s="534"/>
      <c r="K327" s="96"/>
      <c r="L327" s="104"/>
      <c r="M327" s="75"/>
      <c r="N327" s="75"/>
      <c r="O327" s="75"/>
      <c r="P327" s="75"/>
      <c r="Q327" s="97"/>
      <c r="R327" s="163"/>
      <c r="S327" s="109"/>
      <c r="T327" s="109"/>
      <c r="U327" s="100"/>
      <c r="V327" s="110"/>
      <c r="W327" s="110"/>
      <c r="X327" s="100"/>
      <c r="Y327" s="100"/>
      <c r="Z327" s="100"/>
      <c r="AA327" s="110"/>
      <c r="AB327" s="110"/>
      <c r="AC327" s="100"/>
      <c r="AD327" s="108"/>
      <c r="AE327" s="109"/>
      <c r="AF327" s="109"/>
      <c r="AG327" s="109"/>
      <c r="AH327" s="109"/>
      <c r="AI327" s="109"/>
      <c r="AJ327" s="108"/>
      <c r="AK327" s="100"/>
      <c r="AL327" s="142"/>
      <c r="AM327" s="142"/>
      <c r="AN327" s="100"/>
      <c r="AO327" s="100"/>
      <c r="AP327" s="142"/>
      <c r="AQ327" s="100"/>
      <c r="AR327" s="100"/>
      <c r="AS327" s="142"/>
      <c r="AT327" s="100"/>
      <c r="AU327" s="100"/>
      <c r="AV327" s="100"/>
    </row>
    <row r="328" spans="1:48" ht="16.3">
      <c r="A328" s="246" t="s">
        <v>366</v>
      </c>
      <c r="B328" s="261">
        <f>SUM(L328+M328+N328+O328+P328+U328+X328+Y328+Z328+AC328+AK328+AL328+AK328+AO328+AR328+AS328+AU328+AV328+AW328+AX328+AP328)+51</f>
        <v>51</v>
      </c>
      <c r="C328" s="215">
        <f t="shared" ref="C328:C332" si="58">B328</f>
        <v>51</v>
      </c>
      <c r="D328" s="139"/>
      <c r="E328" s="140"/>
      <c r="F328" s="135"/>
      <c r="G328" s="136"/>
      <c r="H328" s="683"/>
      <c r="I328" s="676"/>
      <c r="J328" s="534"/>
      <c r="K328" s="96"/>
      <c r="L328" s="104"/>
      <c r="M328" s="75"/>
      <c r="N328" s="75"/>
      <c r="O328" s="75"/>
      <c r="P328" s="75"/>
      <c r="Q328" s="97"/>
      <c r="R328" s="163"/>
      <c r="S328" s="109"/>
      <c r="T328" s="109"/>
      <c r="U328" s="100"/>
      <c r="V328" s="110"/>
      <c r="W328" s="110"/>
      <c r="X328" s="100"/>
      <c r="Y328" s="100"/>
      <c r="Z328" s="100"/>
      <c r="AA328" s="110"/>
      <c r="AB328" s="110"/>
      <c r="AC328" s="100"/>
      <c r="AD328" s="108"/>
      <c r="AE328" s="109"/>
      <c r="AF328" s="109"/>
      <c r="AG328" s="109"/>
      <c r="AH328" s="109"/>
      <c r="AI328" s="109"/>
      <c r="AJ328" s="108"/>
      <c r="AK328" s="100"/>
      <c r="AL328" s="142"/>
      <c r="AM328" s="142"/>
      <c r="AN328" s="100"/>
      <c r="AO328" s="100"/>
      <c r="AP328" s="142"/>
      <c r="AQ328" s="100"/>
      <c r="AR328" s="100"/>
      <c r="AS328" s="142"/>
      <c r="AT328" s="100"/>
      <c r="AU328" s="100"/>
      <c r="AV328" s="100"/>
    </row>
    <row r="329" spans="1:48" ht="16.3">
      <c r="A329" s="246" t="s">
        <v>362</v>
      </c>
      <c r="B329" s="261">
        <f>SUM(L329+M329+N329+O329+P329+U329+X329+Y329+Z329+AC329+AK329+AL329+AK329+AO329+AR329+AS329+AU329+AV329+AW329+AX329+AP329)+6</f>
        <v>6</v>
      </c>
      <c r="C329" s="215">
        <f t="shared" si="58"/>
        <v>6</v>
      </c>
      <c r="D329" s="139"/>
      <c r="E329" s="140"/>
      <c r="F329" s="135"/>
      <c r="G329" s="136"/>
      <c r="H329" s="683"/>
      <c r="I329" s="676"/>
      <c r="J329" s="534"/>
      <c r="K329" s="96"/>
      <c r="L329" s="104"/>
      <c r="M329" s="75"/>
      <c r="N329" s="75"/>
      <c r="O329" s="75"/>
      <c r="P329" s="75"/>
      <c r="Q329" s="97"/>
      <c r="R329" s="163"/>
      <c r="S329" s="109"/>
      <c r="T329" s="109"/>
      <c r="U329" s="100"/>
      <c r="V329" s="110"/>
      <c r="W329" s="110"/>
      <c r="X329" s="100"/>
      <c r="Y329" s="100"/>
      <c r="Z329" s="100"/>
      <c r="AA329" s="110"/>
      <c r="AB329" s="110"/>
      <c r="AC329" s="100"/>
      <c r="AD329" s="108"/>
      <c r="AE329" s="109"/>
      <c r="AF329" s="109"/>
      <c r="AG329" s="109"/>
      <c r="AH329" s="109"/>
      <c r="AI329" s="109"/>
      <c r="AJ329" s="108"/>
      <c r="AK329" s="100"/>
      <c r="AL329" s="142"/>
      <c r="AM329" s="142"/>
      <c r="AN329" s="100"/>
      <c r="AO329" s="100"/>
      <c r="AP329" s="142"/>
      <c r="AQ329" s="100"/>
      <c r="AR329" s="100"/>
      <c r="AS329" s="142"/>
      <c r="AT329" s="100"/>
      <c r="AU329" s="100"/>
      <c r="AV329" s="100"/>
    </row>
    <row r="330" spans="1:48" ht="16.3">
      <c r="A330" s="246" t="s">
        <v>364</v>
      </c>
      <c r="B330" s="261">
        <f>SUM(L330+M330+N330+O330+P330+U330+X330+Y330+Z330+AC330+AK330+AL330+AK330+AO330+AR330+AS330+AU330+AV330+AW330+AX330+AP330)+1</f>
        <v>1</v>
      </c>
      <c r="C330" s="215">
        <f t="shared" si="58"/>
        <v>1</v>
      </c>
      <c r="D330" s="139"/>
      <c r="E330" s="140"/>
      <c r="F330" s="135"/>
      <c r="G330" s="136"/>
      <c r="H330" s="683"/>
      <c r="I330" s="676"/>
      <c r="J330" s="534"/>
      <c r="K330" s="96"/>
      <c r="L330" s="104"/>
      <c r="M330" s="75"/>
      <c r="N330" s="75"/>
      <c r="O330" s="75"/>
      <c r="P330" s="75"/>
      <c r="Q330" s="97"/>
      <c r="R330" s="163"/>
      <c r="S330" s="109"/>
      <c r="T330" s="109"/>
      <c r="U330" s="100"/>
      <c r="V330" s="110"/>
      <c r="W330" s="110"/>
      <c r="X330" s="100"/>
      <c r="Y330" s="100"/>
      <c r="Z330" s="100"/>
      <c r="AA330" s="110"/>
      <c r="AB330" s="110"/>
      <c r="AC330" s="100"/>
      <c r="AD330" s="108"/>
      <c r="AE330" s="109"/>
      <c r="AF330" s="109"/>
      <c r="AG330" s="109"/>
      <c r="AH330" s="109"/>
      <c r="AI330" s="109"/>
      <c r="AJ330" s="108"/>
      <c r="AK330" s="100"/>
      <c r="AL330" s="142"/>
      <c r="AM330" s="142"/>
      <c r="AN330" s="100"/>
      <c r="AO330" s="100"/>
      <c r="AP330" s="142"/>
      <c r="AQ330" s="100"/>
      <c r="AR330" s="100"/>
      <c r="AS330" s="142"/>
      <c r="AT330" s="100"/>
      <c r="AU330" s="100"/>
      <c r="AV330" s="100"/>
    </row>
    <row r="331" spans="1:48" ht="16.3">
      <c r="A331" s="87" t="s">
        <v>3</v>
      </c>
      <c r="B331" s="260">
        <f>SUM(L331+M331+N331+O331+P331+U331+X331+Y331+Z331+AC331+AK331+AL331+AK331+AO331+AR331+AS331+AU331+AV331+AW331+AX331+AP331)+3</f>
        <v>3</v>
      </c>
      <c r="C331" s="214">
        <f t="shared" si="58"/>
        <v>3</v>
      </c>
      <c r="D331" s="133"/>
      <c r="E331" s="134"/>
      <c r="F331" s="135"/>
      <c r="G331" s="136"/>
      <c r="H331" s="683"/>
      <c r="I331" s="676"/>
      <c r="J331" s="534"/>
      <c r="K331" s="96"/>
      <c r="L331" s="104"/>
      <c r="M331" s="75"/>
      <c r="N331" s="75"/>
      <c r="O331" s="75"/>
      <c r="P331" s="75"/>
      <c r="Q331" s="97"/>
      <c r="R331" s="163"/>
      <c r="S331" s="109"/>
      <c r="T331" s="109"/>
      <c r="U331" s="100"/>
      <c r="V331" s="110"/>
      <c r="W331" s="110"/>
      <c r="X331" s="100"/>
      <c r="Y331" s="100"/>
      <c r="Z331" s="100"/>
      <c r="AA331" s="110"/>
      <c r="AB331" s="110"/>
      <c r="AC331" s="100"/>
      <c r="AD331" s="108"/>
      <c r="AE331" s="109"/>
      <c r="AF331" s="109"/>
      <c r="AG331" s="109"/>
      <c r="AH331" s="109"/>
      <c r="AI331" s="109"/>
      <c r="AJ331" s="108"/>
      <c r="AK331" s="100"/>
      <c r="AL331" s="142"/>
      <c r="AM331" s="142"/>
      <c r="AN331" s="100"/>
      <c r="AO331" s="100"/>
      <c r="AP331" s="142"/>
      <c r="AQ331" s="100"/>
      <c r="AR331" s="100"/>
      <c r="AS331" s="142"/>
      <c r="AT331" s="100"/>
      <c r="AU331" s="100"/>
      <c r="AV331" s="100"/>
    </row>
    <row r="332" spans="1:48" ht="17" thickBot="1">
      <c r="A332" s="88" t="s">
        <v>4</v>
      </c>
      <c r="B332" s="262">
        <f>SUM(L332+M332+N332+O332+P332+U332+X332+Y332+Z332+AC332+AK332+AL332+AK332+AO332+AR332+AS332+AU332+AV332+AW332+AX332+AP332)+15</f>
        <v>15</v>
      </c>
      <c r="C332" s="217">
        <f t="shared" si="58"/>
        <v>15</v>
      </c>
      <c r="D332" s="144"/>
      <c r="E332" s="145"/>
      <c r="F332" s="146"/>
      <c r="G332" s="147"/>
      <c r="H332" s="684"/>
      <c r="I332" s="677"/>
      <c r="J332" s="535"/>
      <c r="K332" s="114"/>
      <c r="L332" s="113"/>
      <c r="M332" s="112"/>
      <c r="N332" s="112"/>
      <c r="O332" s="112"/>
      <c r="P332" s="112"/>
      <c r="Q332" s="115"/>
      <c r="R332" s="164"/>
      <c r="S332" s="118"/>
      <c r="T332" s="114"/>
      <c r="U332" s="100"/>
      <c r="V332" s="110"/>
      <c r="W332" s="110"/>
      <c r="X332" s="100"/>
      <c r="Y332" s="100"/>
      <c r="Z332" s="100"/>
      <c r="AA332" s="110"/>
      <c r="AB332" s="110"/>
      <c r="AC332" s="100"/>
      <c r="AD332" s="108"/>
      <c r="AE332" s="109"/>
      <c r="AF332" s="109"/>
      <c r="AG332" s="109"/>
      <c r="AH332" s="109"/>
      <c r="AI332" s="109"/>
      <c r="AJ332" s="108"/>
      <c r="AK332" s="100"/>
      <c r="AL332" s="142"/>
      <c r="AM332" s="142"/>
      <c r="AN332" s="100"/>
      <c r="AO332" s="100"/>
      <c r="AP332" s="142"/>
      <c r="AQ332" s="100"/>
      <c r="AR332" s="100"/>
      <c r="AS332" s="142"/>
      <c r="AT332" s="100"/>
      <c r="AU332" s="100"/>
      <c r="AV332" s="100"/>
    </row>
    <row r="333" spans="1:48" ht="21.1">
      <c r="A333" s="82" t="s">
        <v>113</v>
      </c>
      <c r="B333" s="260"/>
      <c r="C333" s="214"/>
      <c r="D333" s="133"/>
      <c r="E333" s="134"/>
      <c r="F333" s="135"/>
      <c r="G333" s="136"/>
      <c r="H333" s="683"/>
      <c r="I333" s="676"/>
      <c r="J333" s="534"/>
      <c r="K333" s="96"/>
      <c r="L333" s="104" t="s">
        <v>372</v>
      </c>
      <c r="M333" s="75" t="s">
        <v>372</v>
      </c>
      <c r="N333" s="75" t="s">
        <v>339</v>
      </c>
      <c r="O333" s="75" t="s">
        <v>372</v>
      </c>
      <c r="P333" s="75" t="s">
        <v>372</v>
      </c>
      <c r="Q333" s="97"/>
      <c r="R333" s="163"/>
      <c r="S333" s="109"/>
      <c r="T333" s="109" t="s">
        <v>375</v>
      </c>
      <c r="U333" s="102">
        <v>4</v>
      </c>
      <c r="V333" s="101" t="s">
        <v>372</v>
      </c>
      <c r="W333" s="101" t="s">
        <v>372</v>
      </c>
      <c r="X333" s="102"/>
      <c r="Y333" s="102" t="s">
        <v>372</v>
      </c>
      <c r="Z333" s="102" t="s">
        <v>375</v>
      </c>
      <c r="AA333" s="101" t="s">
        <v>372</v>
      </c>
      <c r="AB333" s="101">
        <v>4</v>
      </c>
      <c r="AC333" s="102" t="s">
        <v>387</v>
      </c>
      <c r="AD333" s="98"/>
      <c r="AE333" s="99"/>
      <c r="AF333" s="99"/>
      <c r="AG333" s="99"/>
      <c r="AH333" s="99" t="s">
        <v>375</v>
      </c>
      <c r="AI333" s="99"/>
      <c r="AJ333" s="98"/>
      <c r="AK333" s="102"/>
      <c r="AL333" s="138"/>
      <c r="AM333" s="138"/>
      <c r="AN333" s="102"/>
      <c r="AO333" s="102"/>
      <c r="AP333" s="138"/>
      <c r="AQ333" s="102"/>
      <c r="AR333" s="102"/>
      <c r="AS333" s="138"/>
      <c r="AT333" s="102"/>
      <c r="AU333" s="102"/>
      <c r="AV333" s="102"/>
    </row>
    <row r="334" spans="1:48" ht="16.3">
      <c r="A334" s="246" t="s">
        <v>1</v>
      </c>
      <c r="B334" s="261">
        <f>SUM(L334+M334+N334+O334+P334+U334+X334+Y334+Z334+AC334+AK334+AL334+AK334+AO334+AR334+AS334+AU334+AV334+AW334+AX334+AP334)+33</f>
        <v>40</v>
      </c>
      <c r="C334" s="215">
        <f>B334</f>
        <v>40</v>
      </c>
      <c r="D334" s="139"/>
      <c r="E334" s="140"/>
      <c r="F334" s="135"/>
      <c r="G334" s="136"/>
      <c r="H334" s="683"/>
      <c r="I334" s="676"/>
      <c r="J334" s="534"/>
      <c r="K334" s="96"/>
      <c r="L334" s="104">
        <v>1</v>
      </c>
      <c r="M334" s="75">
        <v>1</v>
      </c>
      <c r="N334" s="75"/>
      <c r="O334" s="75">
        <v>1</v>
      </c>
      <c r="P334" s="75">
        <v>1</v>
      </c>
      <c r="Q334" s="97"/>
      <c r="R334" s="163"/>
      <c r="S334" s="109"/>
      <c r="T334" s="109"/>
      <c r="U334" s="100">
        <v>1</v>
      </c>
      <c r="V334" s="110">
        <v>1</v>
      </c>
      <c r="W334" s="110">
        <v>1</v>
      </c>
      <c r="X334" s="100"/>
      <c r="Y334" s="100">
        <v>1</v>
      </c>
      <c r="Z334" s="100"/>
      <c r="AA334" s="110">
        <v>1</v>
      </c>
      <c r="AB334" s="110">
        <v>1</v>
      </c>
      <c r="AC334" s="100">
        <v>1</v>
      </c>
      <c r="AD334" s="108"/>
      <c r="AE334" s="109"/>
      <c r="AF334" s="109"/>
      <c r="AG334" s="109"/>
      <c r="AH334" s="109"/>
      <c r="AI334" s="109"/>
      <c r="AJ334" s="108"/>
      <c r="AK334" s="100"/>
      <c r="AL334" s="142"/>
      <c r="AM334" s="142"/>
      <c r="AN334" s="100"/>
      <c r="AO334" s="100"/>
      <c r="AP334" s="142"/>
      <c r="AQ334" s="100"/>
      <c r="AR334" s="100"/>
      <c r="AS334" s="142"/>
      <c r="AT334" s="100"/>
      <c r="AU334" s="100"/>
      <c r="AV334" s="100"/>
    </row>
    <row r="335" spans="1:48" ht="16.3">
      <c r="A335" s="246" t="s">
        <v>2</v>
      </c>
      <c r="B335" s="261">
        <f>SUM(L335+M335+N335+O335+P335+U335+X335+Y335+Z335+AC335+AK335+AL335+AK335+AO335+AR335+AS335+AU335+AV335+AW335+AX335)+4</f>
        <v>5</v>
      </c>
      <c r="C335" s="215">
        <f t="shared" ref="C335:C338" si="59">B335</f>
        <v>5</v>
      </c>
      <c r="D335" s="139"/>
      <c r="E335" s="140"/>
      <c r="F335" s="135"/>
      <c r="G335" s="136"/>
      <c r="H335" s="683"/>
      <c r="I335" s="676"/>
      <c r="J335" s="534"/>
      <c r="K335" s="96"/>
      <c r="L335" s="104"/>
      <c r="M335" s="75"/>
      <c r="N335" s="75"/>
      <c r="O335" s="75"/>
      <c r="P335" s="75"/>
      <c r="Q335" s="97"/>
      <c r="R335" s="163"/>
      <c r="S335" s="109"/>
      <c r="T335" s="109">
        <v>1</v>
      </c>
      <c r="U335" s="100"/>
      <c r="V335" s="110"/>
      <c r="W335" s="110"/>
      <c r="X335" s="100"/>
      <c r="Y335" s="100"/>
      <c r="Z335" s="100">
        <v>1</v>
      </c>
      <c r="AA335" s="110"/>
      <c r="AB335" s="110"/>
      <c r="AC335" s="100"/>
      <c r="AD335" s="108"/>
      <c r="AE335" s="109"/>
      <c r="AF335" s="109"/>
      <c r="AG335" s="109"/>
      <c r="AH335" s="109">
        <v>1</v>
      </c>
      <c r="AI335" s="109"/>
      <c r="AJ335" s="108"/>
      <c r="AK335" s="100"/>
      <c r="AL335" s="142"/>
      <c r="AM335" s="142"/>
      <c r="AN335" s="100"/>
      <c r="AO335" s="100"/>
      <c r="AP335" s="142"/>
      <c r="AQ335" s="100"/>
      <c r="AR335" s="100"/>
      <c r="AS335" s="142"/>
      <c r="AT335" s="100"/>
      <c r="AU335" s="100"/>
      <c r="AV335" s="100"/>
    </row>
    <row r="336" spans="1:48" ht="16.3">
      <c r="A336" s="87" t="s">
        <v>363</v>
      </c>
      <c r="B336" s="260">
        <f>SUM(B334+B335)</f>
        <v>45</v>
      </c>
      <c r="C336" s="214">
        <f t="shared" si="59"/>
        <v>45</v>
      </c>
      <c r="D336" s="133"/>
      <c r="E336" s="134"/>
      <c r="F336" s="135"/>
      <c r="G336" s="136"/>
      <c r="H336" s="683"/>
      <c r="I336" s="676"/>
      <c r="J336" s="534"/>
      <c r="K336" s="96"/>
      <c r="L336" s="104"/>
      <c r="M336" s="75"/>
      <c r="N336" s="75"/>
      <c r="O336" s="75"/>
      <c r="P336" s="75"/>
      <c r="Q336" s="97"/>
      <c r="R336" s="163"/>
      <c r="S336" s="109"/>
      <c r="T336" s="109"/>
      <c r="U336" s="100"/>
      <c r="V336" s="110"/>
      <c r="W336" s="110"/>
      <c r="X336" s="100"/>
      <c r="Y336" s="100"/>
      <c r="Z336" s="100"/>
      <c r="AA336" s="110"/>
      <c r="AB336" s="110"/>
      <c r="AC336" s="100"/>
      <c r="AD336" s="108"/>
      <c r="AE336" s="109"/>
      <c r="AF336" s="109"/>
      <c r="AG336" s="109"/>
      <c r="AH336" s="109"/>
      <c r="AI336" s="109"/>
      <c r="AJ336" s="108"/>
      <c r="AK336" s="100"/>
      <c r="AL336" s="142"/>
      <c r="AM336" s="142"/>
      <c r="AN336" s="100"/>
      <c r="AO336" s="100"/>
      <c r="AP336" s="142"/>
      <c r="AQ336" s="100"/>
      <c r="AR336" s="100"/>
      <c r="AS336" s="142"/>
      <c r="AT336" s="100"/>
      <c r="AU336" s="100"/>
      <c r="AV336" s="100"/>
    </row>
    <row r="337" spans="1:48" ht="16.3">
      <c r="A337" s="87" t="s">
        <v>3</v>
      </c>
      <c r="B337" s="260">
        <f>SUM(L337+M337+N337+O337+P337+U337+X337+Y337+Z337+AC337+AK337+AL337+AK337+AO337+AR337+AS337+AU337+AV337+AW337+AX337)+2</f>
        <v>2</v>
      </c>
      <c r="C337" s="214">
        <f t="shared" si="59"/>
        <v>2</v>
      </c>
      <c r="D337" s="133"/>
      <c r="E337" s="134"/>
      <c r="F337" s="135"/>
      <c r="G337" s="136"/>
      <c r="H337" s="683"/>
      <c r="I337" s="676"/>
      <c r="J337" s="534"/>
      <c r="K337" s="96"/>
      <c r="L337" s="104"/>
      <c r="M337" s="75"/>
      <c r="N337" s="75"/>
      <c r="O337" s="75"/>
      <c r="P337" s="75"/>
      <c r="Q337" s="97"/>
      <c r="R337" s="163"/>
      <c r="S337" s="109"/>
      <c r="T337" s="109"/>
      <c r="U337" s="100"/>
      <c r="V337" s="110"/>
      <c r="W337" s="110"/>
      <c r="X337" s="100"/>
      <c r="Y337" s="100"/>
      <c r="Z337" s="100"/>
      <c r="AA337" s="110"/>
      <c r="AB337" s="110"/>
      <c r="AC337" s="100"/>
      <c r="AD337" s="108"/>
      <c r="AE337" s="109"/>
      <c r="AF337" s="109"/>
      <c r="AG337" s="109"/>
      <c r="AH337" s="109"/>
      <c r="AI337" s="109"/>
      <c r="AJ337" s="108"/>
      <c r="AK337" s="100"/>
      <c r="AL337" s="142"/>
      <c r="AM337" s="142"/>
      <c r="AN337" s="100"/>
      <c r="AO337" s="100"/>
      <c r="AP337" s="142"/>
      <c r="AQ337" s="100"/>
      <c r="AR337" s="100"/>
      <c r="AS337" s="142"/>
      <c r="AT337" s="100"/>
      <c r="AU337" s="100"/>
      <c r="AV337" s="100"/>
    </row>
    <row r="338" spans="1:48" ht="17" thickBot="1">
      <c r="A338" s="88" t="s">
        <v>4</v>
      </c>
      <c r="B338" s="262">
        <f>SUM(L338+M338+N338+O338+P338+U338+X338+Y338+Z338+AC338+AK338+AL338+AK338+AO338+AR338+AS338+AU338+AV338+AW338+AX338)+10</f>
        <v>10</v>
      </c>
      <c r="C338" s="217">
        <f t="shared" si="59"/>
        <v>10</v>
      </c>
      <c r="D338" s="144"/>
      <c r="E338" s="145"/>
      <c r="F338" s="146"/>
      <c r="G338" s="147"/>
      <c r="H338" s="684"/>
      <c r="I338" s="677"/>
      <c r="J338" s="535"/>
      <c r="K338" s="114"/>
      <c r="L338" s="113"/>
      <c r="M338" s="112"/>
      <c r="N338" s="112"/>
      <c r="O338" s="112"/>
      <c r="P338" s="112"/>
      <c r="Q338" s="115"/>
      <c r="R338" s="164"/>
      <c r="S338" s="118"/>
      <c r="T338" s="114"/>
      <c r="U338" s="116"/>
      <c r="V338" s="120"/>
      <c r="W338" s="120"/>
      <c r="X338" s="116"/>
      <c r="Y338" s="116"/>
      <c r="Z338" s="116"/>
      <c r="AA338" s="120"/>
      <c r="AB338" s="120"/>
      <c r="AC338" s="116"/>
      <c r="AD338" s="117"/>
      <c r="AE338" s="118"/>
      <c r="AF338" s="118"/>
      <c r="AG338" s="118"/>
      <c r="AH338" s="118"/>
      <c r="AI338" s="118"/>
      <c r="AJ338" s="117"/>
      <c r="AK338" s="116"/>
      <c r="AL338" s="149"/>
      <c r="AM338" s="149"/>
      <c r="AN338" s="116"/>
      <c r="AO338" s="116"/>
      <c r="AP338" s="149"/>
      <c r="AQ338" s="116"/>
      <c r="AR338" s="116"/>
      <c r="AS338" s="149"/>
      <c r="AT338" s="116"/>
      <c r="AU338" s="116"/>
      <c r="AV338" s="116"/>
    </row>
    <row r="339" spans="1:48" ht="21.1">
      <c r="A339" s="82" t="s">
        <v>296</v>
      </c>
      <c r="B339" s="260"/>
      <c r="C339" s="214"/>
      <c r="D339" s="133"/>
      <c r="E339" s="134"/>
      <c r="F339" s="135"/>
      <c r="G339" s="136"/>
      <c r="H339" s="683"/>
      <c r="I339" s="676"/>
      <c r="J339" s="534"/>
      <c r="K339" s="96"/>
      <c r="L339" s="104" t="s">
        <v>375</v>
      </c>
      <c r="M339" s="75" t="s">
        <v>375</v>
      </c>
      <c r="N339" s="75">
        <v>5</v>
      </c>
      <c r="O339" s="75">
        <v>5</v>
      </c>
      <c r="P339" s="75">
        <v>5</v>
      </c>
      <c r="Q339" s="97"/>
      <c r="R339" s="163"/>
      <c r="S339" s="109"/>
      <c r="T339" s="109" t="s">
        <v>375</v>
      </c>
      <c r="U339" s="100" t="s">
        <v>375</v>
      </c>
      <c r="V339" s="110" t="s">
        <v>375</v>
      </c>
      <c r="W339" s="110">
        <v>5</v>
      </c>
      <c r="X339" s="100">
        <v>5</v>
      </c>
      <c r="Y339" s="100">
        <v>5</v>
      </c>
      <c r="Z339" s="100">
        <v>5</v>
      </c>
      <c r="AA339" s="110">
        <v>5</v>
      </c>
      <c r="AB339" s="110" t="s">
        <v>387</v>
      </c>
      <c r="AC339" s="100"/>
      <c r="AD339" s="108"/>
      <c r="AE339" s="109"/>
      <c r="AF339" s="109"/>
      <c r="AG339" s="109"/>
      <c r="AH339" s="109"/>
      <c r="AI339" s="109"/>
      <c r="AJ339" s="108"/>
      <c r="AK339" s="100"/>
      <c r="AL339" s="142"/>
      <c r="AM339" s="142"/>
      <c r="AN339" s="100"/>
      <c r="AO339" s="100"/>
      <c r="AP339" s="142"/>
      <c r="AQ339" s="100"/>
      <c r="AR339" s="100"/>
      <c r="AS339" s="142"/>
      <c r="AT339" s="100"/>
      <c r="AU339" s="100"/>
      <c r="AV339" s="100"/>
    </row>
    <row r="340" spans="1:48" ht="16.3">
      <c r="A340" s="246" t="s">
        <v>1</v>
      </c>
      <c r="B340" s="261">
        <f>SUM(L340+M340+N340+O340+P340+U340+X340+Y340+Z340+AC340+AK340+AL340+AK340+AO340+AR340+AS340+AU340+AV340+AW340+AX340+AP340)+6</f>
        <v>12</v>
      </c>
      <c r="C340" s="215">
        <f>B340</f>
        <v>12</v>
      </c>
      <c r="D340" s="139"/>
      <c r="E340" s="140"/>
      <c r="F340" s="169"/>
      <c r="G340" s="170"/>
      <c r="H340" s="685"/>
      <c r="I340" s="678"/>
      <c r="J340" s="534"/>
      <c r="K340" s="96"/>
      <c r="L340" s="104"/>
      <c r="M340" s="75"/>
      <c r="N340" s="75">
        <v>1</v>
      </c>
      <c r="O340" s="75">
        <v>1</v>
      </c>
      <c r="P340" s="75">
        <v>1</v>
      </c>
      <c r="Q340" s="97"/>
      <c r="R340" s="163"/>
      <c r="S340" s="109"/>
      <c r="T340" s="109"/>
      <c r="U340" s="100"/>
      <c r="V340" s="110"/>
      <c r="W340" s="110">
        <v>1</v>
      </c>
      <c r="X340" s="100">
        <v>1</v>
      </c>
      <c r="Y340" s="100">
        <v>1</v>
      </c>
      <c r="Z340" s="100">
        <v>1</v>
      </c>
      <c r="AA340" s="110">
        <v>1</v>
      </c>
      <c r="AB340" s="110">
        <v>1</v>
      </c>
      <c r="AC340" s="100"/>
      <c r="AD340" s="108"/>
      <c r="AE340" s="109"/>
      <c r="AF340" s="109"/>
      <c r="AG340" s="109"/>
      <c r="AH340" s="109"/>
      <c r="AI340" s="109"/>
      <c r="AJ340" s="108"/>
      <c r="AK340" s="100"/>
      <c r="AL340" s="142"/>
      <c r="AM340" s="142"/>
      <c r="AN340" s="100"/>
      <c r="AO340" s="100"/>
      <c r="AP340" s="142"/>
      <c r="AQ340" s="100"/>
      <c r="AR340" s="100"/>
      <c r="AS340" s="142"/>
      <c r="AT340" s="100"/>
      <c r="AU340" s="100"/>
      <c r="AV340" s="100"/>
    </row>
    <row r="341" spans="1:48" ht="16.3">
      <c r="A341" s="246" t="s">
        <v>2</v>
      </c>
      <c r="B341" s="261">
        <f>SUM(L341+M341+N341+O341+P341+U341+X341+Y341+Z341+AC341+AK341+AL341+AK341+AO341+AR341+AS341+AU341+AV341+AW341+AX341)+8</f>
        <v>11</v>
      </c>
      <c r="C341" s="215">
        <f t="shared" ref="C341:C344" si="60">B341</f>
        <v>11</v>
      </c>
      <c r="D341" s="139"/>
      <c r="E341" s="140"/>
      <c r="F341" s="169"/>
      <c r="G341" s="170"/>
      <c r="H341" s="685"/>
      <c r="I341" s="678"/>
      <c r="J341" s="534"/>
      <c r="K341" s="96"/>
      <c r="L341" s="104">
        <v>1</v>
      </c>
      <c r="M341" s="75">
        <v>1</v>
      </c>
      <c r="N341" s="75"/>
      <c r="O341" s="75"/>
      <c r="P341" s="75"/>
      <c r="Q341" s="97"/>
      <c r="R341" s="163"/>
      <c r="S341" s="109"/>
      <c r="T341" s="109">
        <v>1</v>
      </c>
      <c r="U341" s="100">
        <v>1</v>
      </c>
      <c r="V341" s="110">
        <v>1</v>
      </c>
      <c r="W341" s="110"/>
      <c r="X341" s="100"/>
      <c r="Y341" s="100"/>
      <c r="Z341" s="100"/>
      <c r="AA341" s="110"/>
      <c r="AB341" s="110"/>
      <c r="AC341" s="100"/>
      <c r="AD341" s="108"/>
      <c r="AE341" s="109"/>
      <c r="AF341" s="109"/>
      <c r="AG341" s="109"/>
      <c r="AH341" s="109"/>
      <c r="AI341" s="109"/>
      <c r="AJ341" s="108"/>
      <c r="AK341" s="100"/>
      <c r="AL341" s="142"/>
      <c r="AM341" s="142"/>
      <c r="AN341" s="100"/>
      <c r="AO341" s="100"/>
      <c r="AP341" s="142"/>
      <c r="AQ341" s="100"/>
      <c r="AR341" s="100"/>
      <c r="AS341" s="142"/>
      <c r="AT341" s="100"/>
      <c r="AU341" s="100"/>
      <c r="AV341" s="100"/>
    </row>
    <row r="342" spans="1:48" ht="16.3">
      <c r="A342" s="87" t="s">
        <v>363</v>
      </c>
      <c r="B342" s="260">
        <f>SUM(B340+B341)</f>
        <v>23</v>
      </c>
      <c r="C342" s="214">
        <f t="shared" si="60"/>
        <v>23</v>
      </c>
      <c r="D342" s="133"/>
      <c r="E342" s="134"/>
      <c r="F342" s="135"/>
      <c r="G342" s="136"/>
      <c r="H342" s="683"/>
      <c r="I342" s="676"/>
      <c r="J342" s="534"/>
      <c r="K342" s="96"/>
      <c r="L342" s="104"/>
      <c r="M342" s="75"/>
      <c r="N342" s="75"/>
      <c r="O342" s="75"/>
      <c r="P342" s="75"/>
      <c r="Q342" s="97"/>
      <c r="R342" s="163"/>
      <c r="S342" s="109"/>
      <c r="T342" s="109"/>
      <c r="U342" s="100"/>
      <c r="V342" s="110"/>
      <c r="W342" s="110"/>
      <c r="X342" s="100"/>
      <c r="Y342" s="100"/>
      <c r="Z342" s="100"/>
      <c r="AA342" s="110"/>
      <c r="AB342" s="110"/>
      <c r="AC342" s="100"/>
      <c r="AD342" s="108"/>
      <c r="AE342" s="109"/>
      <c r="AF342" s="109"/>
      <c r="AG342" s="109"/>
      <c r="AH342" s="109"/>
      <c r="AI342" s="109"/>
      <c r="AJ342" s="108"/>
      <c r="AK342" s="100"/>
      <c r="AL342" s="142"/>
      <c r="AM342" s="142"/>
      <c r="AN342" s="100"/>
      <c r="AO342" s="100"/>
      <c r="AP342" s="142"/>
      <c r="AQ342" s="100"/>
      <c r="AR342" s="100"/>
      <c r="AS342" s="142"/>
      <c r="AT342" s="100"/>
      <c r="AU342" s="100"/>
      <c r="AV342" s="100"/>
    </row>
    <row r="343" spans="1:48" ht="16.3">
      <c r="A343" s="87" t="s">
        <v>3</v>
      </c>
      <c r="B343" s="260">
        <f>SUM(L343+M343+N343+O343+P343+U343+X343+Y343+Z343+AC343+AK343+AL343+AK343+AO343+AR343+AS343+AU343+AV343+AW343+AX343)+2</f>
        <v>2</v>
      </c>
      <c r="C343" s="214">
        <f t="shared" si="60"/>
        <v>2</v>
      </c>
      <c r="D343" s="133"/>
      <c r="E343" s="134"/>
      <c r="F343" s="135"/>
      <c r="G343" s="136"/>
      <c r="H343" s="683"/>
      <c r="I343" s="676"/>
      <c r="J343" s="534"/>
      <c r="K343" s="96"/>
      <c r="L343" s="104"/>
      <c r="M343" s="75"/>
      <c r="N343" s="75"/>
      <c r="O343" s="75"/>
      <c r="P343" s="75"/>
      <c r="Q343" s="97"/>
      <c r="R343" s="163"/>
      <c r="S343" s="109"/>
      <c r="T343" s="109"/>
      <c r="U343" s="100"/>
      <c r="V343" s="110"/>
      <c r="W343" s="110"/>
      <c r="X343" s="100"/>
      <c r="Y343" s="100"/>
      <c r="Z343" s="100"/>
      <c r="AA343" s="110"/>
      <c r="AB343" s="110"/>
      <c r="AC343" s="100"/>
      <c r="AD343" s="108"/>
      <c r="AE343" s="109"/>
      <c r="AF343" s="109"/>
      <c r="AG343" s="109"/>
      <c r="AH343" s="109"/>
      <c r="AI343" s="109"/>
      <c r="AJ343" s="108"/>
      <c r="AK343" s="100"/>
      <c r="AL343" s="142"/>
      <c r="AM343" s="142"/>
      <c r="AN343" s="100"/>
      <c r="AO343" s="100"/>
      <c r="AP343" s="142"/>
      <c r="AQ343" s="100"/>
      <c r="AR343" s="100"/>
      <c r="AS343" s="142"/>
      <c r="AT343" s="100"/>
      <c r="AU343" s="100"/>
      <c r="AV343" s="100"/>
    </row>
    <row r="344" spans="1:48" ht="17" thickBot="1">
      <c r="A344" s="88" t="s">
        <v>4</v>
      </c>
      <c r="B344" s="262">
        <f>SUM(L344+M344+N344+O344+P344+U344+X344+Y344+Z344+AC344+AK344+AL344+AK344+AO344+AR344+AS344+AU344+AV344+AW344+AX344)+10</f>
        <v>10</v>
      </c>
      <c r="C344" s="217">
        <f t="shared" si="60"/>
        <v>10</v>
      </c>
      <c r="D344" s="144"/>
      <c r="E344" s="145"/>
      <c r="F344" s="146"/>
      <c r="G344" s="147"/>
      <c r="H344" s="684"/>
      <c r="I344" s="677"/>
      <c r="J344" s="535"/>
      <c r="K344" s="114"/>
      <c r="L344" s="113"/>
      <c r="M344" s="112"/>
      <c r="N344" s="112"/>
      <c r="O344" s="112"/>
      <c r="P344" s="112"/>
      <c r="Q344" s="115"/>
      <c r="R344" s="164"/>
      <c r="S344" s="118"/>
      <c r="T344" s="118"/>
      <c r="U344" s="116"/>
      <c r="V344" s="120"/>
      <c r="W344" s="120"/>
      <c r="X344" s="116"/>
      <c r="Y344" s="116"/>
      <c r="Z344" s="116"/>
      <c r="AA344" s="120"/>
      <c r="AB344" s="120"/>
      <c r="AC344" s="116"/>
      <c r="AD344" s="117"/>
      <c r="AE344" s="118"/>
      <c r="AF344" s="118"/>
      <c r="AG344" s="118"/>
      <c r="AH344" s="118"/>
      <c r="AI344" s="118"/>
      <c r="AJ344" s="117"/>
      <c r="AK344" s="116"/>
      <c r="AL344" s="149"/>
      <c r="AM344" s="149"/>
      <c r="AN344" s="116"/>
      <c r="AO344" s="116"/>
      <c r="AP344" s="149"/>
      <c r="AQ344" s="116"/>
      <c r="AR344" s="116"/>
      <c r="AS344" s="149"/>
      <c r="AT344" s="116"/>
      <c r="AU344" s="116"/>
      <c r="AV344" s="116"/>
    </row>
    <row r="345" spans="1:48" ht="21.1">
      <c r="A345" s="82" t="s">
        <v>923</v>
      </c>
      <c r="B345" s="260"/>
      <c r="C345" s="214"/>
      <c r="D345" s="133"/>
      <c r="E345" s="134"/>
      <c r="F345" s="135"/>
      <c r="G345" s="136"/>
      <c r="H345" s="683"/>
      <c r="I345" s="676"/>
      <c r="J345" s="534"/>
      <c r="K345" s="96"/>
      <c r="L345" s="104"/>
      <c r="M345" s="75"/>
      <c r="N345" s="75"/>
      <c r="O345" s="75"/>
      <c r="P345" s="75"/>
      <c r="Q345" s="97"/>
      <c r="R345" s="163"/>
      <c r="S345" s="109"/>
      <c r="T345" s="109"/>
      <c r="U345" s="100"/>
      <c r="V345" s="110"/>
      <c r="W345" s="110"/>
      <c r="X345" s="100"/>
      <c r="Y345" s="100"/>
      <c r="Z345" s="100" t="s">
        <v>740</v>
      </c>
      <c r="AA345" s="110"/>
      <c r="AB345" s="110"/>
      <c r="AC345" s="100"/>
      <c r="AD345" s="108"/>
      <c r="AE345" s="109" t="s">
        <v>1037</v>
      </c>
      <c r="AF345" s="109" t="s">
        <v>1037</v>
      </c>
      <c r="AG345" s="109" t="s">
        <v>1037</v>
      </c>
      <c r="AH345" s="109" t="s">
        <v>703</v>
      </c>
      <c r="AI345" s="109" t="s">
        <v>703</v>
      </c>
      <c r="AJ345" s="108" t="s">
        <v>703</v>
      </c>
      <c r="AK345" s="100"/>
      <c r="AL345" s="142"/>
      <c r="AM345" s="142"/>
      <c r="AN345" s="100"/>
      <c r="AO345" s="100"/>
      <c r="AP345" s="142"/>
      <c r="AQ345" s="100"/>
      <c r="AR345" s="100"/>
      <c r="AS345" s="142"/>
      <c r="AT345" s="100"/>
      <c r="AU345" s="100"/>
      <c r="AV345" s="100"/>
    </row>
    <row r="346" spans="1:48" ht="16.3">
      <c r="A346" s="246" t="s">
        <v>1</v>
      </c>
      <c r="B346" s="261">
        <f>SUM(L346+M346+N346+O346+P346+U346+X346+Y346+Z346+AC346+AK346+AL346+AK346+AO346+AR346+AS346+AU346+AV346+AW346+AX346+AP346)</f>
        <v>1</v>
      </c>
      <c r="C346" s="215">
        <f t="shared" ref="C346:C347" si="61">B346</f>
        <v>1</v>
      </c>
      <c r="D346" s="133"/>
      <c r="E346" s="134"/>
      <c r="F346" s="135"/>
      <c r="G346" s="136"/>
      <c r="H346" s="683"/>
      <c r="I346" s="676"/>
      <c r="J346" s="534"/>
      <c r="K346" s="96"/>
      <c r="L346" s="104"/>
      <c r="M346" s="75"/>
      <c r="N346" s="75"/>
      <c r="O346" s="75"/>
      <c r="P346" s="75"/>
      <c r="Q346" s="97"/>
      <c r="R346" s="163"/>
      <c r="S346" s="109"/>
      <c r="T346" s="109"/>
      <c r="U346" s="100"/>
      <c r="V346" s="110"/>
      <c r="W346" s="110"/>
      <c r="X346" s="100"/>
      <c r="Y346" s="100"/>
      <c r="Z346" s="100">
        <v>1</v>
      </c>
      <c r="AA346" s="110"/>
      <c r="AB346" s="110"/>
      <c r="AC346" s="100"/>
      <c r="AD346" s="108"/>
      <c r="AE346" s="109"/>
      <c r="AF346" s="109"/>
      <c r="AG346" s="109"/>
      <c r="AH346" s="109"/>
      <c r="AI346" s="109"/>
      <c r="AJ346" s="108"/>
      <c r="AK346" s="100"/>
      <c r="AL346" s="142"/>
      <c r="AM346" s="142"/>
      <c r="AN346" s="100"/>
      <c r="AO346" s="100"/>
      <c r="AP346" s="142"/>
      <c r="AQ346" s="100"/>
      <c r="AR346" s="100"/>
      <c r="AS346" s="142"/>
      <c r="AT346" s="100"/>
      <c r="AU346" s="100"/>
      <c r="AV346" s="100"/>
    </row>
    <row r="347" spans="1:48" ht="16.3">
      <c r="A347" s="246" t="s">
        <v>2</v>
      </c>
      <c r="B347" s="261">
        <f>SUM(L347+M347+N347+O347+P347+U347+X347+Y347+Z347+AC347+AK347+AL347+AK347+AO347+AR347+AS347+AU347+AV347+AW347+AX347+AP347)</f>
        <v>0</v>
      </c>
      <c r="C347" s="215">
        <f t="shared" si="61"/>
        <v>0</v>
      </c>
      <c r="D347" s="133"/>
      <c r="E347" s="134"/>
      <c r="F347" s="135"/>
      <c r="G347" s="136"/>
      <c r="H347" s="683"/>
      <c r="I347" s="676"/>
      <c r="J347" s="534"/>
      <c r="K347" s="96"/>
      <c r="L347" s="104"/>
      <c r="M347" s="75"/>
      <c r="N347" s="75"/>
      <c r="O347" s="75"/>
      <c r="P347" s="75"/>
      <c r="Q347" s="97"/>
      <c r="R347" s="163"/>
      <c r="S347" s="109"/>
      <c r="T347" s="109"/>
      <c r="U347" s="100"/>
      <c r="V347" s="110"/>
      <c r="W347" s="110"/>
      <c r="X347" s="100"/>
      <c r="Y347" s="100"/>
      <c r="Z347" s="100"/>
      <c r="AA347" s="110"/>
      <c r="AB347" s="110"/>
      <c r="AC347" s="100"/>
      <c r="AD347" s="108"/>
      <c r="AE347" s="109"/>
      <c r="AF347" s="109"/>
      <c r="AG347" s="109"/>
      <c r="AH347" s="109"/>
      <c r="AI347" s="109"/>
      <c r="AJ347" s="108"/>
      <c r="AK347" s="100"/>
      <c r="AL347" s="142"/>
      <c r="AM347" s="142"/>
      <c r="AN347" s="100"/>
      <c r="AO347" s="100"/>
      <c r="AP347" s="142"/>
      <c r="AQ347" s="100"/>
      <c r="AR347" s="100"/>
      <c r="AS347" s="142"/>
      <c r="AT347" s="100"/>
      <c r="AU347" s="100"/>
      <c r="AV347" s="100"/>
    </row>
    <row r="348" spans="1:48" ht="16.3">
      <c r="A348" s="87" t="s">
        <v>363</v>
      </c>
      <c r="B348" s="260">
        <f>SUM(B346+B347)</f>
        <v>1</v>
      </c>
      <c r="C348" s="214">
        <f>SUM(C346+C347)</f>
        <v>1</v>
      </c>
      <c r="D348" s="133"/>
      <c r="E348" s="134"/>
      <c r="F348" s="135"/>
      <c r="G348" s="136"/>
      <c r="H348" s="683"/>
      <c r="I348" s="676"/>
      <c r="J348" s="534"/>
      <c r="K348" s="96"/>
      <c r="L348" s="104"/>
      <c r="M348" s="75"/>
      <c r="N348" s="75"/>
      <c r="O348" s="75"/>
      <c r="P348" s="75"/>
      <c r="Q348" s="97"/>
      <c r="R348" s="163"/>
      <c r="S348" s="109"/>
      <c r="T348" s="109"/>
      <c r="U348" s="100"/>
      <c r="V348" s="110"/>
      <c r="W348" s="110"/>
      <c r="X348" s="100"/>
      <c r="Y348" s="100"/>
      <c r="Z348" s="100"/>
      <c r="AA348" s="110"/>
      <c r="AB348" s="110"/>
      <c r="AC348" s="100"/>
      <c r="AD348" s="108"/>
      <c r="AE348" s="109"/>
      <c r="AF348" s="109"/>
      <c r="AG348" s="109"/>
      <c r="AH348" s="109"/>
      <c r="AI348" s="109"/>
      <c r="AJ348" s="108"/>
      <c r="AK348" s="100"/>
      <c r="AL348" s="142"/>
      <c r="AM348" s="142"/>
      <c r="AN348" s="100"/>
      <c r="AO348" s="100"/>
      <c r="AP348" s="142"/>
      <c r="AQ348" s="100"/>
      <c r="AR348" s="100"/>
      <c r="AS348" s="142"/>
      <c r="AT348" s="100"/>
      <c r="AU348" s="100"/>
      <c r="AV348" s="100"/>
    </row>
    <row r="349" spans="1:48" ht="16.3">
      <c r="A349" s="87" t="s">
        <v>3</v>
      </c>
      <c r="B349" s="260">
        <f>SUM(L349+M349+N349+O349+P349+U349+X349+Y349+Z349+AC349+AK349+AL349+AK349+AO349+AR349+AS349+AU349+AV349+AW349+AX349+AP349)</f>
        <v>0</v>
      </c>
      <c r="C349" s="214">
        <f t="shared" ref="C349:C350" si="62">B349</f>
        <v>0</v>
      </c>
      <c r="D349" s="133"/>
      <c r="E349" s="134"/>
      <c r="F349" s="135"/>
      <c r="G349" s="136"/>
      <c r="H349" s="683"/>
      <c r="I349" s="676"/>
      <c r="J349" s="534"/>
      <c r="K349" s="96"/>
      <c r="L349" s="104"/>
      <c r="M349" s="75"/>
      <c r="N349" s="75"/>
      <c r="O349" s="75"/>
      <c r="P349" s="75"/>
      <c r="Q349" s="97"/>
      <c r="R349" s="163"/>
      <c r="S349" s="109"/>
      <c r="T349" s="109"/>
      <c r="U349" s="100"/>
      <c r="V349" s="110"/>
      <c r="W349" s="110"/>
      <c r="X349" s="100"/>
      <c r="Y349" s="100"/>
      <c r="Z349" s="100"/>
      <c r="AA349" s="110"/>
      <c r="AB349" s="110"/>
      <c r="AC349" s="100"/>
      <c r="AD349" s="108"/>
      <c r="AE349" s="109"/>
      <c r="AF349" s="109"/>
      <c r="AG349" s="109"/>
      <c r="AH349" s="109"/>
      <c r="AI349" s="109"/>
      <c r="AJ349" s="108"/>
      <c r="AK349" s="100"/>
      <c r="AL349" s="142"/>
      <c r="AM349" s="142"/>
      <c r="AN349" s="100"/>
      <c r="AO349" s="100"/>
      <c r="AP349" s="142"/>
      <c r="AQ349" s="100"/>
      <c r="AR349" s="100"/>
      <c r="AS349" s="142"/>
      <c r="AT349" s="100"/>
      <c r="AU349" s="100"/>
      <c r="AV349" s="100"/>
    </row>
    <row r="350" spans="1:48" ht="17" thickBot="1">
      <c r="A350" s="88" t="s">
        <v>4</v>
      </c>
      <c r="B350" s="262">
        <f>SUM(L350+M350+N350+O350+P350+U350+X350+Y350+Z350+AC350+AK350+AL350+AK350+AO350+AR350+AS350+AU350+AV350+AW350+AX350+AP350)</f>
        <v>0</v>
      </c>
      <c r="C350" s="217">
        <f t="shared" si="62"/>
        <v>0</v>
      </c>
      <c r="D350" s="144"/>
      <c r="E350" s="145"/>
      <c r="F350" s="146"/>
      <c r="G350" s="147"/>
      <c r="H350" s="684"/>
      <c r="I350" s="677"/>
      <c r="J350" s="535"/>
      <c r="K350" s="114"/>
      <c r="L350" s="113"/>
      <c r="M350" s="112"/>
      <c r="N350" s="112"/>
      <c r="O350" s="112"/>
      <c r="P350" s="112"/>
      <c r="Q350" s="115"/>
      <c r="R350" s="164"/>
      <c r="S350" s="118"/>
      <c r="T350" s="118"/>
      <c r="U350" s="116"/>
      <c r="V350" s="120"/>
      <c r="W350" s="120"/>
      <c r="X350" s="116"/>
      <c r="Y350" s="116"/>
      <c r="Z350" s="116"/>
      <c r="AA350" s="120"/>
      <c r="AB350" s="120"/>
      <c r="AC350" s="116"/>
      <c r="AD350" s="117"/>
      <c r="AE350" s="118"/>
      <c r="AF350" s="118"/>
      <c r="AG350" s="118"/>
      <c r="AH350" s="118"/>
      <c r="AI350" s="118"/>
      <c r="AJ350" s="117"/>
      <c r="AK350" s="116"/>
      <c r="AL350" s="149"/>
      <c r="AM350" s="149"/>
      <c r="AN350" s="116"/>
      <c r="AO350" s="116"/>
      <c r="AP350" s="149"/>
      <c r="AQ350" s="116"/>
      <c r="AR350" s="116"/>
      <c r="AS350" s="149"/>
      <c r="AT350" s="116"/>
      <c r="AU350" s="116"/>
      <c r="AV350" s="116"/>
    </row>
    <row r="351" spans="1:48" ht="21.1">
      <c r="A351" s="82" t="s">
        <v>411</v>
      </c>
      <c r="B351" s="260"/>
      <c r="C351" s="214"/>
      <c r="D351" s="133"/>
      <c r="E351" s="134"/>
      <c r="F351" s="135"/>
      <c r="G351" s="136"/>
      <c r="H351" s="683"/>
      <c r="I351" s="676"/>
      <c r="J351" s="534"/>
      <c r="K351" s="96" t="s">
        <v>434</v>
      </c>
      <c r="L351" s="104"/>
      <c r="M351" s="75"/>
      <c r="N351" s="75"/>
      <c r="O351" s="75"/>
      <c r="P351" s="75"/>
      <c r="Q351" s="97" t="s">
        <v>372</v>
      </c>
      <c r="R351" s="163"/>
      <c r="S351" s="109">
        <v>4</v>
      </c>
      <c r="T351" s="109"/>
      <c r="U351" s="100"/>
      <c r="V351" s="110"/>
      <c r="W351" s="110"/>
      <c r="X351" s="100"/>
      <c r="Y351" s="100"/>
      <c r="Z351" s="100"/>
      <c r="AA351" s="110"/>
      <c r="AB351" s="110"/>
      <c r="AC351" s="100"/>
      <c r="AD351" s="108"/>
      <c r="AE351" s="109">
        <v>4</v>
      </c>
      <c r="AF351" s="109" t="s">
        <v>372</v>
      </c>
      <c r="AG351" s="109"/>
      <c r="AH351" s="109" t="s">
        <v>372</v>
      </c>
      <c r="AI351" s="109"/>
      <c r="AJ351" s="108"/>
      <c r="AK351" s="100"/>
      <c r="AL351" s="142"/>
      <c r="AM351" s="142"/>
      <c r="AN351" s="100"/>
      <c r="AO351" s="100"/>
      <c r="AP351" s="142"/>
      <c r="AQ351" s="100"/>
      <c r="AR351" s="100"/>
      <c r="AS351" s="142"/>
      <c r="AT351" s="100"/>
      <c r="AU351" s="100"/>
      <c r="AV351" s="100"/>
    </row>
    <row r="352" spans="1:48" ht="16.3">
      <c r="A352" s="246" t="s">
        <v>1</v>
      </c>
      <c r="B352" s="261">
        <f>SUM(L352+M352+N352+O352+P352+U352+X352+Y352+Z352+AC352+AK352+AL352+AK352+AO352+AR352+AS352+AU352+AV352+AW352+AX352+AP352)+1</f>
        <v>1</v>
      </c>
      <c r="C352" s="215">
        <f t="shared" ref="C352:C353" si="63">B352</f>
        <v>1</v>
      </c>
      <c r="D352" s="133"/>
      <c r="E352" s="134"/>
      <c r="F352" s="135"/>
      <c r="G352" s="136"/>
      <c r="H352" s="683"/>
      <c r="I352" s="676"/>
      <c r="J352" s="534"/>
      <c r="K352" s="96"/>
      <c r="L352" s="104"/>
      <c r="M352" s="75"/>
      <c r="N352" s="75"/>
      <c r="O352" s="75"/>
      <c r="P352" s="75"/>
      <c r="Q352" s="97">
        <v>1</v>
      </c>
      <c r="R352" s="163"/>
      <c r="S352" s="109">
        <v>1</v>
      </c>
      <c r="T352" s="109"/>
      <c r="U352" s="100"/>
      <c r="V352" s="110"/>
      <c r="W352" s="110"/>
      <c r="X352" s="100"/>
      <c r="Y352" s="100"/>
      <c r="Z352" s="100"/>
      <c r="AA352" s="110"/>
      <c r="AB352" s="110"/>
      <c r="AC352" s="100"/>
      <c r="AD352" s="108"/>
      <c r="AE352" s="109">
        <v>1</v>
      </c>
      <c r="AF352" s="109">
        <v>1</v>
      </c>
      <c r="AG352" s="109"/>
      <c r="AH352" s="109">
        <v>1</v>
      </c>
      <c r="AI352" s="109"/>
      <c r="AJ352" s="108"/>
      <c r="AK352" s="100"/>
      <c r="AL352" s="142"/>
      <c r="AM352" s="142"/>
      <c r="AN352" s="100"/>
      <c r="AO352" s="100"/>
      <c r="AP352" s="142"/>
      <c r="AQ352" s="100"/>
      <c r="AR352" s="100"/>
      <c r="AS352" s="142"/>
      <c r="AT352" s="100"/>
      <c r="AU352" s="100"/>
      <c r="AV352" s="100"/>
    </row>
    <row r="353" spans="1:48" ht="16.3">
      <c r="A353" s="246" t="s">
        <v>2</v>
      </c>
      <c r="B353" s="261">
        <f>SUM(L353+M353+N353+O353+P353+U353+X353+Y353+Z353+AC353+AK353+AL353+AK353+AO353+AR353+AS353+AU353+AV353+AW353+AX353+AP353)+1</f>
        <v>1</v>
      </c>
      <c r="C353" s="215">
        <f t="shared" si="63"/>
        <v>1</v>
      </c>
      <c r="D353" s="133"/>
      <c r="E353" s="134"/>
      <c r="F353" s="135"/>
      <c r="G353" s="136"/>
      <c r="H353" s="683"/>
      <c r="I353" s="676"/>
      <c r="J353" s="534"/>
      <c r="K353" s="96">
        <v>1</v>
      </c>
      <c r="L353" s="104"/>
      <c r="M353" s="75"/>
      <c r="N353" s="75"/>
      <c r="O353" s="75"/>
      <c r="P353" s="75"/>
      <c r="Q353" s="97"/>
      <c r="R353" s="163"/>
      <c r="S353" s="109"/>
      <c r="T353" s="109"/>
      <c r="U353" s="100"/>
      <c r="V353" s="110"/>
      <c r="W353" s="110"/>
      <c r="X353" s="100"/>
      <c r="Y353" s="100"/>
      <c r="Z353" s="100"/>
      <c r="AA353" s="110"/>
      <c r="AB353" s="110"/>
      <c r="AC353" s="100"/>
      <c r="AD353" s="108"/>
      <c r="AE353" s="109"/>
      <c r="AF353" s="109"/>
      <c r="AG353" s="109"/>
      <c r="AH353" s="109"/>
      <c r="AI353" s="109"/>
      <c r="AJ353" s="108"/>
      <c r="AK353" s="100"/>
      <c r="AL353" s="142"/>
      <c r="AM353" s="142"/>
      <c r="AN353" s="100"/>
      <c r="AO353" s="100"/>
      <c r="AP353" s="142"/>
      <c r="AQ353" s="100"/>
      <c r="AR353" s="100"/>
      <c r="AS353" s="142"/>
      <c r="AT353" s="100"/>
      <c r="AU353" s="100"/>
      <c r="AV353" s="100"/>
    </row>
    <row r="354" spans="1:48" ht="16.3">
      <c r="A354" s="87" t="s">
        <v>363</v>
      </c>
      <c r="B354" s="260">
        <f>SUM(B352+B353)</f>
        <v>2</v>
      </c>
      <c r="C354" s="214">
        <f>SUM(C352+C353)</f>
        <v>2</v>
      </c>
      <c r="D354" s="133"/>
      <c r="E354" s="134"/>
      <c r="F354" s="135"/>
      <c r="G354" s="136"/>
      <c r="H354" s="683"/>
      <c r="I354" s="676"/>
      <c r="J354" s="534"/>
      <c r="K354" s="96"/>
      <c r="L354" s="104"/>
      <c r="M354" s="75"/>
      <c r="N354" s="75"/>
      <c r="O354" s="75"/>
      <c r="P354" s="75"/>
      <c r="Q354" s="97"/>
      <c r="R354" s="163"/>
      <c r="S354" s="109"/>
      <c r="T354" s="109"/>
      <c r="U354" s="100"/>
      <c r="V354" s="110"/>
      <c r="W354" s="110"/>
      <c r="X354" s="100"/>
      <c r="Y354" s="100"/>
      <c r="Z354" s="100"/>
      <c r="AA354" s="110"/>
      <c r="AB354" s="110"/>
      <c r="AC354" s="100"/>
      <c r="AD354" s="108"/>
      <c r="AE354" s="109"/>
      <c r="AF354" s="109"/>
      <c r="AG354" s="109"/>
      <c r="AH354" s="109"/>
      <c r="AI354" s="109"/>
      <c r="AJ354" s="108"/>
      <c r="AK354" s="100"/>
      <c r="AL354" s="142"/>
      <c r="AM354" s="142"/>
      <c r="AN354" s="100"/>
      <c r="AO354" s="100"/>
      <c r="AP354" s="142"/>
      <c r="AQ354" s="100"/>
      <c r="AR354" s="100"/>
      <c r="AS354" s="142"/>
      <c r="AT354" s="100"/>
      <c r="AU354" s="100"/>
      <c r="AV354" s="100"/>
    </row>
    <row r="355" spans="1:48" ht="16.3">
      <c r="A355" s="87" t="s">
        <v>3</v>
      </c>
      <c r="B355" s="260">
        <f>SUM(L355+M355+N355+O355+P355+U355+X355+Y355+Z355+AC355+AK355+AL355+AK355+AO355+AR355+AS355+AU355+AV355+AW355+AX355+AP355)</f>
        <v>0</v>
      </c>
      <c r="C355" s="214">
        <f t="shared" ref="C355:C356" si="64">B355</f>
        <v>0</v>
      </c>
      <c r="D355" s="133"/>
      <c r="E355" s="134"/>
      <c r="F355" s="135"/>
      <c r="G355" s="136"/>
      <c r="H355" s="683"/>
      <c r="I355" s="676"/>
      <c r="J355" s="534"/>
      <c r="K355" s="96"/>
      <c r="L355" s="104"/>
      <c r="M355" s="75"/>
      <c r="N355" s="75"/>
      <c r="O355" s="75"/>
      <c r="P355" s="75"/>
      <c r="Q355" s="97"/>
      <c r="R355" s="163"/>
      <c r="S355" s="109"/>
      <c r="T355" s="109"/>
      <c r="U355" s="100"/>
      <c r="V355" s="110"/>
      <c r="W355" s="110"/>
      <c r="X355" s="100"/>
      <c r="Y355" s="100"/>
      <c r="Z355" s="100"/>
      <c r="AA355" s="110"/>
      <c r="AB355" s="110"/>
      <c r="AC355" s="100"/>
      <c r="AD355" s="108"/>
      <c r="AE355" s="109"/>
      <c r="AF355" s="109"/>
      <c r="AG355" s="109"/>
      <c r="AH355" s="109"/>
      <c r="AI355" s="109"/>
      <c r="AJ355" s="108"/>
      <c r="AK355" s="100"/>
      <c r="AL355" s="142"/>
      <c r="AM355" s="142"/>
      <c r="AN355" s="100"/>
      <c r="AO355" s="100"/>
      <c r="AP355" s="142"/>
      <c r="AQ355" s="100"/>
      <c r="AR355" s="100"/>
      <c r="AS355" s="142"/>
      <c r="AT355" s="100"/>
      <c r="AU355" s="100"/>
      <c r="AV355" s="100"/>
    </row>
    <row r="356" spans="1:48" ht="17" thickBot="1">
      <c r="A356" s="88" t="s">
        <v>4</v>
      </c>
      <c r="B356" s="262">
        <f>SUM(L356+M356+N356+O356+P356+U356+X356+Y356+Z356+AC356+AK356+AL356+AK356+AO356+AR356+AS356+AU356+AV356+AW356+AX356+AP356)</f>
        <v>0</v>
      </c>
      <c r="C356" s="217">
        <f t="shared" si="64"/>
        <v>0</v>
      </c>
      <c r="D356" s="144"/>
      <c r="E356" s="145"/>
      <c r="F356" s="146"/>
      <c r="G356" s="147"/>
      <c r="H356" s="684"/>
      <c r="I356" s="677"/>
      <c r="J356" s="535"/>
      <c r="K356" s="114"/>
      <c r="L356" s="113"/>
      <c r="M356" s="112"/>
      <c r="N356" s="112"/>
      <c r="O356" s="112"/>
      <c r="P356" s="112"/>
      <c r="Q356" s="115"/>
      <c r="R356" s="164"/>
      <c r="S356" s="118"/>
      <c r="T356" s="118"/>
      <c r="U356" s="116"/>
      <c r="V356" s="120"/>
      <c r="W356" s="120"/>
      <c r="X356" s="116"/>
      <c r="Y356" s="116"/>
      <c r="Z356" s="116"/>
      <c r="AA356" s="120"/>
      <c r="AB356" s="120"/>
      <c r="AC356" s="116"/>
      <c r="AD356" s="117"/>
      <c r="AE356" s="118"/>
      <c r="AF356" s="118"/>
      <c r="AG356" s="118"/>
      <c r="AH356" s="118"/>
      <c r="AI356" s="118"/>
      <c r="AJ356" s="117"/>
      <c r="AK356" s="116"/>
      <c r="AL356" s="149"/>
      <c r="AM356" s="149"/>
      <c r="AN356" s="116"/>
      <c r="AO356" s="116"/>
      <c r="AP356" s="149"/>
      <c r="AQ356" s="116"/>
      <c r="AR356" s="116"/>
      <c r="AS356" s="149"/>
      <c r="AT356" s="116"/>
      <c r="AU356" s="116"/>
      <c r="AV356" s="116"/>
    </row>
    <row r="357" spans="1:48" ht="21.1">
      <c r="A357" s="82" t="s">
        <v>507</v>
      </c>
      <c r="B357" s="260"/>
      <c r="C357" s="214"/>
      <c r="D357" s="133"/>
      <c r="E357" s="134"/>
      <c r="F357" s="135"/>
      <c r="G357" s="136"/>
      <c r="H357" s="683"/>
      <c r="I357" s="676"/>
      <c r="J357" s="534"/>
      <c r="K357" s="96" t="s">
        <v>375</v>
      </c>
      <c r="L357" s="104"/>
      <c r="M357" s="75"/>
      <c r="N357" s="75"/>
      <c r="O357" s="75"/>
      <c r="P357" s="75"/>
      <c r="Q357" s="97" t="s">
        <v>375</v>
      </c>
      <c r="R357" s="163"/>
      <c r="S357" s="109" t="s">
        <v>374</v>
      </c>
      <c r="T357" s="109"/>
      <c r="U357" s="100"/>
      <c r="V357" s="110"/>
      <c r="W357" s="110"/>
      <c r="X357" s="100"/>
      <c r="Y357" s="100"/>
      <c r="Z357" s="100"/>
      <c r="AA357" s="110"/>
      <c r="AB357" s="110"/>
      <c r="AC357" s="100"/>
      <c r="AD357" s="108"/>
      <c r="AE357" s="109" t="s">
        <v>375</v>
      </c>
      <c r="AF357" s="109" t="s">
        <v>375</v>
      </c>
      <c r="AG357" s="109">
        <v>7</v>
      </c>
      <c r="AH357" s="109"/>
      <c r="AI357" s="109">
        <v>7</v>
      </c>
      <c r="AJ357" s="108"/>
      <c r="AK357" s="100"/>
      <c r="AL357" s="142"/>
      <c r="AM357" s="142"/>
      <c r="AN357" s="100"/>
      <c r="AO357" s="100"/>
      <c r="AP357" s="142"/>
      <c r="AQ357" s="100"/>
      <c r="AR357" s="100"/>
      <c r="AS357" s="142"/>
      <c r="AT357" s="100"/>
      <c r="AU357" s="100"/>
      <c r="AV357" s="100"/>
    </row>
    <row r="358" spans="1:48" ht="16.3">
      <c r="A358" s="246" t="s">
        <v>1</v>
      </c>
      <c r="B358" s="261">
        <f>SUM(L358+M358+N358+O358+P358+U358+X358+Y358+Z358+AC358+AK358+AL358+AK358+AO358+AR358+AS358+AU358+AV358+AW358+AX358+AP358)</f>
        <v>0</v>
      </c>
      <c r="C358" s="215">
        <f>B358</f>
        <v>0</v>
      </c>
      <c r="D358" s="133"/>
      <c r="E358" s="134"/>
      <c r="F358" s="135"/>
      <c r="G358" s="136"/>
      <c r="H358" s="683"/>
      <c r="I358" s="676"/>
      <c r="J358" s="534"/>
      <c r="K358" s="96"/>
      <c r="L358" s="104"/>
      <c r="M358" s="75"/>
      <c r="N358" s="75"/>
      <c r="O358" s="75"/>
      <c r="P358" s="75"/>
      <c r="Q358" s="97"/>
      <c r="R358" s="163"/>
      <c r="S358" s="109">
        <v>1</v>
      </c>
      <c r="T358" s="109"/>
      <c r="U358" s="100"/>
      <c r="V358" s="110"/>
      <c r="W358" s="110"/>
      <c r="X358" s="100"/>
      <c r="Y358" s="100"/>
      <c r="Z358" s="100"/>
      <c r="AA358" s="110"/>
      <c r="AB358" s="110"/>
      <c r="AC358" s="100"/>
      <c r="AD358" s="108"/>
      <c r="AE358" s="109"/>
      <c r="AF358" s="109"/>
      <c r="AG358" s="109">
        <v>1</v>
      </c>
      <c r="AH358" s="109"/>
      <c r="AI358" s="109">
        <v>1</v>
      </c>
      <c r="AJ358" s="108"/>
      <c r="AK358" s="100"/>
      <c r="AL358" s="142"/>
      <c r="AM358" s="142"/>
      <c r="AN358" s="100"/>
      <c r="AO358" s="100"/>
      <c r="AP358" s="142"/>
      <c r="AQ358" s="100"/>
      <c r="AR358" s="100"/>
      <c r="AS358" s="142"/>
      <c r="AT358" s="100"/>
      <c r="AU358" s="100"/>
      <c r="AV358" s="100"/>
    </row>
    <row r="359" spans="1:48" ht="16.3">
      <c r="A359" s="246" t="s">
        <v>2</v>
      </c>
      <c r="B359" s="261">
        <f>SUM(L359+M359+N359+O359+P359+U359+X359+Y359+Z359+AC359+AK359+AL359+AK359+AO359+AR359+AS359+AU359+AV359+AW359+AX359)+1</f>
        <v>1</v>
      </c>
      <c r="C359" s="215">
        <f t="shared" ref="C359:C362" si="65">B359</f>
        <v>1</v>
      </c>
      <c r="D359" s="133"/>
      <c r="E359" s="134"/>
      <c r="F359" s="135"/>
      <c r="G359" s="136"/>
      <c r="H359" s="683"/>
      <c r="I359" s="676"/>
      <c r="J359" s="534"/>
      <c r="K359" s="96">
        <v>1</v>
      </c>
      <c r="L359" s="104"/>
      <c r="M359" s="75"/>
      <c r="N359" s="75"/>
      <c r="O359" s="75"/>
      <c r="P359" s="75"/>
      <c r="Q359" s="97">
        <v>1</v>
      </c>
      <c r="R359" s="163"/>
      <c r="S359" s="109"/>
      <c r="T359" s="109"/>
      <c r="U359" s="100"/>
      <c r="V359" s="110"/>
      <c r="W359" s="110"/>
      <c r="X359" s="100"/>
      <c r="Y359" s="100"/>
      <c r="Z359" s="100"/>
      <c r="AA359" s="110"/>
      <c r="AB359" s="110"/>
      <c r="AC359" s="100"/>
      <c r="AD359" s="108"/>
      <c r="AE359" s="109">
        <v>1</v>
      </c>
      <c r="AF359" s="109">
        <v>1</v>
      </c>
      <c r="AG359" s="109"/>
      <c r="AH359" s="109"/>
      <c r="AI359" s="109"/>
      <c r="AJ359" s="108"/>
      <c r="AK359" s="100"/>
      <c r="AL359" s="142"/>
      <c r="AM359" s="142"/>
      <c r="AN359" s="100"/>
      <c r="AO359" s="100"/>
      <c r="AP359" s="142"/>
      <c r="AQ359" s="100"/>
      <c r="AR359" s="100"/>
      <c r="AS359" s="142"/>
      <c r="AT359" s="100"/>
      <c r="AU359" s="100"/>
      <c r="AV359" s="100"/>
    </row>
    <row r="360" spans="1:48" ht="16.3">
      <c r="A360" s="87" t="s">
        <v>363</v>
      </c>
      <c r="B360" s="260">
        <f>SUM(B358+B359)</f>
        <v>1</v>
      </c>
      <c r="C360" s="214">
        <f t="shared" si="65"/>
        <v>1</v>
      </c>
      <c r="D360" s="133"/>
      <c r="E360" s="134"/>
      <c r="F360" s="135"/>
      <c r="G360" s="136"/>
      <c r="H360" s="683"/>
      <c r="I360" s="676"/>
      <c r="J360" s="534"/>
      <c r="K360" s="96"/>
      <c r="L360" s="104"/>
      <c r="M360" s="75"/>
      <c r="N360" s="75"/>
      <c r="O360" s="75"/>
      <c r="P360" s="75"/>
      <c r="Q360" s="97"/>
      <c r="R360" s="163"/>
      <c r="S360" s="109"/>
      <c r="T360" s="109"/>
      <c r="U360" s="100"/>
      <c r="V360" s="110"/>
      <c r="W360" s="110"/>
      <c r="X360" s="100"/>
      <c r="Y360" s="100"/>
      <c r="Z360" s="100"/>
      <c r="AA360" s="110"/>
      <c r="AB360" s="110"/>
      <c r="AC360" s="100"/>
      <c r="AD360" s="108"/>
      <c r="AE360" s="109"/>
      <c r="AF360" s="109"/>
      <c r="AG360" s="109"/>
      <c r="AH360" s="109"/>
      <c r="AI360" s="109"/>
      <c r="AJ360" s="108"/>
      <c r="AK360" s="100"/>
      <c r="AL360" s="142"/>
      <c r="AM360" s="142"/>
      <c r="AN360" s="100"/>
      <c r="AO360" s="100"/>
      <c r="AP360" s="142"/>
      <c r="AQ360" s="100"/>
      <c r="AR360" s="100"/>
      <c r="AS360" s="142"/>
      <c r="AT360" s="100"/>
      <c r="AU360" s="100"/>
      <c r="AV360" s="100"/>
    </row>
    <row r="361" spans="1:48" ht="16.3">
      <c r="A361" s="87" t="s">
        <v>3</v>
      </c>
      <c r="B361" s="260">
        <f>SUM(L361+M361+N361+O361+P361+U361+X361+Y361+Z361+AC361+AK361+AL361+AK361+AO361+AR361+AS361+AU361+AV361+AW361+AX361)</f>
        <v>0</v>
      </c>
      <c r="C361" s="214">
        <f t="shared" si="65"/>
        <v>0</v>
      </c>
      <c r="D361" s="133"/>
      <c r="E361" s="134"/>
      <c r="F361" s="135"/>
      <c r="G361" s="136"/>
      <c r="H361" s="683"/>
      <c r="I361" s="676"/>
      <c r="J361" s="534"/>
      <c r="K361" s="96"/>
      <c r="L361" s="104"/>
      <c r="M361" s="75"/>
      <c r="N361" s="75"/>
      <c r="O361" s="75"/>
      <c r="P361" s="75"/>
      <c r="Q361" s="97"/>
      <c r="R361" s="163"/>
      <c r="S361" s="109"/>
      <c r="T361" s="109"/>
      <c r="U361" s="100"/>
      <c r="V361" s="110"/>
      <c r="W361" s="110"/>
      <c r="X361" s="100"/>
      <c r="Y361" s="100"/>
      <c r="Z361" s="100"/>
      <c r="AA361" s="110"/>
      <c r="AB361" s="110"/>
      <c r="AC361" s="100"/>
      <c r="AD361" s="108"/>
      <c r="AE361" s="109">
        <v>2</v>
      </c>
      <c r="AF361" s="109">
        <v>1</v>
      </c>
      <c r="AG361" s="109"/>
      <c r="AH361" s="109"/>
      <c r="AI361" s="109"/>
      <c r="AJ361" s="108"/>
      <c r="AK361" s="100"/>
      <c r="AL361" s="142"/>
      <c r="AM361" s="142"/>
      <c r="AN361" s="100"/>
      <c r="AO361" s="100"/>
      <c r="AP361" s="142"/>
      <c r="AQ361" s="100"/>
      <c r="AR361" s="100"/>
      <c r="AS361" s="142"/>
      <c r="AT361" s="100"/>
      <c r="AU361" s="100"/>
      <c r="AV361" s="100"/>
    </row>
    <row r="362" spans="1:48" ht="17" thickBot="1">
      <c r="A362" s="88" t="s">
        <v>4</v>
      </c>
      <c r="B362" s="262">
        <f>SUM(L362+M362+N362+O362+P362+U362+X362+Y362+Z362+AC362+AK362+AL362+AK362+AO362+AR362+AS362+AU362+AV362+AW362+AX362)</f>
        <v>0</v>
      </c>
      <c r="C362" s="217">
        <f t="shared" si="65"/>
        <v>0</v>
      </c>
      <c r="D362" s="144"/>
      <c r="E362" s="145"/>
      <c r="F362" s="146"/>
      <c r="G362" s="147"/>
      <c r="H362" s="684"/>
      <c r="I362" s="677"/>
      <c r="J362" s="535"/>
      <c r="K362" s="114"/>
      <c r="L362" s="113"/>
      <c r="M362" s="112"/>
      <c r="N362" s="112"/>
      <c r="O362" s="112"/>
      <c r="P362" s="112"/>
      <c r="Q362" s="115"/>
      <c r="R362" s="164"/>
      <c r="S362" s="118"/>
      <c r="T362" s="118"/>
      <c r="U362" s="116"/>
      <c r="V362" s="120"/>
      <c r="W362" s="120"/>
      <c r="X362" s="116"/>
      <c r="Y362" s="116"/>
      <c r="Z362" s="116"/>
      <c r="AA362" s="120"/>
      <c r="AB362" s="120"/>
      <c r="AC362" s="116"/>
      <c r="AD362" s="117"/>
      <c r="AE362" s="118">
        <v>10</v>
      </c>
      <c r="AF362" s="118">
        <v>5</v>
      </c>
      <c r="AG362" s="118"/>
      <c r="AH362" s="118"/>
      <c r="AI362" s="118"/>
      <c r="AJ362" s="117"/>
      <c r="AK362" s="116"/>
      <c r="AL362" s="149"/>
      <c r="AM362" s="149"/>
      <c r="AN362" s="116"/>
      <c r="AO362" s="116"/>
      <c r="AP362" s="149"/>
      <c r="AQ362" s="116"/>
      <c r="AR362" s="116"/>
      <c r="AS362" s="149"/>
      <c r="AT362" s="116"/>
      <c r="AU362" s="116"/>
      <c r="AV362" s="116"/>
    </row>
    <row r="363" spans="1:48" ht="21.1">
      <c r="A363" s="82" t="s">
        <v>412</v>
      </c>
      <c r="B363" s="260"/>
      <c r="C363" s="214"/>
      <c r="D363" s="133"/>
      <c r="E363" s="134"/>
      <c r="F363" s="135"/>
      <c r="G363" s="136"/>
      <c r="H363" s="683"/>
      <c r="I363" s="676"/>
      <c r="J363" s="534"/>
      <c r="K363" s="96" t="s">
        <v>372</v>
      </c>
      <c r="L363" s="104"/>
      <c r="M363" s="75"/>
      <c r="N363" s="75"/>
      <c r="O363" s="75"/>
      <c r="P363" s="75"/>
      <c r="Q363" s="97" t="s">
        <v>375</v>
      </c>
      <c r="R363" s="163"/>
      <c r="S363" s="109">
        <v>5</v>
      </c>
      <c r="T363" s="109" t="s">
        <v>372</v>
      </c>
      <c r="U363" s="100"/>
      <c r="V363" s="110"/>
      <c r="W363" s="110"/>
      <c r="X363" s="100"/>
      <c r="Y363" s="100"/>
      <c r="Z363" s="100"/>
      <c r="AA363" s="110"/>
      <c r="AB363" s="110"/>
      <c r="AC363" s="100"/>
      <c r="AD363" s="108"/>
      <c r="AE363" s="109" t="s">
        <v>387</v>
      </c>
      <c r="AF363" s="109"/>
      <c r="AG363" s="109"/>
      <c r="AH363" s="109"/>
      <c r="AI363" s="109"/>
      <c r="AJ363" s="108"/>
      <c r="AK363" s="100"/>
      <c r="AL363" s="142"/>
      <c r="AM363" s="142"/>
      <c r="AN363" s="100"/>
      <c r="AO363" s="100"/>
      <c r="AP363" s="142"/>
      <c r="AQ363" s="100"/>
      <c r="AR363" s="100"/>
      <c r="AS363" s="142"/>
      <c r="AT363" s="100"/>
      <c r="AU363" s="100"/>
      <c r="AV363" s="100"/>
    </row>
    <row r="364" spans="1:48" ht="16.3">
      <c r="A364" s="246" t="s">
        <v>1</v>
      </c>
      <c r="B364" s="261">
        <f>SUM(L364+M364+N364+O364+P364+U364+X364+Y364+Z364+AC364+AK364+AL364+AK364+AO364+AR364+AS364+AU364+AV364+AW364+AX364+AP364)</f>
        <v>0</v>
      </c>
      <c r="C364" s="215">
        <f>B364</f>
        <v>0</v>
      </c>
      <c r="D364" s="133"/>
      <c r="E364" s="134"/>
      <c r="F364" s="135"/>
      <c r="G364" s="136"/>
      <c r="H364" s="683"/>
      <c r="I364" s="676"/>
      <c r="J364" s="534"/>
      <c r="K364" s="96">
        <v>1</v>
      </c>
      <c r="L364" s="104"/>
      <c r="M364" s="75"/>
      <c r="N364" s="75"/>
      <c r="O364" s="75"/>
      <c r="P364" s="75"/>
      <c r="Q364" s="97"/>
      <c r="R364" s="163"/>
      <c r="S364" s="109">
        <v>1</v>
      </c>
      <c r="T364" s="109">
        <v>1</v>
      </c>
      <c r="U364" s="100"/>
      <c r="V364" s="110"/>
      <c r="W364" s="110"/>
      <c r="X364" s="100"/>
      <c r="Y364" s="100"/>
      <c r="Z364" s="100"/>
      <c r="AA364" s="110"/>
      <c r="AB364" s="110"/>
      <c r="AC364" s="100"/>
      <c r="AD364" s="108"/>
      <c r="AE364" s="109">
        <v>1</v>
      </c>
      <c r="AF364" s="109"/>
      <c r="AG364" s="109"/>
      <c r="AH364" s="109"/>
      <c r="AI364" s="109"/>
      <c r="AJ364" s="108"/>
      <c r="AK364" s="100"/>
      <c r="AL364" s="142"/>
      <c r="AM364" s="142"/>
      <c r="AN364" s="100"/>
      <c r="AO364" s="100"/>
      <c r="AP364" s="142"/>
      <c r="AQ364" s="100"/>
      <c r="AR364" s="100"/>
      <c r="AS364" s="142"/>
      <c r="AT364" s="100"/>
      <c r="AU364" s="100"/>
      <c r="AV364" s="100"/>
    </row>
    <row r="365" spans="1:48" ht="16.3">
      <c r="A365" s="246" t="s">
        <v>2</v>
      </c>
      <c r="B365" s="261">
        <f>SUM(L365+M365+N365+O365+P365+U365+X365+Y365+Z365+AC365+AK365+AL365+AK365+AO365+AR365+AS365+AU365+AV365+AW365+AX365)</f>
        <v>0</v>
      </c>
      <c r="C365" s="215">
        <f t="shared" ref="C365:C368" si="66">B365</f>
        <v>0</v>
      </c>
      <c r="D365" s="133"/>
      <c r="E365" s="134"/>
      <c r="F365" s="135"/>
      <c r="G365" s="136"/>
      <c r="H365" s="683"/>
      <c r="I365" s="676"/>
      <c r="J365" s="534"/>
      <c r="K365" s="96"/>
      <c r="L365" s="104"/>
      <c r="M365" s="75"/>
      <c r="N365" s="75"/>
      <c r="O365" s="75"/>
      <c r="P365" s="75"/>
      <c r="Q365" s="97">
        <v>1</v>
      </c>
      <c r="R365" s="163"/>
      <c r="S365" s="109"/>
      <c r="T365" s="109"/>
      <c r="U365" s="100"/>
      <c r="V365" s="110"/>
      <c r="W365" s="110"/>
      <c r="X365" s="100"/>
      <c r="Y365" s="100"/>
      <c r="Z365" s="100"/>
      <c r="AA365" s="110"/>
      <c r="AB365" s="110"/>
      <c r="AC365" s="100"/>
      <c r="AD365" s="108"/>
      <c r="AE365" s="109"/>
      <c r="AF365" s="109"/>
      <c r="AG365" s="109"/>
      <c r="AH365" s="109"/>
      <c r="AI365" s="109"/>
      <c r="AJ365" s="108"/>
      <c r="AK365" s="100"/>
      <c r="AL365" s="142"/>
      <c r="AM365" s="142"/>
      <c r="AN365" s="100"/>
      <c r="AO365" s="100"/>
      <c r="AP365" s="142"/>
      <c r="AQ365" s="100"/>
      <c r="AR365" s="100"/>
      <c r="AS365" s="142"/>
      <c r="AT365" s="100"/>
      <c r="AU365" s="100"/>
      <c r="AV365" s="100"/>
    </row>
    <row r="366" spans="1:48" ht="16.3">
      <c r="A366" s="87" t="s">
        <v>363</v>
      </c>
      <c r="B366" s="260">
        <f>SUM(B364+B365)</f>
        <v>0</v>
      </c>
      <c r="C366" s="214">
        <f t="shared" si="66"/>
        <v>0</v>
      </c>
      <c r="D366" s="133"/>
      <c r="E366" s="134"/>
      <c r="F366" s="135"/>
      <c r="G366" s="136"/>
      <c r="H366" s="683"/>
      <c r="I366" s="676"/>
      <c r="J366" s="534"/>
      <c r="K366" s="96"/>
      <c r="L366" s="104"/>
      <c r="M366" s="75"/>
      <c r="N366" s="75"/>
      <c r="O366" s="75"/>
      <c r="P366" s="75"/>
      <c r="Q366" s="97"/>
      <c r="R366" s="163"/>
      <c r="S366" s="109"/>
      <c r="T366" s="109"/>
      <c r="U366" s="100"/>
      <c r="V366" s="110"/>
      <c r="W366" s="110"/>
      <c r="X366" s="100"/>
      <c r="Y366" s="100"/>
      <c r="Z366" s="100"/>
      <c r="AA366" s="110"/>
      <c r="AB366" s="110"/>
      <c r="AC366" s="100"/>
      <c r="AD366" s="108"/>
      <c r="AE366" s="109"/>
      <c r="AF366" s="109"/>
      <c r="AG366" s="109"/>
      <c r="AH366" s="109"/>
      <c r="AI366" s="109"/>
      <c r="AJ366" s="108"/>
      <c r="AK366" s="100"/>
      <c r="AL366" s="142"/>
      <c r="AM366" s="142"/>
      <c r="AN366" s="100"/>
      <c r="AO366" s="100"/>
      <c r="AP366" s="142"/>
      <c r="AQ366" s="100"/>
      <c r="AR366" s="100"/>
      <c r="AS366" s="142"/>
      <c r="AT366" s="100"/>
      <c r="AU366" s="100"/>
      <c r="AV366" s="100"/>
    </row>
    <row r="367" spans="1:48" ht="16.3">
      <c r="A367" s="87" t="s">
        <v>3</v>
      </c>
      <c r="B367" s="260">
        <f>SUM(L367+M367+N367+O367+P367+U367+X367+Y367+Z367+AC367+AK367+AL367+AK367+AO367+AR367+AS367+AU367+AV367+AW367+AX367)</f>
        <v>0</v>
      </c>
      <c r="C367" s="214">
        <f t="shared" si="66"/>
        <v>0</v>
      </c>
      <c r="D367" s="133"/>
      <c r="E367" s="134"/>
      <c r="F367" s="135"/>
      <c r="G367" s="136"/>
      <c r="H367" s="683"/>
      <c r="I367" s="676"/>
      <c r="J367" s="534"/>
      <c r="K367" s="96"/>
      <c r="L367" s="104"/>
      <c r="M367" s="75"/>
      <c r="N367" s="75"/>
      <c r="O367" s="75"/>
      <c r="P367" s="75"/>
      <c r="Q367" s="97"/>
      <c r="R367" s="163"/>
      <c r="S367" s="109"/>
      <c r="T367" s="109"/>
      <c r="U367" s="100"/>
      <c r="V367" s="110"/>
      <c r="W367" s="110"/>
      <c r="X367" s="100"/>
      <c r="Y367" s="100"/>
      <c r="Z367" s="100"/>
      <c r="AA367" s="110"/>
      <c r="AB367" s="110"/>
      <c r="AC367" s="100"/>
      <c r="AD367" s="108"/>
      <c r="AE367" s="109"/>
      <c r="AF367" s="109"/>
      <c r="AG367" s="109"/>
      <c r="AH367" s="109"/>
      <c r="AI367" s="109"/>
      <c r="AJ367" s="108"/>
      <c r="AK367" s="100"/>
      <c r="AL367" s="142"/>
      <c r="AM367" s="142"/>
      <c r="AN367" s="100"/>
      <c r="AO367" s="100"/>
      <c r="AP367" s="142"/>
      <c r="AQ367" s="100"/>
      <c r="AR367" s="100"/>
      <c r="AS367" s="142"/>
      <c r="AT367" s="100"/>
      <c r="AU367" s="100"/>
      <c r="AV367" s="100"/>
    </row>
    <row r="368" spans="1:48" ht="17" thickBot="1">
      <c r="A368" s="88" t="s">
        <v>4</v>
      </c>
      <c r="B368" s="262">
        <f>SUM(L368+M368+N368+O368+P368+U368+X368+Y368+Z368+AC368+AK368+AL368+AK368+AO368+AR368+AS368+AU368+AV368+AW368+AX368)</f>
        <v>0</v>
      </c>
      <c r="C368" s="217">
        <f t="shared" si="66"/>
        <v>0</v>
      </c>
      <c r="D368" s="144"/>
      <c r="E368" s="145"/>
      <c r="F368" s="146"/>
      <c r="G368" s="147"/>
      <c r="H368" s="684"/>
      <c r="I368" s="677"/>
      <c r="J368" s="535"/>
      <c r="K368" s="114"/>
      <c r="L368" s="113"/>
      <c r="M368" s="112"/>
      <c r="N368" s="112"/>
      <c r="O368" s="112"/>
      <c r="P368" s="112"/>
      <c r="Q368" s="115"/>
      <c r="R368" s="164"/>
      <c r="S368" s="118"/>
      <c r="T368" s="118"/>
      <c r="U368" s="116"/>
      <c r="V368" s="119"/>
      <c r="W368" s="120"/>
      <c r="X368" s="116"/>
      <c r="Y368" s="116"/>
      <c r="Z368" s="116"/>
      <c r="AA368" s="120"/>
      <c r="AB368" s="120"/>
      <c r="AC368" s="116"/>
      <c r="AD368" s="117"/>
      <c r="AE368" s="118"/>
      <c r="AF368" s="118"/>
      <c r="AG368" s="118"/>
      <c r="AH368" s="118"/>
      <c r="AI368" s="118"/>
      <c r="AJ368" s="117"/>
      <c r="AK368" s="116"/>
      <c r="AL368" s="149"/>
      <c r="AM368" s="149"/>
      <c r="AN368" s="116"/>
      <c r="AO368" s="116"/>
      <c r="AP368" s="149"/>
      <c r="AQ368" s="116"/>
      <c r="AR368" s="116"/>
      <c r="AS368" s="149"/>
      <c r="AT368" s="116"/>
      <c r="AU368" s="116"/>
      <c r="AV368" s="116"/>
    </row>
    <row r="369" spans="1:48" ht="21.1">
      <c r="A369" s="82" t="s">
        <v>1021</v>
      </c>
      <c r="B369" s="260"/>
      <c r="C369" s="214"/>
      <c r="D369" s="133"/>
      <c r="E369" s="134"/>
      <c r="F369" s="135"/>
      <c r="G369" s="136"/>
      <c r="H369" s="683"/>
      <c r="I369" s="676"/>
      <c r="J369" s="534"/>
      <c r="K369" s="96"/>
      <c r="L369" s="104"/>
      <c r="M369" s="75"/>
      <c r="N369" s="75"/>
      <c r="O369" s="75"/>
      <c r="P369" s="75"/>
      <c r="Q369" s="97"/>
      <c r="R369" s="163"/>
      <c r="S369" s="109"/>
      <c r="T369" s="109"/>
      <c r="U369" s="100"/>
      <c r="V369" s="110"/>
      <c r="W369" s="110"/>
      <c r="X369" s="100"/>
      <c r="Y369" s="100"/>
      <c r="Z369" s="100"/>
      <c r="AA369" s="110"/>
      <c r="AB369" s="110"/>
      <c r="AC369" s="100"/>
      <c r="AD369" s="108"/>
      <c r="AE369" s="109" t="s">
        <v>375</v>
      </c>
      <c r="AF369" s="109" t="s">
        <v>375</v>
      </c>
      <c r="AG369" s="109" t="s">
        <v>372</v>
      </c>
      <c r="AH369" s="109"/>
      <c r="AI369" s="109" t="s">
        <v>372</v>
      </c>
      <c r="AJ369" s="108"/>
      <c r="AK369" s="100"/>
      <c r="AL369" s="142"/>
      <c r="AM369" s="142"/>
      <c r="AN369" s="100"/>
      <c r="AO369" s="100"/>
      <c r="AP369" s="142"/>
      <c r="AQ369" s="100"/>
      <c r="AR369" s="100"/>
      <c r="AS369" s="142"/>
      <c r="AT369" s="100"/>
      <c r="AU369" s="100"/>
      <c r="AV369" s="100"/>
    </row>
    <row r="370" spans="1:48" ht="16.3">
      <c r="A370" s="246" t="s">
        <v>1</v>
      </c>
      <c r="B370" s="261">
        <f>SUM(L370+M370+N370+O370+P370+U370+X370+Y370+Z370+AC370+AK370+AL370+AK370+AO370+AR370+AS370+AU370+AV370+AW370+AX370+AP370)</f>
        <v>0</v>
      </c>
      <c r="C370" s="215">
        <f>B370</f>
        <v>0</v>
      </c>
      <c r="D370" s="133"/>
      <c r="E370" s="134"/>
      <c r="F370" s="135"/>
      <c r="G370" s="136"/>
      <c r="H370" s="683"/>
      <c r="I370" s="676"/>
      <c r="J370" s="534"/>
      <c r="K370" s="96"/>
      <c r="L370" s="104"/>
      <c r="M370" s="75"/>
      <c r="N370" s="75"/>
      <c r="O370" s="75"/>
      <c r="P370" s="75"/>
      <c r="Q370" s="97"/>
      <c r="R370" s="163"/>
      <c r="S370" s="109"/>
      <c r="T370" s="109"/>
      <c r="U370" s="100"/>
      <c r="V370" s="110"/>
      <c r="W370" s="110"/>
      <c r="X370" s="100"/>
      <c r="Y370" s="100"/>
      <c r="Z370" s="100"/>
      <c r="AA370" s="110"/>
      <c r="AB370" s="110"/>
      <c r="AC370" s="100"/>
      <c r="AD370" s="108"/>
      <c r="AE370" s="109"/>
      <c r="AF370" s="109"/>
      <c r="AG370" s="109">
        <v>1</v>
      </c>
      <c r="AH370" s="109"/>
      <c r="AI370" s="109">
        <v>1</v>
      </c>
      <c r="AJ370" s="108"/>
      <c r="AK370" s="100"/>
      <c r="AL370" s="142"/>
      <c r="AM370" s="142"/>
      <c r="AN370" s="100"/>
      <c r="AO370" s="100"/>
      <c r="AP370" s="142"/>
      <c r="AQ370" s="100"/>
      <c r="AR370" s="100"/>
      <c r="AS370" s="142"/>
      <c r="AT370" s="100"/>
      <c r="AU370" s="100"/>
      <c r="AV370" s="100"/>
    </row>
    <row r="371" spans="1:48" ht="16.3">
      <c r="A371" s="246" t="s">
        <v>2</v>
      </c>
      <c r="B371" s="261">
        <f>SUM(L371+M371+N371+O371+P371+U371+X371+Y371+Z371+AC371+AK371+AL371+AK371+AO371+AR371+AS371+AU371+AV371+AW371+AX371)</f>
        <v>0</v>
      </c>
      <c r="C371" s="215">
        <f t="shared" ref="C371:C374" si="67">B371</f>
        <v>0</v>
      </c>
      <c r="D371" s="133"/>
      <c r="E371" s="134"/>
      <c r="F371" s="135"/>
      <c r="G371" s="136"/>
      <c r="H371" s="683"/>
      <c r="I371" s="676"/>
      <c r="J371" s="534"/>
      <c r="K371" s="96"/>
      <c r="L371" s="104"/>
      <c r="M371" s="75"/>
      <c r="N371" s="75"/>
      <c r="O371" s="75"/>
      <c r="P371" s="75"/>
      <c r="Q371" s="97"/>
      <c r="R371" s="163"/>
      <c r="S371" s="109"/>
      <c r="T371" s="109"/>
      <c r="U371" s="100"/>
      <c r="V371" s="110"/>
      <c r="W371" s="110"/>
      <c r="X371" s="100"/>
      <c r="Y371" s="100"/>
      <c r="Z371" s="100"/>
      <c r="AA371" s="110"/>
      <c r="AB371" s="110"/>
      <c r="AC371" s="100"/>
      <c r="AD371" s="108"/>
      <c r="AE371" s="109">
        <v>1</v>
      </c>
      <c r="AF371" s="109">
        <v>1</v>
      </c>
      <c r="AG371" s="109"/>
      <c r="AH371" s="109"/>
      <c r="AI371" s="109"/>
      <c r="AJ371" s="108"/>
      <c r="AK371" s="100"/>
      <c r="AL371" s="142"/>
      <c r="AM371" s="142"/>
      <c r="AN371" s="100"/>
      <c r="AO371" s="100"/>
      <c r="AP371" s="142"/>
      <c r="AQ371" s="100"/>
      <c r="AR371" s="100"/>
      <c r="AS371" s="142"/>
      <c r="AT371" s="100"/>
      <c r="AU371" s="100"/>
      <c r="AV371" s="100"/>
    </row>
    <row r="372" spans="1:48" ht="16.3">
      <c r="A372" s="87" t="s">
        <v>363</v>
      </c>
      <c r="B372" s="260">
        <f>SUM(B370+B371)</f>
        <v>0</v>
      </c>
      <c r="C372" s="214">
        <f t="shared" si="67"/>
        <v>0</v>
      </c>
      <c r="D372" s="133"/>
      <c r="E372" s="134"/>
      <c r="F372" s="135"/>
      <c r="G372" s="136"/>
      <c r="H372" s="683"/>
      <c r="I372" s="676"/>
      <c r="J372" s="534"/>
      <c r="K372" s="96"/>
      <c r="L372" s="104"/>
      <c r="M372" s="75"/>
      <c r="N372" s="75"/>
      <c r="O372" s="75"/>
      <c r="P372" s="75"/>
      <c r="Q372" s="97"/>
      <c r="R372" s="163"/>
      <c r="S372" s="109"/>
      <c r="T372" s="109"/>
      <c r="U372" s="100"/>
      <c r="V372" s="110"/>
      <c r="W372" s="110"/>
      <c r="X372" s="100"/>
      <c r="Y372" s="100"/>
      <c r="Z372" s="100"/>
      <c r="AA372" s="110"/>
      <c r="AB372" s="110"/>
      <c r="AC372" s="100"/>
      <c r="AD372" s="108"/>
      <c r="AE372" s="109"/>
      <c r="AF372" s="109"/>
      <c r="AG372" s="109"/>
      <c r="AH372" s="109"/>
      <c r="AI372" s="109"/>
      <c r="AJ372" s="108"/>
      <c r="AK372" s="100"/>
      <c r="AL372" s="142"/>
      <c r="AM372" s="142"/>
      <c r="AN372" s="100"/>
      <c r="AO372" s="100"/>
      <c r="AP372" s="142"/>
      <c r="AQ372" s="100"/>
      <c r="AR372" s="100"/>
      <c r="AS372" s="142"/>
      <c r="AT372" s="100"/>
      <c r="AU372" s="100"/>
      <c r="AV372" s="100"/>
    </row>
    <row r="373" spans="1:48" ht="16.3">
      <c r="A373" s="87" t="s">
        <v>3</v>
      </c>
      <c r="B373" s="260">
        <f>SUM(L373+M373+N373+O373+P373+U373+X373+Y373+Z373+AC373+AK373+AL373+AK373+AO373+AR373+AS373+AU373+AV373+AW373+AX373)</f>
        <v>0</v>
      </c>
      <c r="C373" s="214">
        <f t="shared" si="67"/>
        <v>0</v>
      </c>
      <c r="D373" s="133"/>
      <c r="E373" s="134"/>
      <c r="F373" s="135"/>
      <c r="G373" s="136"/>
      <c r="H373" s="683"/>
      <c r="I373" s="676"/>
      <c r="J373" s="534"/>
      <c r="K373" s="96"/>
      <c r="L373" s="104"/>
      <c r="M373" s="75"/>
      <c r="N373" s="75"/>
      <c r="O373" s="75"/>
      <c r="P373" s="75"/>
      <c r="Q373" s="97"/>
      <c r="R373" s="163"/>
      <c r="S373" s="109"/>
      <c r="T373" s="109"/>
      <c r="U373" s="100"/>
      <c r="V373" s="110"/>
      <c r="W373" s="110"/>
      <c r="X373" s="100"/>
      <c r="Y373" s="100"/>
      <c r="Z373" s="100"/>
      <c r="AA373" s="110"/>
      <c r="AB373" s="110"/>
      <c r="AC373" s="100"/>
      <c r="AD373" s="108"/>
      <c r="AE373" s="109"/>
      <c r="AF373" s="109"/>
      <c r="AG373" s="109"/>
      <c r="AH373" s="109"/>
      <c r="AI373" s="109"/>
      <c r="AJ373" s="108"/>
      <c r="AK373" s="100"/>
      <c r="AL373" s="142"/>
      <c r="AM373" s="142"/>
      <c r="AN373" s="100"/>
      <c r="AO373" s="100"/>
      <c r="AP373" s="142"/>
      <c r="AQ373" s="100"/>
      <c r="AR373" s="100"/>
      <c r="AS373" s="142"/>
      <c r="AT373" s="100"/>
      <c r="AU373" s="100"/>
      <c r="AV373" s="100"/>
    </row>
    <row r="374" spans="1:48" ht="17" thickBot="1">
      <c r="A374" s="88" t="s">
        <v>4</v>
      </c>
      <c r="B374" s="262">
        <f>SUM(L374+M374+N374+O374+P374+U374+X374+Y374+Z374+AC374+AK374+AL374+AK374+AO374+AR374+AS374+AU374+AV374+AW374+AX374)</f>
        <v>0</v>
      </c>
      <c r="C374" s="217">
        <f t="shared" si="67"/>
        <v>0</v>
      </c>
      <c r="D374" s="144"/>
      <c r="E374" s="145"/>
      <c r="F374" s="146"/>
      <c r="G374" s="147"/>
      <c r="H374" s="684"/>
      <c r="I374" s="677"/>
      <c r="J374" s="535"/>
      <c r="K374" s="114"/>
      <c r="L374" s="113"/>
      <c r="M374" s="112"/>
      <c r="N374" s="112"/>
      <c r="O374" s="112"/>
      <c r="P374" s="112"/>
      <c r="Q374" s="115"/>
      <c r="R374" s="164"/>
      <c r="S374" s="118"/>
      <c r="T374" s="118"/>
      <c r="U374" s="116"/>
      <c r="V374" s="120"/>
      <c r="W374" s="119"/>
      <c r="X374" s="116"/>
      <c r="Y374" s="116"/>
      <c r="Z374" s="116"/>
      <c r="AA374" s="120"/>
      <c r="AB374" s="120"/>
      <c r="AC374" s="116"/>
      <c r="AD374" s="117"/>
      <c r="AE374" s="118"/>
      <c r="AF374" s="118"/>
      <c r="AG374" s="118"/>
      <c r="AH374" s="118"/>
      <c r="AI374" s="118"/>
      <c r="AJ374" s="117"/>
      <c r="AK374" s="116"/>
      <c r="AL374" s="149"/>
      <c r="AM374" s="149"/>
      <c r="AN374" s="116"/>
      <c r="AO374" s="116"/>
      <c r="AP374" s="149"/>
      <c r="AQ374" s="116"/>
      <c r="AR374" s="116"/>
      <c r="AS374" s="149"/>
      <c r="AT374" s="116"/>
      <c r="AU374" s="116"/>
      <c r="AV374" s="116"/>
    </row>
    <row r="375" spans="1:48" ht="21.1">
      <c r="A375" s="82" t="s">
        <v>1047</v>
      </c>
      <c r="B375" s="260"/>
      <c r="C375" s="214"/>
      <c r="D375" s="133"/>
      <c r="E375" s="134"/>
      <c r="F375" s="135"/>
      <c r="G375" s="136"/>
      <c r="H375" s="683"/>
      <c r="I375" s="676"/>
      <c r="J375" s="534"/>
      <c r="K375" s="96"/>
      <c r="L375" s="104"/>
      <c r="M375" s="75"/>
      <c r="N375" s="75"/>
      <c r="O375" s="75"/>
      <c r="P375" s="75"/>
      <c r="Q375" s="97"/>
      <c r="R375" s="163"/>
      <c r="S375" s="109"/>
      <c r="T375" s="109"/>
      <c r="U375" s="100"/>
      <c r="V375" s="110"/>
      <c r="W375" s="110"/>
      <c r="X375" s="100"/>
      <c r="Y375" s="100"/>
      <c r="Z375" s="100"/>
      <c r="AA375" s="110"/>
      <c r="AB375" s="110"/>
      <c r="AC375" s="100"/>
      <c r="AD375" s="108"/>
      <c r="AE375" s="109"/>
      <c r="AF375" s="109"/>
      <c r="AG375" s="109" t="s">
        <v>432</v>
      </c>
      <c r="AH375" s="109"/>
      <c r="AI375" s="109" t="s">
        <v>375</v>
      </c>
      <c r="AJ375" s="108"/>
      <c r="AK375" s="100"/>
      <c r="AL375" s="142"/>
      <c r="AM375" s="142"/>
      <c r="AN375" s="100"/>
      <c r="AO375" s="100"/>
      <c r="AP375" s="142"/>
      <c r="AQ375" s="100"/>
      <c r="AR375" s="100"/>
      <c r="AS375" s="142"/>
      <c r="AT375" s="100"/>
      <c r="AU375" s="100"/>
      <c r="AV375" s="100"/>
    </row>
    <row r="376" spans="1:48" ht="16.3">
      <c r="A376" s="246" t="s">
        <v>1</v>
      </c>
      <c r="B376" s="261">
        <f>SUM(L376+M376+N376+O376+P376+U376+X376+Y376+Z376+AC376+AK376+AL376+AK376+AO376+AR376+AS376+AU376+AV376+AW376+AX376+AP376)</f>
        <v>0</v>
      </c>
      <c r="C376" s="215">
        <f>B376</f>
        <v>0</v>
      </c>
      <c r="D376" s="133"/>
      <c r="E376" s="134"/>
      <c r="F376" s="135"/>
      <c r="G376" s="136"/>
      <c r="H376" s="683"/>
      <c r="I376" s="676"/>
      <c r="J376" s="534"/>
      <c r="K376" s="96"/>
      <c r="L376" s="104"/>
      <c r="M376" s="75"/>
      <c r="N376" s="75"/>
      <c r="O376" s="75"/>
      <c r="P376" s="75"/>
      <c r="Q376" s="97"/>
      <c r="R376" s="163"/>
      <c r="S376" s="109"/>
      <c r="T376" s="109"/>
      <c r="U376" s="100"/>
      <c r="V376" s="110"/>
      <c r="W376" s="110"/>
      <c r="X376" s="100"/>
      <c r="Y376" s="100"/>
      <c r="Z376" s="100"/>
      <c r="AA376" s="110"/>
      <c r="AB376" s="110"/>
      <c r="AC376" s="100"/>
      <c r="AD376" s="108"/>
      <c r="AE376" s="109"/>
      <c r="AF376" s="109"/>
      <c r="AG376" s="109"/>
      <c r="AH376" s="109"/>
      <c r="AI376" s="109"/>
      <c r="AJ376" s="108"/>
      <c r="AK376" s="100"/>
      <c r="AL376" s="142"/>
      <c r="AM376" s="142"/>
      <c r="AN376" s="100"/>
      <c r="AO376" s="100"/>
      <c r="AP376" s="142"/>
      <c r="AQ376" s="100"/>
      <c r="AR376" s="100"/>
      <c r="AS376" s="142"/>
      <c r="AT376" s="100"/>
      <c r="AU376" s="100"/>
      <c r="AV376" s="100"/>
    </row>
    <row r="377" spans="1:48" ht="16.3">
      <c r="A377" s="246" t="s">
        <v>2</v>
      </c>
      <c r="B377" s="261">
        <f>SUM(L377+M377+N377+O377+P377+U377+X377+Y377+Z377+AC377+AK377+AL377+AK377+AO377+AR377+AS377+AU377+AV377+AW377+AX377)</f>
        <v>0</v>
      </c>
      <c r="C377" s="215">
        <f t="shared" ref="C377:C380" si="68">B377</f>
        <v>0</v>
      </c>
      <c r="D377" s="133"/>
      <c r="E377" s="134"/>
      <c r="F377" s="135"/>
      <c r="G377" s="136"/>
      <c r="H377" s="683"/>
      <c r="I377" s="676"/>
      <c r="J377" s="534"/>
      <c r="K377" s="96"/>
      <c r="L377" s="104"/>
      <c r="M377" s="75"/>
      <c r="N377" s="75"/>
      <c r="O377" s="75"/>
      <c r="P377" s="75"/>
      <c r="Q377" s="97"/>
      <c r="R377" s="163"/>
      <c r="S377" s="109"/>
      <c r="T377" s="109"/>
      <c r="U377" s="100"/>
      <c r="V377" s="110"/>
      <c r="W377" s="110"/>
      <c r="X377" s="100"/>
      <c r="Y377" s="100"/>
      <c r="Z377" s="100"/>
      <c r="AA377" s="110"/>
      <c r="AB377" s="110"/>
      <c r="AC377" s="100"/>
      <c r="AD377" s="108"/>
      <c r="AE377" s="109"/>
      <c r="AF377" s="109"/>
      <c r="AG377" s="109">
        <v>1</v>
      </c>
      <c r="AH377" s="109"/>
      <c r="AI377" s="109">
        <v>1</v>
      </c>
      <c r="AJ377" s="108"/>
      <c r="AK377" s="100"/>
      <c r="AL377" s="142"/>
      <c r="AM377" s="142"/>
      <c r="AN377" s="100"/>
      <c r="AO377" s="100"/>
      <c r="AP377" s="142"/>
      <c r="AQ377" s="100"/>
      <c r="AR377" s="100"/>
      <c r="AS377" s="142"/>
      <c r="AT377" s="100"/>
      <c r="AU377" s="100"/>
      <c r="AV377" s="100"/>
    </row>
    <row r="378" spans="1:48" ht="16.3">
      <c r="A378" s="87" t="s">
        <v>363</v>
      </c>
      <c r="B378" s="260">
        <f>SUM(B376+B377)</f>
        <v>0</v>
      </c>
      <c r="C378" s="214">
        <f t="shared" si="68"/>
        <v>0</v>
      </c>
      <c r="D378" s="133"/>
      <c r="E378" s="134"/>
      <c r="F378" s="135"/>
      <c r="G378" s="136"/>
      <c r="H378" s="683"/>
      <c r="I378" s="676"/>
      <c r="J378" s="534"/>
      <c r="K378" s="96"/>
      <c r="L378" s="104"/>
      <c r="M378" s="75"/>
      <c r="N378" s="75"/>
      <c r="O378" s="75"/>
      <c r="P378" s="75"/>
      <c r="Q378" s="97"/>
      <c r="R378" s="163"/>
      <c r="S378" s="109"/>
      <c r="T378" s="109"/>
      <c r="U378" s="100"/>
      <c r="V378" s="110"/>
      <c r="W378" s="110"/>
      <c r="X378" s="100"/>
      <c r="Y378" s="100"/>
      <c r="Z378" s="100"/>
      <c r="AA378" s="110"/>
      <c r="AB378" s="110"/>
      <c r="AC378" s="100"/>
      <c r="AD378" s="108"/>
      <c r="AE378" s="109"/>
      <c r="AF378" s="109"/>
      <c r="AG378" s="109"/>
      <c r="AH378" s="109"/>
      <c r="AI378" s="109"/>
      <c r="AJ378" s="108"/>
      <c r="AK378" s="100"/>
      <c r="AL378" s="142"/>
      <c r="AM378" s="142"/>
      <c r="AN378" s="100"/>
      <c r="AO378" s="100"/>
      <c r="AP378" s="142"/>
      <c r="AQ378" s="100"/>
      <c r="AR378" s="100"/>
      <c r="AS378" s="142"/>
      <c r="AT378" s="100"/>
      <c r="AU378" s="100"/>
      <c r="AV378" s="100"/>
    </row>
    <row r="379" spans="1:48" ht="16.3">
      <c r="A379" s="87" t="s">
        <v>3</v>
      </c>
      <c r="B379" s="260">
        <f>SUM(L379+M379+N379+O379+P379+U379+X379+Y379+Z379+AC379+AK379+AL379+AK379+AO379+AR379+AS379+AU379+AV379+AW379+AX379)</f>
        <v>0</v>
      </c>
      <c r="C379" s="214">
        <f t="shared" si="68"/>
        <v>0</v>
      </c>
      <c r="D379" s="133"/>
      <c r="E379" s="134"/>
      <c r="F379" s="135"/>
      <c r="G379" s="136"/>
      <c r="H379" s="683"/>
      <c r="I379" s="676"/>
      <c r="J379" s="534"/>
      <c r="K379" s="96"/>
      <c r="L379" s="104"/>
      <c r="M379" s="75"/>
      <c r="N379" s="75"/>
      <c r="O379" s="75"/>
      <c r="P379" s="75"/>
      <c r="Q379" s="97"/>
      <c r="R379" s="163"/>
      <c r="S379" s="109"/>
      <c r="T379" s="109"/>
      <c r="U379" s="100"/>
      <c r="V379" s="110"/>
      <c r="W379" s="110"/>
      <c r="X379" s="100"/>
      <c r="Y379" s="100"/>
      <c r="Z379" s="100"/>
      <c r="AA379" s="110"/>
      <c r="AB379" s="110"/>
      <c r="AC379" s="100"/>
      <c r="AD379" s="108"/>
      <c r="AE379" s="109"/>
      <c r="AF379" s="109"/>
      <c r="AG379" s="109"/>
      <c r="AH379" s="109"/>
      <c r="AI379" s="109"/>
      <c r="AJ379" s="108"/>
      <c r="AK379" s="100"/>
      <c r="AL379" s="142"/>
      <c r="AM379" s="142"/>
      <c r="AN379" s="100"/>
      <c r="AO379" s="100"/>
      <c r="AP379" s="142"/>
      <c r="AQ379" s="100"/>
      <c r="AR379" s="100"/>
      <c r="AS379" s="142"/>
      <c r="AT379" s="100"/>
      <c r="AU379" s="100"/>
      <c r="AV379" s="100"/>
    </row>
    <row r="380" spans="1:48" ht="17" thickBot="1">
      <c r="A380" s="88" t="s">
        <v>4</v>
      </c>
      <c r="B380" s="262">
        <f>SUM(L380+M380+N380+O380+P380+U380+X380+Y380+Z380+AC380+AK380+AL380+AK380+AO380+AR380+AS380+AU380+AV380+AW380+AX380)</f>
        <v>0</v>
      </c>
      <c r="C380" s="217">
        <f t="shared" si="68"/>
        <v>0</v>
      </c>
      <c r="D380" s="144"/>
      <c r="E380" s="145"/>
      <c r="F380" s="146"/>
      <c r="G380" s="147"/>
      <c r="H380" s="684"/>
      <c r="I380" s="677"/>
      <c r="J380" s="535"/>
      <c r="K380" s="114"/>
      <c r="L380" s="113"/>
      <c r="M380" s="112"/>
      <c r="N380" s="112"/>
      <c r="O380" s="112"/>
      <c r="P380" s="112"/>
      <c r="Q380" s="115"/>
      <c r="R380" s="164"/>
      <c r="S380" s="118"/>
      <c r="T380" s="118"/>
      <c r="U380" s="116"/>
      <c r="V380" s="120"/>
      <c r="W380" s="120"/>
      <c r="X380" s="116"/>
      <c r="Y380" s="116"/>
      <c r="Z380" s="116"/>
      <c r="AA380" s="120"/>
      <c r="AB380" s="119"/>
      <c r="AC380" s="100"/>
      <c r="AD380" s="108"/>
      <c r="AE380" s="109"/>
      <c r="AF380" s="109"/>
      <c r="AG380" s="109"/>
      <c r="AH380" s="109"/>
      <c r="AI380" s="109"/>
      <c r="AJ380" s="108"/>
      <c r="AK380" s="100"/>
      <c r="AL380" s="142"/>
      <c r="AM380" s="142"/>
      <c r="AN380" s="100"/>
      <c r="AO380" s="100"/>
      <c r="AP380" s="142"/>
      <c r="AQ380" s="100"/>
      <c r="AR380" s="100"/>
      <c r="AS380" s="142"/>
      <c r="AT380" s="100"/>
      <c r="AU380" s="100"/>
      <c r="AV380" s="100"/>
    </row>
    <row r="381" spans="1:48" ht="21.1">
      <c r="A381" s="82" t="s">
        <v>62</v>
      </c>
      <c r="B381" s="260"/>
      <c r="C381" s="214"/>
      <c r="D381" s="133"/>
      <c r="E381" s="134"/>
      <c r="F381" s="135"/>
      <c r="G381" s="136"/>
      <c r="H381" s="683"/>
      <c r="I381" s="676"/>
      <c r="J381" s="534"/>
      <c r="K381" s="96" t="s">
        <v>443</v>
      </c>
      <c r="L381" s="104"/>
      <c r="M381" s="75"/>
      <c r="N381" s="75">
        <v>4</v>
      </c>
      <c r="O381" s="75" t="s">
        <v>375</v>
      </c>
      <c r="P381" s="75" t="s">
        <v>375</v>
      </c>
      <c r="Q381" s="96" t="s">
        <v>443</v>
      </c>
      <c r="R381" s="163"/>
      <c r="S381" s="96" t="s">
        <v>816</v>
      </c>
      <c r="T381" s="96" t="s">
        <v>595</v>
      </c>
      <c r="U381" s="100"/>
      <c r="V381" s="110"/>
      <c r="W381" s="110" t="s">
        <v>375</v>
      </c>
      <c r="X381" s="100" t="s">
        <v>372</v>
      </c>
      <c r="Y381" s="100"/>
      <c r="Z381" s="100"/>
      <c r="AA381" s="110"/>
      <c r="AB381" s="110"/>
      <c r="AC381" s="102"/>
      <c r="AD381" s="98"/>
      <c r="AE381" s="99"/>
      <c r="AF381" s="99">
        <v>5</v>
      </c>
      <c r="AG381" s="99">
        <v>5</v>
      </c>
      <c r="AH381" s="99"/>
      <c r="AI381" s="99">
        <v>5</v>
      </c>
      <c r="AJ381" s="98"/>
      <c r="AK381" s="102"/>
      <c r="AL381" s="138"/>
      <c r="AM381" s="138"/>
      <c r="AN381" s="102"/>
      <c r="AO381" s="102"/>
      <c r="AP381" s="138"/>
      <c r="AQ381" s="102"/>
      <c r="AR381" s="102"/>
      <c r="AS381" s="138"/>
      <c r="AT381" s="102"/>
      <c r="AU381" s="102"/>
      <c r="AV381" s="102"/>
    </row>
    <row r="382" spans="1:48" ht="16.3">
      <c r="A382" s="246" t="s">
        <v>1</v>
      </c>
      <c r="B382" s="261">
        <f>SUM(L382+M382+N382+O382+P382+U382+X382+Y382+Z382+AC382+AK382+AL382+AK382+AO382+AR382+AS382+AU382+AV382+AW382+AX382+AP382)+13</f>
        <v>15</v>
      </c>
      <c r="C382" s="215">
        <f>B382</f>
        <v>15</v>
      </c>
      <c r="D382" s="133"/>
      <c r="E382" s="134"/>
      <c r="F382" s="135"/>
      <c r="G382" s="136"/>
      <c r="H382" s="683"/>
      <c r="I382" s="676"/>
      <c r="J382" s="534"/>
      <c r="K382" s="96">
        <v>1</v>
      </c>
      <c r="L382" s="104"/>
      <c r="M382" s="75"/>
      <c r="N382" s="75">
        <v>1</v>
      </c>
      <c r="O382" s="75"/>
      <c r="P382" s="75"/>
      <c r="Q382" s="96">
        <v>1</v>
      </c>
      <c r="R382" s="163"/>
      <c r="S382" s="96"/>
      <c r="T382" s="96">
        <v>1</v>
      </c>
      <c r="U382" s="100"/>
      <c r="V382" s="110"/>
      <c r="W382" s="110"/>
      <c r="X382" s="100">
        <v>1</v>
      </c>
      <c r="Y382" s="100"/>
      <c r="Z382" s="100"/>
      <c r="AA382" s="110"/>
      <c r="AB382" s="110"/>
      <c r="AC382" s="100"/>
      <c r="AD382" s="108"/>
      <c r="AE382" s="109"/>
      <c r="AF382" s="109">
        <v>1</v>
      </c>
      <c r="AG382" s="109">
        <v>1</v>
      </c>
      <c r="AH382" s="109"/>
      <c r="AI382" s="109">
        <v>1</v>
      </c>
      <c r="AJ382" s="108"/>
      <c r="AK382" s="100"/>
      <c r="AL382" s="142"/>
      <c r="AM382" s="142"/>
      <c r="AN382" s="100"/>
      <c r="AO382" s="100"/>
      <c r="AP382" s="142"/>
      <c r="AQ382" s="100"/>
      <c r="AR382" s="100"/>
      <c r="AS382" s="142"/>
      <c r="AT382" s="100"/>
      <c r="AU382" s="100"/>
      <c r="AV382" s="100"/>
    </row>
    <row r="383" spans="1:48" ht="16.3">
      <c r="A383" s="246" t="s">
        <v>2</v>
      </c>
      <c r="B383" s="261">
        <f>SUM(L383+M383+N383+O383+P383+U383+X383+Y383+Z383+AC383+AK383+AL383+AK383+AO383+AR383+AS383+AU383+AV383+AW383+AX383)+13</f>
        <v>15</v>
      </c>
      <c r="C383" s="215">
        <f t="shared" ref="C383:C387" si="69">B383</f>
        <v>15</v>
      </c>
      <c r="D383" s="133"/>
      <c r="E383" s="134"/>
      <c r="F383" s="135"/>
      <c r="G383" s="136"/>
      <c r="H383" s="683"/>
      <c r="I383" s="676"/>
      <c r="J383" s="534"/>
      <c r="K383" s="96"/>
      <c r="L383" s="104"/>
      <c r="M383" s="75"/>
      <c r="N383" s="75"/>
      <c r="O383" s="75">
        <v>1</v>
      </c>
      <c r="P383" s="75">
        <v>1</v>
      </c>
      <c r="Q383" s="97"/>
      <c r="R383" s="163"/>
      <c r="S383" s="109"/>
      <c r="T383" s="109"/>
      <c r="U383" s="100"/>
      <c r="V383" s="110"/>
      <c r="W383" s="110">
        <v>1</v>
      </c>
      <c r="X383" s="100"/>
      <c r="Y383" s="100"/>
      <c r="Z383" s="100"/>
      <c r="AA383" s="110"/>
      <c r="AB383" s="110"/>
      <c r="AC383" s="100"/>
      <c r="AD383" s="108"/>
      <c r="AE383" s="109"/>
      <c r="AF383" s="109"/>
      <c r="AG383" s="109"/>
      <c r="AH383" s="109"/>
      <c r="AI383" s="109"/>
      <c r="AJ383" s="108"/>
      <c r="AK383" s="100"/>
      <c r="AL383" s="142"/>
      <c r="AM383" s="142"/>
      <c r="AN383" s="100"/>
      <c r="AO383" s="100"/>
      <c r="AP383" s="142"/>
      <c r="AQ383" s="100"/>
      <c r="AR383" s="100"/>
      <c r="AS383" s="142"/>
      <c r="AT383" s="100"/>
      <c r="AU383" s="100"/>
      <c r="AV383" s="100"/>
    </row>
    <row r="384" spans="1:48" ht="16.3">
      <c r="A384" s="87" t="s">
        <v>363</v>
      </c>
      <c r="B384" s="260">
        <f>SUM(B382+B383)</f>
        <v>30</v>
      </c>
      <c r="C384" s="214">
        <f t="shared" si="69"/>
        <v>30</v>
      </c>
      <c r="D384" s="133"/>
      <c r="E384" s="134"/>
      <c r="F384" s="135"/>
      <c r="G384" s="136"/>
      <c r="H384" s="683"/>
      <c r="I384" s="676"/>
      <c r="J384" s="534"/>
      <c r="K384" s="96"/>
      <c r="L384" s="104"/>
      <c r="M384" s="75"/>
      <c r="N384" s="75"/>
      <c r="O384" s="75"/>
      <c r="P384" s="75"/>
      <c r="Q384" s="97"/>
      <c r="R384" s="163"/>
      <c r="S384" s="109"/>
      <c r="T384" s="109"/>
      <c r="U384" s="100"/>
      <c r="V384" s="110"/>
      <c r="W384" s="110"/>
      <c r="X384" s="100"/>
      <c r="Y384" s="100"/>
      <c r="Z384" s="100"/>
      <c r="AA384" s="110"/>
      <c r="AB384" s="110"/>
      <c r="AC384" s="100"/>
      <c r="AD384" s="108"/>
      <c r="AE384" s="109"/>
      <c r="AF384" s="109"/>
      <c r="AG384" s="109"/>
      <c r="AH384" s="109"/>
      <c r="AI384" s="109"/>
      <c r="AJ384" s="108"/>
      <c r="AK384" s="100"/>
      <c r="AL384" s="142"/>
      <c r="AM384" s="142"/>
      <c r="AN384" s="100"/>
      <c r="AO384" s="100"/>
      <c r="AP384" s="142"/>
      <c r="AQ384" s="100"/>
      <c r="AR384" s="100"/>
      <c r="AS384" s="142"/>
      <c r="AT384" s="100"/>
      <c r="AU384" s="100"/>
      <c r="AV384" s="100"/>
    </row>
    <row r="385" spans="1:48" ht="16.3">
      <c r="A385" s="246" t="s">
        <v>366</v>
      </c>
      <c r="B385" s="261">
        <f>SUM(L385+M385+N385+O385+P385+U385+X385+Y385+Z385+AC385+AK385+AL385+AK385+AO385+AR385+AS385+AU385+AV385+AW385+AX385)+3</f>
        <v>3</v>
      </c>
      <c r="C385" s="215">
        <f t="shared" si="69"/>
        <v>3</v>
      </c>
      <c r="D385" s="133"/>
      <c r="E385" s="134"/>
      <c r="F385" s="135"/>
      <c r="G385" s="136"/>
      <c r="H385" s="683"/>
      <c r="I385" s="676"/>
      <c r="J385" s="534"/>
      <c r="K385" s="96"/>
      <c r="L385" s="104"/>
      <c r="M385" s="75"/>
      <c r="N385" s="75"/>
      <c r="O385" s="75"/>
      <c r="P385" s="75"/>
      <c r="Q385" s="97"/>
      <c r="R385" s="163"/>
      <c r="S385" s="109"/>
      <c r="T385" s="109"/>
      <c r="U385" s="100"/>
      <c r="V385" s="110"/>
      <c r="W385" s="110"/>
      <c r="X385" s="100"/>
      <c r="Y385" s="100"/>
      <c r="Z385" s="100"/>
      <c r="AA385" s="110"/>
      <c r="AB385" s="110"/>
      <c r="AC385" s="100"/>
      <c r="AD385" s="108"/>
      <c r="AE385" s="109"/>
      <c r="AF385" s="109"/>
      <c r="AG385" s="109"/>
      <c r="AH385" s="109"/>
      <c r="AI385" s="109"/>
      <c r="AJ385" s="108"/>
      <c r="AK385" s="100"/>
      <c r="AL385" s="142"/>
      <c r="AM385" s="142"/>
      <c r="AN385" s="100"/>
      <c r="AO385" s="100"/>
      <c r="AP385" s="142"/>
      <c r="AQ385" s="100"/>
      <c r="AR385" s="100"/>
      <c r="AS385" s="142"/>
      <c r="AT385" s="100"/>
      <c r="AU385" s="100"/>
      <c r="AV385" s="100"/>
    </row>
    <row r="386" spans="1:48" ht="16.3">
      <c r="A386" s="87" t="s">
        <v>3</v>
      </c>
      <c r="B386" s="260">
        <f>SUM(L386+M386+N386+O386+P386+U386+X386+Y386+Z386+AC386+AK386+AL386+AK386+AO386+AR386+AS386+AU386+AV386+AW386+AX386)+3</f>
        <v>5</v>
      </c>
      <c r="C386" s="214">
        <f t="shared" si="69"/>
        <v>5</v>
      </c>
      <c r="D386" s="133"/>
      <c r="E386" s="134"/>
      <c r="F386" s="135"/>
      <c r="G386" s="136"/>
      <c r="H386" s="683"/>
      <c r="I386" s="676"/>
      <c r="J386" s="534"/>
      <c r="K386" s="96"/>
      <c r="L386" s="104"/>
      <c r="M386" s="75"/>
      <c r="N386" s="75">
        <v>2</v>
      </c>
      <c r="O386" s="75"/>
      <c r="P386" s="75"/>
      <c r="Q386" s="97"/>
      <c r="R386" s="163"/>
      <c r="S386" s="109"/>
      <c r="T386" s="109"/>
      <c r="U386" s="100"/>
      <c r="V386" s="110"/>
      <c r="W386" s="110"/>
      <c r="X386" s="100"/>
      <c r="Y386" s="100"/>
      <c r="Z386" s="100"/>
      <c r="AA386" s="110"/>
      <c r="AB386" s="110"/>
      <c r="AC386" s="100"/>
      <c r="AD386" s="108"/>
      <c r="AE386" s="109"/>
      <c r="AF386" s="109"/>
      <c r="AG386" s="109"/>
      <c r="AH386" s="109"/>
      <c r="AI386" s="109"/>
      <c r="AJ386" s="108"/>
      <c r="AK386" s="100"/>
      <c r="AL386" s="142"/>
      <c r="AM386" s="142"/>
      <c r="AN386" s="100"/>
      <c r="AO386" s="100"/>
      <c r="AP386" s="142"/>
      <c r="AQ386" s="100"/>
      <c r="AR386" s="100"/>
      <c r="AS386" s="142"/>
      <c r="AT386" s="100"/>
      <c r="AU386" s="100"/>
      <c r="AV386" s="100"/>
    </row>
    <row r="387" spans="1:48" ht="17" thickBot="1">
      <c r="A387" s="88" t="s">
        <v>4</v>
      </c>
      <c r="B387" s="262">
        <f>SUM(L387+M387+N387+O387+P387+U387+X387+Y387+Z387+AC387+AK387+AL387+AK387+AO387+AR387+AS387+AU387+AV387+AW387+AX387)+15</f>
        <v>25</v>
      </c>
      <c r="C387" s="217">
        <f t="shared" si="69"/>
        <v>25</v>
      </c>
      <c r="D387" s="144"/>
      <c r="E387" s="145"/>
      <c r="F387" s="146"/>
      <c r="G387" s="147"/>
      <c r="H387" s="684"/>
      <c r="I387" s="677"/>
      <c r="J387" s="535"/>
      <c r="K387" s="114"/>
      <c r="L387" s="113"/>
      <c r="M387" s="112"/>
      <c r="N387" s="112">
        <v>10</v>
      </c>
      <c r="O387" s="112"/>
      <c r="P387" s="112"/>
      <c r="Q387" s="115"/>
      <c r="R387" s="164"/>
      <c r="S387" s="118"/>
      <c r="T387" s="114"/>
      <c r="U387" s="116"/>
      <c r="V387" s="120"/>
      <c r="W387" s="120"/>
      <c r="X387" s="116"/>
      <c r="Y387" s="116"/>
      <c r="Z387" s="116"/>
      <c r="AA387" s="120"/>
      <c r="AB387" s="120"/>
      <c r="AC387" s="116"/>
      <c r="AD387" s="117"/>
      <c r="AE387" s="118"/>
      <c r="AF387" s="118"/>
      <c r="AG387" s="118"/>
      <c r="AH387" s="118"/>
      <c r="AI387" s="118"/>
      <c r="AJ387" s="117"/>
      <c r="AK387" s="116"/>
      <c r="AL387" s="149"/>
      <c r="AM387" s="149"/>
      <c r="AN387" s="116"/>
      <c r="AO387" s="116"/>
      <c r="AP387" s="149"/>
      <c r="AQ387" s="116"/>
      <c r="AR387" s="116"/>
      <c r="AS387" s="149"/>
      <c r="AT387" s="116"/>
      <c r="AU387" s="116"/>
      <c r="AV387" s="116"/>
    </row>
    <row r="388" spans="1:48" ht="21.1">
      <c r="A388" s="82" t="s">
        <v>60</v>
      </c>
      <c r="B388" s="260"/>
      <c r="C388" s="214"/>
      <c r="D388" s="133"/>
      <c r="E388" s="134"/>
      <c r="F388" s="135"/>
      <c r="G388" s="136"/>
      <c r="H388" s="683"/>
      <c r="I388" s="676"/>
      <c r="J388" s="534"/>
      <c r="K388" s="96"/>
      <c r="L388" s="104" t="s">
        <v>382</v>
      </c>
      <c r="M388" s="75"/>
      <c r="N388" s="75" t="s">
        <v>374</v>
      </c>
      <c r="O388" s="75"/>
      <c r="P388" s="75">
        <v>6</v>
      </c>
      <c r="Q388" s="97"/>
      <c r="R388" s="163"/>
      <c r="S388" s="109" t="s">
        <v>783</v>
      </c>
      <c r="T388" s="109" t="s">
        <v>783</v>
      </c>
      <c r="U388" s="100" t="s">
        <v>844</v>
      </c>
      <c r="V388" s="110" t="s">
        <v>382</v>
      </c>
      <c r="W388" s="110"/>
      <c r="X388" s="100" t="s">
        <v>382</v>
      </c>
      <c r="Y388" s="100" t="s">
        <v>382</v>
      </c>
      <c r="Z388" s="100"/>
      <c r="AA388" s="110" t="s">
        <v>375</v>
      </c>
      <c r="AB388" s="110"/>
      <c r="AC388" s="100" t="s">
        <v>844</v>
      </c>
      <c r="AD388" s="108"/>
      <c r="AE388" s="109" t="s">
        <v>783</v>
      </c>
      <c r="AF388" s="109" t="s">
        <v>783</v>
      </c>
      <c r="AG388" s="109" t="s">
        <v>783</v>
      </c>
      <c r="AH388" s="109"/>
      <c r="AI388" s="109" t="s">
        <v>783</v>
      </c>
      <c r="AJ388" s="108"/>
      <c r="AK388" s="100"/>
      <c r="AL388" s="142"/>
      <c r="AM388" s="142"/>
      <c r="AN388" s="100"/>
      <c r="AO388" s="100"/>
      <c r="AP388" s="142"/>
      <c r="AQ388" s="100"/>
      <c r="AR388" s="100"/>
      <c r="AS388" s="142"/>
      <c r="AT388" s="100"/>
      <c r="AU388" s="100"/>
      <c r="AV388" s="100"/>
    </row>
    <row r="389" spans="1:48" ht="16.3">
      <c r="A389" s="246" t="s">
        <v>1</v>
      </c>
      <c r="B389" s="261">
        <f>SUM(L389+M389+N389+O389+P389+U389+X389+Y389+Z389+AC389+AK389+AL389+AK389+AO389+AR389+AS389+AU389+AV389+AW389+AX389+AP389)+54</f>
        <v>61</v>
      </c>
      <c r="C389" s="215">
        <f>B389</f>
        <v>61</v>
      </c>
      <c r="D389" s="133"/>
      <c r="E389" s="134"/>
      <c r="F389" s="135"/>
      <c r="G389" s="136"/>
      <c r="H389" s="683"/>
      <c r="I389" s="676"/>
      <c r="J389" s="534"/>
      <c r="K389" s="96"/>
      <c r="L389" s="104">
        <v>1</v>
      </c>
      <c r="M389" s="75"/>
      <c r="N389" s="75">
        <v>1</v>
      </c>
      <c r="O389" s="75"/>
      <c r="P389" s="75">
        <v>1</v>
      </c>
      <c r="Q389" s="97"/>
      <c r="R389" s="163"/>
      <c r="S389" s="109"/>
      <c r="T389" s="109"/>
      <c r="U389" s="100">
        <v>1</v>
      </c>
      <c r="V389" s="110">
        <v>1</v>
      </c>
      <c r="W389" s="110"/>
      <c r="X389" s="100">
        <v>1</v>
      </c>
      <c r="Y389" s="100">
        <v>1</v>
      </c>
      <c r="Z389" s="100"/>
      <c r="AA389" s="110"/>
      <c r="AB389" s="110"/>
      <c r="AC389" s="100">
        <v>1</v>
      </c>
      <c r="AD389" s="108"/>
      <c r="AE389" s="109"/>
      <c r="AF389" s="109"/>
      <c r="AG389" s="109"/>
      <c r="AH389" s="109"/>
      <c r="AI389" s="109"/>
      <c r="AJ389" s="108"/>
      <c r="AK389" s="100"/>
      <c r="AL389" s="142"/>
      <c r="AM389" s="142"/>
      <c r="AN389" s="100"/>
      <c r="AO389" s="100"/>
      <c r="AP389" s="142"/>
      <c r="AQ389" s="100"/>
      <c r="AR389" s="100"/>
      <c r="AS389" s="142"/>
      <c r="AT389" s="100"/>
      <c r="AU389" s="100"/>
      <c r="AV389" s="100"/>
    </row>
    <row r="390" spans="1:48" ht="16.3">
      <c r="A390" s="246" t="s">
        <v>2</v>
      </c>
      <c r="B390" s="261">
        <f>SUM(L390+M390+N390+O390+P390+U390+X390+Y390+Z390+AC390+AK390+AL390+AK390+AO390+AR390+AS390+AU390+AV390+AW390+AX390)+41</f>
        <v>41</v>
      </c>
      <c r="C390" s="215">
        <f t="shared" ref="C390:C393" si="70">B390</f>
        <v>41</v>
      </c>
      <c r="D390" s="133"/>
      <c r="E390" s="134"/>
      <c r="F390" s="135"/>
      <c r="G390" s="136"/>
      <c r="H390" s="683"/>
      <c r="I390" s="676"/>
      <c r="J390" s="534"/>
      <c r="K390" s="96"/>
      <c r="L390" s="104"/>
      <c r="M390" s="75"/>
      <c r="N390" s="75"/>
      <c r="O390" s="75"/>
      <c r="P390" s="75"/>
      <c r="Q390" s="97"/>
      <c r="R390" s="163"/>
      <c r="S390" s="109"/>
      <c r="T390" s="109"/>
      <c r="U390" s="100"/>
      <c r="V390" s="110"/>
      <c r="W390" s="110"/>
      <c r="X390" s="100"/>
      <c r="Y390" s="100"/>
      <c r="Z390" s="100"/>
      <c r="AA390" s="110">
        <v>1</v>
      </c>
      <c r="AB390" s="110"/>
      <c r="AC390" s="100"/>
      <c r="AD390" s="108"/>
      <c r="AE390" s="109"/>
      <c r="AF390" s="109"/>
      <c r="AG390" s="109"/>
      <c r="AH390" s="109"/>
      <c r="AI390" s="109"/>
      <c r="AJ390" s="108"/>
      <c r="AK390" s="100"/>
      <c r="AL390" s="142"/>
      <c r="AM390" s="142"/>
      <c r="AN390" s="100"/>
      <c r="AO390" s="100"/>
      <c r="AP390" s="142"/>
      <c r="AQ390" s="100"/>
      <c r="AR390" s="100"/>
      <c r="AS390" s="142"/>
      <c r="AT390" s="100"/>
      <c r="AU390" s="100"/>
      <c r="AV390" s="100"/>
    </row>
    <row r="391" spans="1:48" ht="16.3">
      <c r="A391" s="87" t="s">
        <v>363</v>
      </c>
      <c r="B391" s="260">
        <f>SUM(B389+B390)</f>
        <v>102</v>
      </c>
      <c r="C391" s="214">
        <f t="shared" si="70"/>
        <v>102</v>
      </c>
      <c r="D391" s="133"/>
      <c r="E391" s="134"/>
      <c r="F391" s="135"/>
      <c r="G391" s="136"/>
      <c r="H391" s="683"/>
      <c r="I391" s="676"/>
      <c r="J391" s="534"/>
      <c r="K391" s="96"/>
      <c r="L391" s="104"/>
      <c r="M391" s="75"/>
      <c r="N391" s="75"/>
      <c r="O391" s="75"/>
      <c r="P391" s="75"/>
      <c r="Q391" s="97"/>
      <c r="R391" s="163"/>
      <c r="S391" s="109"/>
      <c r="T391" s="109"/>
      <c r="U391" s="100"/>
      <c r="V391" s="110"/>
      <c r="W391" s="110"/>
      <c r="X391" s="100"/>
      <c r="Y391" s="100"/>
      <c r="Z391" s="100"/>
      <c r="AA391" s="110"/>
      <c r="AB391" s="110"/>
      <c r="AC391" s="100"/>
      <c r="AD391" s="108"/>
      <c r="AE391" s="109"/>
      <c r="AF391" s="109"/>
      <c r="AG391" s="109"/>
      <c r="AH391" s="109"/>
      <c r="AI391" s="109"/>
      <c r="AJ391" s="108"/>
      <c r="AK391" s="100"/>
      <c r="AL391" s="142"/>
      <c r="AM391" s="142"/>
      <c r="AN391" s="100"/>
      <c r="AO391" s="100"/>
      <c r="AP391" s="142"/>
      <c r="AQ391" s="100"/>
      <c r="AR391" s="100"/>
      <c r="AS391" s="142"/>
      <c r="AT391" s="100"/>
      <c r="AU391" s="100"/>
      <c r="AV391" s="100"/>
    </row>
    <row r="392" spans="1:48" ht="16.3">
      <c r="A392" s="246" t="s">
        <v>366</v>
      </c>
      <c r="B392" s="261">
        <f>SUM(L392+M392+N392+O392+P392+U392+X392+Y392+Z392+AC392+AK392+AL392+AK392+AO392+AR392+AS392+AU392+AV392+AW392+AX392)+3</f>
        <v>3</v>
      </c>
      <c r="C392" s="215">
        <f t="shared" ref="C392" si="71">B392</f>
        <v>3</v>
      </c>
      <c r="D392" s="133"/>
      <c r="E392" s="134"/>
      <c r="F392" s="135"/>
      <c r="G392" s="136"/>
      <c r="H392" s="683"/>
      <c r="I392" s="676"/>
      <c r="J392" s="534"/>
      <c r="K392" s="96"/>
      <c r="L392" s="104"/>
      <c r="M392" s="75"/>
      <c r="N392" s="75"/>
      <c r="O392" s="75"/>
      <c r="P392" s="75"/>
      <c r="Q392" s="97"/>
      <c r="R392" s="163"/>
      <c r="S392" s="109"/>
      <c r="T392" s="109"/>
      <c r="U392" s="100"/>
      <c r="V392" s="110"/>
      <c r="W392" s="110"/>
      <c r="X392" s="100"/>
      <c r="Y392" s="100"/>
      <c r="Z392" s="100"/>
      <c r="AA392" s="110"/>
      <c r="AB392" s="110"/>
      <c r="AC392" s="100"/>
      <c r="AD392" s="108"/>
      <c r="AE392" s="109"/>
      <c r="AF392" s="109"/>
      <c r="AG392" s="109"/>
      <c r="AH392" s="109"/>
      <c r="AI392" s="109"/>
      <c r="AJ392" s="108"/>
      <c r="AK392" s="100"/>
      <c r="AL392" s="142"/>
      <c r="AM392" s="142"/>
      <c r="AN392" s="100"/>
      <c r="AO392" s="100"/>
      <c r="AP392" s="142"/>
      <c r="AQ392" s="100"/>
      <c r="AR392" s="100"/>
      <c r="AS392" s="142"/>
      <c r="AT392" s="100"/>
      <c r="AU392" s="100"/>
      <c r="AV392" s="100"/>
    </row>
    <row r="393" spans="1:48" ht="16.3">
      <c r="A393" s="246" t="s">
        <v>362</v>
      </c>
      <c r="B393" s="261">
        <f>SUM(L393+M393+N393+O393+P393+U393+X393+Y393+Z393+AC393+AK393+AL393+AK393+AO393+AR393+AS393+AU393+AV393+AW393+AX393)+9</f>
        <v>9</v>
      </c>
      <c r="C393" s="215">
        <f t="shared" si="70"/>
        <v>9</v>
      </c>
      <c r="D393" s="133"/>
      <c r="E393" s="134"/>
      <c r="F393" s="135"/>
      <c r="G393" s="136"/>
      <c r="H393" s="683"/>
      <c r="I393" s="676"/>
      <c r="J393" s="534"/>
      <c r="K393" s="96"/>
      <c r="L393" s="104"/>
      <c r="M393" s="75"/>
      <c r="N393" s="75"/>
      <c r="O393" s="75"/>
      <c r="P393" s="75"/>
      <c r="Q393" s="97"/>
      <c r="R393" s="163"/>
      <c r="S393" s="109"/>
      <c r="T393" s="109"/>
      <c r="U393" s="100"/>
      <c r="V393" s="110"/>
      <c r="W393" s="110"/>
      <c r="X393" s="100"/>
      <c r="Y393" s="100"/>
      <c r="Z393" s="100"/>
      <c r="AA393" s="110"/>
      <c r="AB393" s="110"/>
      <c r="AC393" s="100"/>
      <c r="AD393" s="108"/>
      <c r="AE393" s="109"/>
      <c r="AF393" s="109"/>
      <c r="AG393" s="109"/>
      <c r="AH393" s="109"/>
      <c r="AI393" s="109"/>
      <c r="AJ393" s="108"/>
      <c r="AK393" s="100"/>
      <c r="AL393" s="142"/>
      <c r="AM393" s="142"/>
      <c r="AN393" s="100"/>
      <c r="AO393" s="100"/>
      <c r="AP393" s="142"/>
      <c r="AQ393" s="100"/>
      <c r="AR393" s="100"/>
      <c r="AS393" s="142"/>
      <c r="AT393" s="100"/>
      <c r="AU393" s="100"/>
      <c r="AV393" s="100"/>
    </row>
    <row r="394" spans="1:48" ht="16.3">
      <c r="A394" s="87" t="s">
        <v>3</v>
      </c>
      <c r="B394" s="260">
        <f>SUM(L394+M394+N394+O394+P394+U394+X394+Y394+Z394+AC394+AK394+AL394+AK394+AO394+AR394+AS394+AU394+AV394+AW394+AX394)+11</f>
        <v>11</v>
      </c>
      <c r="C394" s="214">
        <f t="shared" ref="C394:C395" si="72">B394</f>
        <v>11</v>
      </c>
      <c r="D394" s="133"/>
      <c r="E394" s="134"/>
      <c r="F394" s="135"/>
      <c r="G394" s="136"/>
      <c r="H394" s="683"/>
      <c r="I394" s="676"/>
      <c r="J394" s="534"/>
      <c r="K394" s="96"/>
      <c r="L394" s="104"/>
      <c r="M394" s="75"/>
      <c r="N394" s="75"/>
      <c r="O394" s="75"/>
      <c r="P394" s="75"/>
      <c r="Q394" s="97"/>
      <c r="R394" s="163"/>
      <c r="S394" s="109"/>
      <c r="T394" s="109"/>
      <c r="U394" s="100"/>
      <c r="V394" s="110"/>
      <c r="W394" s="110"/>
      <c r="X394" s="100"/>
      <c r="Y394" s="100"/>
      <c r="Z394" s="100"/>
      <c r="AA394" s="110"/>
      <c r="AB394" s="110"/>
      <c r="AC394" s="100"/>
      <c r="AD394" s="108"/>
      <c r="AE394" s="109"/>
      <c r="AF394" s="109"/>
      <c r="AG394" s="109"/>
      <c r="AH394" s="109"/>
      <c r="AI394" s="109"/>
      <c r="AJ394" s="108"/>
      <c r="AK394" s="100"/>
      <c r="AL394" s="142"/>
      <c r="AM394" s="142"/>
      <c r="AN394" s="100"/>
      <c r="AO394" s="100"/>
      <c r="AP394" s="142"/>
      <c r="AQ394" s="100"/>
      <c r="AR394" s="100"/>
      <c r="AS394" s="142"/>
      <c r="AT394" s="100"/>
      <c r="AU394" s="100"/>
      <c r="AV394" s="100"/>
    </row>
    <row r="395" spans="1:48" ht="17" thickBot="1">
      <c r="A395" s="88" t="s">
        <v>4</v>
      </c>
      <c r="B395" s="262">
        <f>SUM(L395+M395+N395+O395+P395+U395+X395+Y395+Z395+AC395+AK395+AL395+AK395+AO395+AR395+AS395+AU395+AV395+AW395+AX395)+55</f>
        <v>55</v>
      </c>
      <c r="C395" s="217">
        <f t="shared" si="72"/>
        <v>55</v>
      </c>
      <c r="D395" s="144"/>
      <c r="E395" s="145"/>
      <c r="F395" s="146"/>
      <c r="G395" s="147"/>
      <c r="H395" s="684"/>
      <c r="I395" s="677"/>
      <c r="J395" s="535"/>
      <c r="K395" s="114"/>
      <c r="L395" s="113"/>
      <c r="M395" s="112"/>
      <c r="N395" s="112"/>
      <c r="O395" s="112"/>
      <c r="P395" s="112"/>
      <c r="Q395" s="115"/>
      <c r="R395" s="164"/>
      <c r="S395" s="118"/>
      <c r="T395" s="114"/>
      <c r="U395" s="100"/>
      <c r="V395" s="110"/>
      <c r="W395" s="110"/>
      <c r="X395" s="100"/>
      <c r="Y395" s="100"/>
      <c r="Z395" s="100"/>
      <c r="AA395" s="110"/>
      <c r="AB395" s="110"/>
      <c r="AC395" s="100"/>
      <c r="AD395" s="108"/>
      <c r="AE395" s="109"/>
      <c r="AF395" s="109"/>
      <c r="AG395" s="109"/>
      <c r="AH395" s="109"/>
      <c r="AI395" s="109"/>
      <c r="AJ395" s="108"/>
      <c r="AK395" s="100"/>
      <c r="AL395" s="142"/>
      <c r="AM395" s="142"/>
      <c r="AN395" s="100"/>
      <c r="AO395" s="100"/>
      <c r="AP395" s="142"/>
      <c r="AQ395" s="100"/>
      <c r="AR395" s="100"/>
      <c r="AS395" s="142"/>
      <c r="AT395" s="100"/>
      <c r="AU395" s="100"/>
      <c r="AV395" s="100"/>
    </row>
    <row r="396" spans="1:48" ht="21.1">
      <c r="A396" s="82" t="s">
        <v>112</v>
      </c>
      <c r="B396" s="260"/>
      <c r="C396" s="214"/>
      <c r="D396" s="133"/>
      <c r="E396" s="134"/>
      <c r="F396" s="135"/>
      <c r="G396" s="136"/>
      <c r="H396" s="683"/>
      <c r="I396" s="676"/>
      <c r="J396" s="534"/>
      <c r="K396" s="96"/>
      <c r="L396" s="104">
        <v>8</v>
      </c>
      <c r="M396" s="75" t="s">
        <v>374</v>
      </c>
      <c r="N396" s="75" t="s">
        <v>375</v>
      </c>
      <c r="O396" s="75" t="s">
        <v>375</v>
      </c>
      <c r="P396" s="75" t="s">
        <v>374</v>
      </c>
      <c r="Q396" s="97"/>
      <c r="R396" s="163"/>
      <c r="S396" s="109"/>
      <c r="T396" s="109" t="s">
        <v>373</v>
      </c>
      <c r="U396" s="102">
        <v>7</v>
      </c>
      <c r="V396" s="101" t="s">
        <v>374</v>
      </c>
      <c r="W396" s="101" t="s">
        <v>375</v>
      </c>
      <c r="X396" s="102" t="s">
        <v>721</v>
      </c>
      <c r="Y396" s="102" t="s">
        <v>374</v>
      </c>
      <c r="Z396" s="102"/>
      <c r="AA396" s="101" t="s">
        <v>373</v>
      </c>
      <c r="AB396" s="101" t="s">
        <v>375</v>
      </c>
      <c r="AC396" s="102"/>
      <c r="AD396" s="98"/>
      <c r="AE396" s="99"/>
      <c r="AF396" s="99"/>
      <c r="AG396" s="99"/>
      <c r="AH396" s="99">
        <v>8</v>
      </c>
      <c r="AI396" s="99"/>
      <c r="AJ396" s="98"/>
      <c r="AK396" s="102"/>
      <c r="AL396" s="138"/>
      <c r="AM396" s="138"/>
      <c r="AN396" s="102"/>
      <c r="AO396" s="102"/>
      <c r="AP396" s="138"/>
      <c r="AQ396" s="102"/>
      <c r="AR396" s="102"/>
      <c r="AS396" s="138"/>
      <c r="AT396" s="102"/>
      <c r="AU396" s="102"/>
      <c r="AV396" s="102"/>
    </row>
    <row r="397" spans="1:48" ht="16.3">
      <c r="A397" s="246" t="s">
        <v>1</v>
      </c>
      <c r="B397" s="261">
        <f>SUM(L397+M397+N397+O397+P397+U397+X397+Y397+Z397+AC397+AK397+AL397+AK397+AO397+AR397+AS397+AU397+AV397+AW397+AX397+AP397)+61</f>
        <v>67</v>
      </c>
      <c r="C397" s="215">
        <f>B397</f>
        <v>67</v>
      </c>
      <c r="D397" s="139"/>
      <c r="E397" s="140"/>
      <c r="F397" s="135"/>
      <c r="G397" s="136"/>
      <c r="H397" s="683"/>
      <c r="I397" s="676"/>
      <c r="J397" s="534"/>
      <c r="K397" s="96"/>
      <c r="L397" s="104">
        <v>1</v>
      </c>
      <c r="M397" s="75">
        <v>1</v>
      </c>
      <c r="N397" s="75"/>
      <c r="O397" s="75"/>
      <c r="P397" s="75">
        <v>1</v>
      </c>
      <c r="Q397" s="97"/>
      <c r="R397" s="163"/>
      <c r="S397" s="109"/>
      <c r="T397" s="109">
        <v>1</v>
      </c>
      <c r="U397" s="100">
        <v>1</v>
      </c>
      <c r="V397" s="110">
        <v>1</v>
      </c>
      <c r="W397" s="110"/>
      <c r="X397" s="100">
        <v>1</v>
      </c>
      <c r="Y397" s="100">
        <v>1</v>
      </c>
      <c r="Z397" s="100"/>
      <c r="AA397" s="110">
        <v>1</v>
      </c>
      <c r="AB397" s="110"/>
      <c r="AC397" s="100"/>
      <c r="AD397" s="108"/>
      <c r="AE397" s="109"/>
      <c r="AF397" s="109"/>
      <c r="AG397" s="109"/>
      <c r="AH397" s="109">
        <v>1</v>
      </c>
      <c r="AI397" s="109"/>
      <c r="AJ397" s="108"/>
      <c r="AK397" s="100"/>
      <c r="AL397" s="142"/>
      <c r="AM397" s="142"/>
      <c r="AN397" s="100"/>
      <c r="AO397" s="100"/>
      <c r="AP397" s="142"/>
      <c r="AQ397" s="100"/>
      <c r="AR397" s="100"/>
      <c r="AS397" s="142"/>
      <c r="AT397" s="100"/>
      <c r="AU397" s="100"/>
      <c r="AV397" s="100"/>
    </row>
    <row r="398" spans="1:48" ht="16.3">
      <c r="A398" s="246" t="s">
        <v>2</v>
      </c>
      <c r="B398" s="261">
        <f>SUM(L398+M398+N398+O398+P398+U398+X398+Y398+Z398+AC398+AK398+AL398+AK398+AO398+AR398+AS398+AU398+AV398+AW398+AX398)+31</f>
        <v>33</v>
      </c>
      <c r="C398" s="215">
        <f t="shared" ref="C398:C403" si="73">B398</f>
        <v>33</v>
      </c>
      <c r="D398" s="139"/>
      <c r="E398" s="140"/>
      <c r="F398" s="135"/>
      <c r="G398" s="136"/>
      <c r="H398" s="683"/>
      <c r="I398" s="676"/>
      <c r="J398" s="534"/>
      <c r="K398" s="96"/>
      <c r="L398" s="104"/>
      <c r="M398" s="75"/>
      <c r="N398" s="75">
        <v>1</v>
      </c>
      <c r="O398" s="75">
        <v>1</v>
      </c>
      <c r="P398" s="75"/>
      <c r="Q398" s="97"/>
      <c r="R398" s="163"/>
      <c r="S398" s="109"/>
      <c r="T398" s="109"/>
      <c r="U398" s="100"/>
      <c r="V398" s="110"/>
      <c r="W398" s="110">
        <v>1</v>
      </c>
      <c r="X398" s="100"/>
      <c r="Y398" s="100"/>
      <c r="Z398" s="100"/>
      <c r="AA398" s="110"/>
      <c r="AB398" s="110">
        <v>1</v>
      </c>
      <c r="AC398" s="100"/>
      <c r="AD398" s="108"/>
      <c r="AE398" s="109"/>
      <c r="AF398" s="109"/>
      <c r="AG398" s="109"/>
      <c r="AH398" s="109"/>
      <c r="AI398" s="109"/>
      <c r="AJ398" s="108"/>
      <c r="AK398" s="100"/>
      <c r="AL398" s="142"/>
      <c r="AM398" s="142"/>
      <c r="AN398" s="100"/>
      <c r="AO398" s="100"/>
      <c r="AP398" s="142"/>
      <c r="AQ398" s="100"/>
      <c r="AR398" s="100"/>
      <c r="AS398" s="142"/>
      <c r="AT398" s="100"/>
      <c r="AU398" s="100"/>
      <c r="AV398" s="100"/>
    </row>
    <row r="399" spans="1:48" ht="16.3">
      <c r="A399" s="87" t="s">
        <v>363</v>
      </c>
      <c r="B399" s="260">
        <f>SUM(B397+B398)</f>
        <v>100</v>
      </c>
      <c r="C399" s="214">
        <f t="shared" si="73"/>
        <v>100</v>
      </c>
      <c r="D399" s="133"/>
      <c r="E399" s="134"/>
      <c r="F399" s="135"/>
      <c r="G399" s="136"/>
      <c r="H399" s="683"/>
      <c r="I399" s="676"/>
      <c r="J399" s="534"/>
      <c r="K399" s="96"/>
      <c r="L399" s="104"/>
      <c r="M399" s="75"/>
      <c r="N399" s="75"/>
      <c r="O399" s="75"/>
      <c r="P399" s="75"/>
      <c r="Q399" s="97"/>
      <c r="R399" s="163"/>
      <c r="S399" s="109"/>
      <c r="T399" s="109"/>
      <c r="U399" s="100"/>
      <c r="V399" s="110"/>
      <c r="W399" s="110"/>
      <c r="X399" s="100"/>
      <c r="Y399" s="100"/>
      <c r="Z399" s="100"/>
      <c r="AA399" s="110"/>
      <c r="AB399" s="110"/>
      <c r="AC399" s="100"/>
      <c r="AD399" s="108"/>
      <c r="AE399" s="109"/>
      <c r="AF399" s="109"/>
      <c r="AG399" s="109"/>
      <c r="AH399" s="109"/>
      <c r="AI399" s="109"/>
      <c r="AJ399" s="108"/>
      <c r="AK399" s="100"/>
      <c r="AL399" s="142"/>
      <c r="AM399" s="142"/>
      <c r="AN399" s="100"/>
      <c r="AO399" s="100"/>
      <c r="AP399" s="142"/>
      <c r="AQ399" s="100"/>
      <c r="AR399" s="100"/>
      <c r="AS399" s="142"/>
      <c r="AT399" s="100"/>
      <c r="AU399" s="100"/>
      <c r="AV399" s="100"/>
    </row>
    <row r="400" spans="1:48" ht="16.3">
      <c r="A400" s="234" t="s">
        <v>366</v>
      </c>
      <c r="B400" s="261">
        <f>SUM(L400+M400+N400+O400+P400+U400+X400+Y400+Z400+AC400+AK400+AL400+AK400+AO400+AR400+AS400+AU400+AV400+AW400+AX400)+3</f>
        <v>4</v>
      </c>
      <c r="C400" s="215">
        <f t="shared" si="73"/>
        <v>4</v>
      </c>
      <c r="D400" s="139"/>
      <c r="E400" s="140"/>
      <c r="F400" s="135"/>
      <c r="G400" s="136"/>
      <c r="H400" s="683"/>
      <c r="I400" s="676"/>
      <c r="J400" s="534"/>
      <c r="K400" s="96"/>
      <c r="L400" s="104"/>
      <c r="M400" s="75"/>
      <c r="N400" s="75"/>
      <c r="O400" s="75"/>
      <c r="P400" s="75"/>
      <c r="Q400" s="97"/>
      <c r="R400" s="163"/>
      <c r="S400" s="109"/>
      <c r="T400" s="109"/>
      <c r="U400" s="100"/>
      <c r="V400" s="110"/>
      <c r="W400" s="110"/>
      <c r="X400" s="100">
        <v>1</v>
      </c>
      <c r="Y400" s="100"/>
      <c r="Z400" s="100"/>
      <c r="AA400" s="110"/>
      <c r="AB400" s="110"/>
      <c r="AC400" s="100"/>
      <c r="AD400" s="108"/>
      <c r="AE400" s="109"/>
      <c r="AF400" s="109"/>
      <c r="AG400" s="109"/>
      <c r="AH400" s="109"/>
      <c r="AI400" s="109"/>
      <c r="AJ400" s="108"/>
      <c r="AK400" s="100"/>
      <c r="AL400" s="142"/>
      <c r="AM400" s="142"/>
      <c r="AN400" s="100"/>
      <c r="AO400" s="100"/>
      <c r="AP400" s="142"/>
      <c r="AQ400" s="100"/>
      <c r="AR400" s="100"/>
      <c r="AS400" s="142"/>
      <c r="AT400" s="100"/>
      <c r="AU400" s="100"/>
      <c r="AV400" s="100"/>
    </row>
    <row r="401" spans="1:48" ht="16.3">
      <c r="A401" s="234" t="s">
        <v>362</v>
      </c>
      <c r="B401" s="261">
        <f>SUM(L401+M401+N401+O401+P401+U401+X401+Y401+Z401+AC401+AK401+AL401+AK401+AO401+AR401+AS401+AU401+AV401+AW401+AX401)+1</f>
        <v>1</v>
      </c>
      <c r="C401" s="215">
        <f t="shared" si="73"/>
        <v>1</v>
      </c>
      <c r="D401" s="139"/>
      <c r="E401" s="140"/>
      <c r="F401" s="135"/>
      <c r="G401" s="136"/>
      <c r="H401" s="683"/>
      <c r="I401" s="676"/>
      <c r="J401" s="534"/>
      <c r="K401" s="96"/>
      <c r="L401" s="104"/>
      <c r="M401" s="75"/>
      <c r="N401" s="75"/>
      <c r="O401" s="75"/>
      <c r="P401" s="75"/>
      <c r="Q401" s="97"/>
      <c r="R401" s="163"/>
      <c r="S401" s="109"/>
      <c r="T401" s="109"/>
      <c r="U401" s="100"/>
      <c r="V401" s="110"/>
      <c r="W401" s="110"/>
      <c r="X401" s="100"/>
      <c r="Y401" s="100"/>
      <c r="Z401" s="100"/>
      <c r="AA401" s="110"/>
      <c r="AB401" s="110"/>
      <c r="AC401" s="100"/>
      <c r="AD401" s="108"/>
      <c r="AE401" s="109"/>
      <c r="AF401" s="109"/>
      <c r="AG401" s="109"/>
      <c r="AH401" s="109"/>
      <c r="AI401" s="109"/>
      <c r="AJ401" s="108"/>
      <c r="AK401" s="100"/>
      <c r="AL401" s="142"/>
      <c r="AM401" s="142"/>
      <c r="AN401" s="100"/>
      <c r="AO401" s="100"/>
      <c r="AP401" s="142"/>
      <c r="AQ401" s="100"/>
      <c r="AR401" s="100"/>
      <c r="AS401" s="142"/>
      <c r="AT401" s="100"/>
      <c r="AU401" s="100"/>
      <c r="AV401" s="100"/>
    </row>
    <row r="402" spans="1:48" ht="16.3">
      <c r="A402" s="87" t="s">
        <v>3</v>
      </c>
      <c r="B402" s="260">
        <f>SUM(L402+M402+N402+O402+P402+U402+X402+Y402+Z402+AC402+AK402+AL402+AK402+AO402+AR402+AS402+AU402+AV402+AW402+AX402)+14</f>
        <v>14</v>
      </c>
      <c r="C402" s="214">
        <f t="shared" si="73"/>
        <v>14</v>
      </c>
      <c r="D402" s="133"/>
      <c r="E402" s="134"/>
      <c r="F402" s="135"/>
      <c r="G402" s="136"/>
      <c r="H402" s="683"/>
      <c r="I402" s="676"/>
      <c r="J402" s="534"/>
      <c r="K402" s="96"/>
      <c r="L402" s="104"/>
      <c r="M402" s="75"/>
      <c r="N402" s="75"/>
      <c r="O402" s="75"/>
      <c r="P402" s="75"/>
      <c r="Q402" s="97"/>
      <c r="R402" s="163"/>
      <c r="S402" s="109"/>
      <c r="T402" s="109"/>
      <c r="U402" s="100"/>
      <c r="V402" s="110">
        <v>1</v>
      </c>
      <c r="W402" s="110"/>
      <c r="X402" s="100"/>
      <c r="Y402" s="100"/>
      <c r="Z402" s="100"/>
      <c r="AA402" s="110"/>
      <c r="AB402" s="110"/>
      <c r="AC402" s="100"/>
      <c r="AD402" s="108"/>
      <c r="AE402" s="109"/>
      <c r="AF402" s="109"/>
      <c r="AG402" s="109"/>
      <c r="AH402" s="109"/>
      <c r="AI402" s="109"/>
      <c r="AJ402" s="108"/>
      <c r="AK402" s="100"/>
      <c r="AL402" s="142"/>
      <c r="AM402" s="142"/>
      <c r="AN402" s="100"/>
      <c r="AO402" s="100"/>
      <c r="AP402" s="142"/>
      <c r="AQ402" s="100"/>
      <c r="AR402" s="100"/>
      <c r="AS402" s="142"/>
      <c r="AT402" s="100"/>
      <c r="AU402" s="100"/>
      <c r="AV402" s="100"/>
    </row>
    <row r="403" spans="1:48" ht="17" thickBot="1">
      <c r="A403" s="88" t="s">
        <v>4</v>
      </c>
      <c r="B403" s="262">
        <f>SUM(L403+M403+N403+O403+P403+U403+X403+Y403+Z403+AC403+AK403+AL403+AK403+AO403+AR403+AS403+AU403+AV403+AW403+AX403)+70</f>
        <v>70</v>
      </c>
      <c r="C403" s="217">
        <f t="shared" si="73"/>
        <v>70</v>
      </c>
      <c r="D403" s="144"/>
      <c r="E403" s="145"/>
      <c r="F403" s="146"/>
      <c r="G403" s="147"/>
      <c r="H403" s="684"/>
      <c r="I403" s="677"/>
      <c r="J403" s="535"/>
      <c r="K403" s="114"/>
      <c r="L403" s="113"/>
      <c r="M403" s="112"/>
      <c r="N403" s="112"/>
      <c r="O403" s="112"/>
      <c r="P403" s="112"/>
      <c r="Q403" s="115"/>
      <c r="R403" s="164"/>
      <c r="S403" s="118"/>
      <c r="T403" s="114"/>
      <c r="U403" s="116"/>
      <c r="V403" s="120">
        <v>5</v>
      </c>
      <c r="W403" s="120"/>
      <c r="X403" s="116"/>
      <c r="Y403" s="116"/>
      <c r="Z403" s="116"/>
      <c r="AA403" s="120"/>
      <c r="AB403" s="120"/>
      <c r="AC403" s="116"/>
      <c r="AD403" s="117"/>
      <c r="AE403" s="118"/>
      <c r="AF403" s="118"/>
      <c r="AG403" s="118"/>
      <c r="AH403" s="118"/>
      <c r="AI403" s="118"/>
      <c r="AJ403" s="117"/>
      <c r="AK403" s="116"/>
      <c r="AL403" s="149"/>
      <c r="AM403" s="149"/>
      <c r="AN403" s="116"/>
      <c r="AO403" s="116"/>
      <c r="AP403" s="149"/>
      <c r="AQ403" s="116"/>
      <c r="AR403" s="116"/>
      <c r="AS403" s="149"/>
      <c r="AT403" s="116"/>
      <c r="AU403" s="116"/>
      <c r="AV403" s="116"/>
    </row>
    <row r="404" spans="1:48" ht="21.1">
      <c r="A404" s="82" t="s">
        <v>254</v>
      </c>
      <c r="B404" s="260"/>
      <c r="C404" s="214"/>
      <c r="D404" s="133"/>
      <c r="E404" s="134"/>
      <c r="F404" s="135"/>
      <c r="G404" s="136"/>
      <c r="H404" s="683"/>
      <c r="I404" s="676"/>
      <c r="J404" s="534"/>
      <c r="K404" s="96" t="s">
        <v>666</v>
      </c>
      <c r="L404" s="104" t="s">
        <v>717</v>
      </c>
      <c r="M404" s="75"/>
      <c r="N404" s="75"/>
      <c r="O404" s="75" t="s">
        <v>375</v>
      </c>
      <c r="P404" s="75"/>
      <c r="Q404" s="97" t="s">
        <v>382</v>
      </c>
      <c r="R404" s="163"/>
      <c r="S404" s="109" t="s">
        <v>375</v>
      </c>
      <c r="T404" s="109" t="s">
        <v>374</v>
      </c>
      <c r="U404" s="100" t="s">
        <v>374</v>
      </c>
      <c r="V404" s="110"/>
      <c r="W404" s="110" t="s">
        <v>375</v>
      </c>
      <c r="X404" s="100"/>
      <c r="Y404" s="100"/>
      <c r="Z404" s="100" t="s">
        <v>375</v>
      </c>
      <c r="AA404" s="110"/>
      <c r="AB404" s="110"/>
      <c r="AC404" s="100" t="s">
        <v>374</v>
      </c>
      <c r="AD404" s="108"/>
      <c r="AE404" s="109">
        <v>8</v>
      </c>
      <c r="AF404" s="109">
        <v>8</v>
      </c>
      <c r="AG404" s="109" t="s">
        <v>374</v>
      </c>
      <c r="AH404" s="109"/>
      <c r="AI404" s="109" t="s">
        <v>374</v>
      </c>
      <c r="AJ404" s="108"/>
      <c r="AK404" s="100"/>
      <c r="AL404" s="142"/>
      <c r="AM404" s="142"/>
      <c r="AN404" s="100"/>
      <c r="AO404" s="100"/>
      <c r="AP404" s="142"/>
      <c r="AQ404" s="100"/>
      <c r="AR404" s="100"/>
      <c r="AS404" s="142"/>
      <c r="AT404" s="100"/>
      <c r="AU404" s="100"/>
      <c r="AV404" s="100"/>
    </row>
    <row r="405" spans="1:48" ht="16.3">
      <c r="A405" s="234" t="s">
        <v>1</v>
      </c>
      <c r="B405" s="261">
        <f>SUM(L405+M405+N405+O405+P405+U405+X405+Y405+Z405+AC405+AK405+AL405+AK405+AO405+AR405+AS405+AU405+AV405+AW405+AX405+AP405)+3</f>
        <v>5</v>
      </c>
      <c r="C405" s="215">
        <f t="shared" ref="C405:C406" si="74">B405</f>
        <v>5</v>
      </c>
      <c r="D405" s="133"/>
      <c r="E405" s="134"/>
      <c r="F405" s="135"/>
      <c r="G405" s="136"/>
      <c r="H405" s="683"/>
      <c r="I405" s="676"/>
      <c r="J405" s="534"/>
      <c r="K405" s="96">
        <v>1</v>
      </c>
      <c r="L405" s="104"/>
      <c r="M405" s="75"/>
      <c r="N405" s="75"/>
      <c r="O405" s="75"/>
      <c r="P405" s="75"/>
      <c r="Q405" s="97">
        <v>1</v>
      </c>
      <c r="R405" s="163"/>
      <c r="S405" s="109"/>
      <c r="T405" s="109">
        <v>1</v>
      </c>
      <c r="U405" s="100">
        <v>1</v>
      </c>
      <c r="V405" s="110"/>
      <c r="W405" s="110"/>
      <c r="X405" s="100"/>
      <c r="Y405" s="100"/>
      <c r="Z405" s="100"/>
      <c r="AA405" s="110"/>
      <c r="AB405" s="110"/>
      <c r="AC405" s="100">
        <v>1</v>
      </c>
      <c r="AD405" s="108"/>
      <c r="AE405" s="109">
        <v>1</v>
      </c>
      <c r="AF405" s="109">
        <v>1</v>
      </c>
      <c r="AG405" s="109">
        <v>1</v>
      </c>
      <c r="AH405" s="109"/>
      <c r="AI405" s="109">
        <v>1</v>
      </c>
      <c r="AJ405" s="108"/>
      <c r="AK405" s="100"/>
      <c r="AL405" s="142"/>
      <c r="AM405" s="142"/>
      <c r="AN405" s="100"/>
      <c r="AO405" s="100"/>
      <c r="AP405" s="142"/>
      <c r="AQ405" s="100"/>
      <c r="AR405" s="100"/>
      <c r="AS405" s="142"/>
      <c r="AT405" s="100"/>
      <c r="AU405" s="100"/>
      <c r="AV405" s="100"/>
    </row>
    <row r="406" spans="1:48" ht="16.3">
      <c r="A406" s="234" t="s">
        <v>2</v>
      </c>
      <c r="B406" s="261">
        <f>SUM(L406+M406+N406+O406+P406+U406+X406+Y406+Z406+AC406+AK406+AL406+AK406+AO406+AR406+AS406+AU406+AV406+AW406+AX406+AP406)+2</f>
        <v>4</v>
      </c>
      <c r="C406" s="215">
        <f t="shared" si="74"/>
        <v>4</v>
      </c>
      <c r="D406" s="133"/>
      <c r="E406" s="134"/>
      <c r="F406" s="135"/>
      <c r="G406" s="136"/>
      <c r="H406" s="683"/>
      <c r="I406" s="676"/>
      <c r="J406" s="534"/>
      <c r="K406" s="96"/>
      <c r="L406" s="104"/>
      <c r="M406" s="75"/>
      <c r="N406" s="75"/>
      <c r="O406" s="75">
        <v>1</v>
      </c>
      <c r="P406" s="75"/>
      <c r="Q406" s="97"/>
      <c r="R406" s="163"/>
      <c r="S406" s="109">
        <v>1</v>
      </c>
      <c r="T406" s="109"/>
      <c r="U406" s="100"/>
      <c r="V406" s="110"/>
      <c r="W406" s="110">
        <v>1</v>
      </c>
      <c r="X406" s="100"/>
      <c r="Y406" s="100"/>
      <c r="Z406" s="100">
        <v>1</v>
      </c>
      <c r="AA406" s="110"/>
      <c r="AB406" s="110"/>
      <c r="AC406" s="100"/>
      <c r="AD406" s="108"/>
      <c r="AE406" s="109"/>
      <c r="AF406" s="109"/>
      <c r="AG406" s="109"/>
      <c r="AH406" s="109"/>
      <c r="AI406" s="109"/>
      <c r="AJ406" s="108"/>
      <c r="AK406" s="100"/>
      <c r="AL406" s="142"/>
      <c r="AM406" s="142"/>
      <c r="AN406" s="100"/>
      <c r="AO406" s="100"/>
      <c r="AP406" s="142"/>
      <c r="AQ406" s="100"/>
      <c r="AR406" s="100"/>
      <c r="AS406" s="142"/>
      <c r="AT406" s="100"/>
      <c r="AU406" s="100"/>
      <c r="AV406" s="100"/>
    </row>
    <row r="407" spans="1:48" ht="16.3">
      <c r="A407" s="87" t="s">
        <v>363</v>
      </c>
      <c r="B407" s="260">
        <f>SUM(B405+B406)</f>
        <v>9</v>
      </c>
      <c r="C407" s="214">
        <f>SUM(C405+C406)</f>
        <v>9</v>
      </c>
      <c r="D407" s="133"/>
      <c r="E407" s="134"/>
      <c r="F407" s="135"/>
      <c r="G407" s="136"/>
      <c r="H407" s="683"/>
      <c r="I407" s="676"/>
      <c r="J407" s="534"/>
      <c r="K407" s="96"/>
      <c r="L407" s="104"/>
      <c r="M407" s="75"/>
      <c r="N407" s="75"/>
      <c r="O407" s="75"/>
      <c r="P407" s="75"/>
      <c r="Q407" s="97"/>
      <c r="R407" s="163"/>
      <c r="S407" s="109"/>
      <c r="T407" s="109"/>
      <c r="U407" s="100"/>
      <c r="V407" s="110"/>
      <c r="W407" s="110"/>
      <c r="X407" s="100"/>
      <c r="Y407" s="100"/>
      <c r="Z407" s="100"/>
      <c r="AA407" s="110"/>
      <c r="AB407" s="110"/>
      <c r="AC407" s="100"/>
      <c r="AD407" s="108"/>
      <c r="AE407" s="109"/>
      <c r="AF407" s="109"/>
      <c r="AG407" s="109"/>
      <c r="AH407" s="109"/>
      <c r="AI407" s="109"/>
      <c r="AJ407" s="108"/>
      <c r="AK407" s="100"/>
      <c r="AL407" s="142"/>
      <c r="AM407" s="142"/>
      <c r="AN407" s="100"/>
      <c r="AO407" s="100"/>
      <c r="AP407" s="142"/>
      <c r="AQ407" s="100"/>
      <c r="AR407" s="100"/>
      <c r="AS407" s="142"/>
      <c r="AT407" s="100"/>
      <c r="AU407" s="100"/>
      <c r="AV407" s="100"/>
    </row>
    <row r="408" spans="1:48" ht="16.3">
      <c r="A408" s="87" t="s">
        <v>3</v>
      </c>
      <c r="B408" s="260">
        <f>SUM(L408+M408+N408+O408+P408+U408+X408+Y408+Z408+AC408+AK408+AL408+AK408+AO408+AR408+AS408+AU408+AV408+AW408+AX408+AP408)+1</f>
        <v>3</v>
      </c>
      <c r="C408" s="214">
        <f t="shared" ref="C408:C409" si="75">B408</f>
        <v>3</v>
      </c>
      <c r="D408" s="133"/>
      <c r="E408" s="134"/>
      <c r="F408" s="135"/>
      <c r="G408" s="136"/>
      <c r="H408" s="683"/>
      <c r="I408" s="676"/>
      <c r="J408" s="534"/>
      <c r="K408" s="96"/>
      <c r="L408" s="104"/>
      <c r="M408" s="75"/>
      <c r="N408" s="75"/>
      <c r="O408" s="75"/>
      <c r="P408" s="75"/>
      <c r="Q408" s="97">
        <v>1</v>
      </c>
      <c r="R408" s="163"/>
      <c r="S408" s="109"/>
      <c r="T408" s="109">
        <v>1</v>
      </c>
      <c r="U408" s="100">
        <v>1</v>
      </c>
      <c r="V408" s="110"/>
      <c r="W408" s="110">
        <v>1</v>
      </c>
      <c r="X408" s="100"/>
      <c r="Y408" s="100"/>
      <c r="Z408" s="100">
        <v>1</v>
      </c>
      <c r="AA408" s="110"/>
      <c r="AB408" s="110"/>
      <c r="AC408" s="100"/>
      <c r="AD408" s="108"/>
      <c r="AE408" s="109">
        <v>2</v>
      </c>
      <c r="AF408" s="109">
        <v>2</v>
      </c>
      <c r="AG408" s="109"/>
      <c r="AH408" s="109"/>
      <c r="AI408" s="109"/>
      <c r="AJ408" s="108"/>
      <c r="AK408" s="100"/>
      <c r="AL408" s="142"/>
      <c r="AM408" s="142"/>
      <c r="AN408" s="100"/>
      <c r="AO408" s="100"/>
      <c r="AP408" s="142"/>
      <c r="AQ408" s="100"/>
      <c r="AR408" s="100"/>
      <c r="AS408" s="142"/>
      <c r="AT408" s="100"/>
      <c r="AU408" s="100"/>
      <c r="AV408" s="100"/>
    </row>
    <row r="409" spans="1:48" ht="17" thickBot="1">
      <c r="A409" s="88" t="s">
        <v>4</v>
      </c>
      <c r="B409" s="262">
        <f>SUM(L409+M409+N409+O409+P409+U409+X409+Y409+Z409+AC409+AK409+AL409+AK409+AO409+AR409+AS409+AU409+AV409+AW409+AX409+AP409)+5</f>
        <v>15</v>
      </c>
      <c r="C409" s="217">
        <f t="shared" si="75"/>
        <v>15</v>
      </c>
      <c r="D409" s="144"/>
      <c r="E409" s="145"/>
      <c r="F409" s="146"/>
      <c r="G409" s="147"/>
      <c r="H409" s="684"/>
      <c r="I409" s="677"/>
      <c r="J409" s="535"/>
      <c r="K409" s="114"/>
      <c r="L409" s="113"/>
      <c r="M409" s="112"/>
      <c r="N409" s="112"/>
      <c r="O409" s="112"/>
      <c r="P409" s="112"/>
      <c r="Q409" s="118">
        <v>5</v>
      </c>
      <c r="R409" s="117"/>
      <c r="S409" s="118"/>
      <c r="T409" s="114">
        <v>5</v>
      </c>
      <c r="U409" s="116">
        <v>5</v>
      </c>
      <c r="V409" s="120"/>
      <c r="W409" s="120">
        <v>5</v>
      </c>
      <c r="X409" s="116"/>
      <c r="Y409" s="116"/>
      <c r="Z409" s="116">
        <v>5</v>
      </c>
      <c r="AA409" s="120"/>
      <c r="AB409" s="120"/>
      <c r="AC409" s="116"/>
      <c r="AD409" s="117"/>
      <c r="AE409" s="118">
        <v>10</v>
      </c>
      <c r="AF409" s="118">
        <v>10</v>
      </c>
      <c r="AG409" s="118"/>
      <c r="AH409" s="118"/>
      <c r="AI409" s="118"/>
      <c r="AJ409" s="117"/>
      <c r="AK409" s="116"/>
      <c r="AL409" s="149"/>
      <c r="AM409" s="149"/>
      <c r="AN409" s="116"/>
      <c r="AO409" s="116"/>
      <c r="AP409" s="149"/>
      <c r="AQ409" s="116"/>
      <c r="AR409" s="116"/>
      <c r="AS409" s="149"/>
      <c r="AT409" s="116"/>
      <c r="AU409" s="116"/>
      <c r="AV409" s="116"/>
    </row>
    <row r="410" spans="1:48" ht="21.1">
      <c r="A410" s="82" t="s">
        <v>168</v>
      </c>
      <c r="B410" s="260"/>
      <c r="C410" s="214"/>
      <c r="D410" s="133"/>
      <c r="E410" s="134"/>
      <c r="F410" s="135"/>
      <c r="G410" s="136"/>
      <c r="H410" s="683"/>
      <c r="I410" s="676"/>
      <c r="J410" s="534"/>
      <c r="K410" s="124" t="s">
        <v>501</v>
      </c>
      <c r="L410" s="104" t="s">
        <v>375</v>
      </c>
      <c r="M410" s="75" t="s">
        <v>382</v>
      </c>
      <c r="N410" s="75" t="s">
        <v>339</v>
      </c>
      <c r="O410" s="75" t="s">
        <v>339</v>
      </c>
      <c r="P410" s="75" t="s">
        <v>339</v>
      </c>
      <c r="Q410" s="97" t="s">
        <v>339</v>
      </c>
      <c r="R410" s="163"/>
      <c r="S410" s="109" t="s">
        <v>339</v>
      </c>
      <c r="T410" s="109" t="s">
        <v>375</v>
      </c>
      <c r="U410" s="100" t="s">
        <v>375</v>
      </c>
      <c r="V410" s="110" t="s">
        <v>375</v>
      </c>
      <c r="W410" s="110">
        <v>6</v>
      </c>
      <c r="X410" s="100" t="s">
        <v>375</v>
      </c>
      <c r="Y410" s="100" t="s">
        <v>375</v>
      </c>
      <c r="Z410" s="100">
        <v>6</v>
      </c>
      <c r="AA410" s="110">
        <v>6</v>
      </c>
      <c r="AB410" s="110" t="s">
        <v>375</v>
      </c>
      <c r="AC410" s="100" t="s">
        <v>372</v>
      </c>
      <c r="AD410" s="108"/>
      <c r="AE410" s="109"/>
      <c r="AF410" s="109"/>
      <c r="AG410" s="109"/>
      <c r="AH410" s="109" t="s">
        <v>382</v>
      </c>
      <c r="AI410" s="109"/>
      <c r="AJ410" s="108"/>
      <c r="AK410" s="100"/>
      <c r="AL410" s="142"/>
      <c r="AM410" s="142"/>
      <c r="AN410" s="100"/>
      <c r="AO410" s="100"/>
      <c r="AP410" s="142"/>
      <c r="AQ410" s="100"/>
      <c r="AR410" s="100"/>
      <c r="AS410" s="142"/>
      <c r="AT410" s="100"/>
      <c r="AU410" s="100"/>
      <c r="AV410" s="100"/>
    </row>
    <row r="411" spans="1:48" ht="16.3">
      <c r="A411" s="234" t="s">
        <v>1</v>
      </c>
      <c r="B411" s="261">
        <f>SUM(L411+M411+N411+O411+P411+U411+X411+Y411+Z411+AC411+AK411+AL411+AK411+AO411+AR411+AS411+AU411+AV411+AW411+AX411+AP411)+30</f>
        <v>33</v>
      </c>
      <c r="C411" s="215">
        <f>SUM(L411+M411+N411+O411+P411+U411+Y411+Z411+X411+AC411+AL411+AK411+AL411+AP411+AS411+AO411+AV411+AW411+AX411+AY411+AR411+AU411)+93</f>
        <v>96</v>
      </c>
      <c r="D411" s="139"/>
      <c r="E411" s="140"/>
      <c r="F411" s="135"/>
      <c r="G411" s="136"/>
      <c r="H411" s="683"/>
      <c r="I411" s="676"/>
      <c r="J411" s="534"/>
      <c r="K411" s="96"/>
      <c r="L411" s="104"/>
      <c r="M411" s="75">
        <v>1</v>
      </c>
      <c r="N411" s="75"/>
      <c r="O411" s="75"/>
      <c r="P411" s="75"/>
      <c r="Q411" s="97"/>
      <c r="R411" s="163"/>
      <c r="S411" s="109"/>
      <c r="T411" s="109"/>
      <c r="U411" s="100"/>
      <c r="V411" s="110"/>
      <c r="W411" s="110">
        <v>1</v>
      </c>
      <c r="X411" s="100"/>
      <c r="Y411" s="100"/>
      <c r="Z411" s="100">
        <v>1</v>
      </c>
      <c r="AA411" s="110">
        <v>1</v>
      </c>
      <c r="AB411" s="110"/>
      <c r="AC411" s="100">
        <v>1</v>
      </c>
      <c r="AD411" s="108"/>
      <c r="AE411" s="109"/>
      <c r="AF411" s="109"/>
      <c r="AG411" s="109"/>
      <c r="AH411" s="109">
        <v>1</v>
      </c>
      <c r="AI411" s="109"/>
      <c r="AJ411" s="108"/>
      <c r="AK411" s="100"/>
      <c r="AL411" s="142"/>
      <c r="AM411" s="142"/>
      <c r="AN411" s="100"/>
      <c r="AO411" s="100"/>
      <c r="AP411" s="142"/>
      <c r="AQ411" s="100"/>
      <c r="AR411" s="100"/>
      <c r="AS411" s="142"/>
      <c r="AT411" s="100"/>
      <c r="AU411" s="100"/>
      <c r="AV411" s="100"/>
    </row>
    <row r="412" spans="1:48" ht="16.3">
      <c r="A412" s="234" t="s">
        <v>2</v>
      </c>
      <c r="B412" s="261">
        <f>SUM(L412+M412+N412+O412+P412+U412+X412+Y412+Z412+AC412+AK412+AL412+AK412+AO412+AR412+AS412+AU412+AV412+AW412+AX412+AP412)+6</f>
        <v>10</v>
      </c>
      <c r="C412" s="215">
        <f>SUM(L412+M412+N412+O412+P412+U412+Y412+Z412+X412+AC412+AL412+AK412+AL412+AP412+AS412+AO412+AV412+AW412+AX412+AY412+AR412+AU412)+14</f>
        <v>18</v>
      </c>
      <c r="D412" s="139"/>
      <c r="E412" s="140"/>
      <c r="F412" s="135"/>
      <c r="G412" s="136"/>
      <c r="H412" s="683"/>
      <c r="I412" s="676"/>
      <c r="J412" s="534"/>
      <c r="K412" s="96"/>
      <c r="L412" s="104">
        <v>1</v>
      </c>
      <c r="M412" s="75"/>
      <c r="N412" s="75"/>
      <c r="O412" s="75"/>
      <c r="P412" s="75"/>
      <c r="Q412" s="97"/>
      <c r="R412" s="163"/>
      <c r="S412" s="109"/>
      <c r="T412" s="109">
        <v>1</v>
      </c>
      <c r="U412" s="100">
        <v>1</v>
      </c>
      <c r="V412" s="110">
        <v>1</v>
      </c>
      <c r="W412" s="110"/>
      <c r="X412" s="100">
        <v>1</v>
      </c>
      <c r="Y412" s="100">
        <v>1</v>
      </c>
      <c r="Z412" s="100"/>
      <c r="AA412" s="110"/>
      <c r="AB412" s="110">
        <v>1</v>
      </c>
      <c r="AC412" s="100"/>
      <c r="AD412" s="108"/>
      <c r="AE412" s="109"/>
      <c r="AF412" s="109"/>
      <c r="AG412" s="109"/>
      <c r="AH412" s="109"/>
      <c r="AI412" s="109"/>
      <c r="AJ412" s="108"/>
      <c r="AK412" s="100"/>
      <c r="AL412" s="142"/>
      <c r="AM412" s="142"/>
      <c r="AN412" s="100"/>
      <c r="AO412" s="100"/>
      <c r="AP412" s="142"/>
      <c r="AQ412" s="100"/>
      <c r="AR412" s="100"/>
      <c r="AS412" s="142"/>
      <c r="AT412" s="100"/>
      <c r="AU412" s="100"/>
      <c r="AV412" s="100"/>
    </row>
    <row r="413" spans="1:48" ht="16.3">
      <c r="A413" s="87" t="s">
        <v>363</v>
      </c>
      <c r="B413" s="260">
        <f>SUM(B411+B412)</f>
        <v>43</v>
      </c>
      <c r="C413" s="214">
        <f>SUM(C411+C412)</f>
        <v>114</v>
      </c>
      <c r="D413" s="133"/>
      <c r="E413" s="134"/>
      <c r="F413" s="135"/>
      <c r="G413" s="136"/>
      <c r="H413" s="683"/>
      <c r="I413" s="676"/>
      <c r="J413" s="534"/>
      <c r="K413" s="96"/>
      <c r="L413" s="104"/>
      <c r="M413" s="75"/>
      <c r="N413" s="75"/>
      <c r="O413" s="75"/>
      <c r="P413" s="75"/>
      <c r="Q413" s="97"/>
      <c r="R413" s="163"/>
      <c r="S413" s="109"/>
      <c r="T413" s="109"/>
      <c r="U413" s="100"/>
      <c r="V413" s="110"/>
      <c r="W413" s="110"/>
      <c r="X413" s="100"/>
      <c r="Y413" s="100"/>
      <c r="Z413" s="100"/>
      <c r="AA413" s="110"/>
      <c r="AB413" s="110"/>
      <c r="AC413" s="100"/>
      <c r="AD413" s="108"/>
      <c r="AE413" s="109"/>
      <c r="AF413" s="109"/>
      <c r="AG413" s="109"/>
      <c r="AH413" s="109"/>
      <c r="AI413" s="109"/>
      <c r="AJ413" s="108"/>
      <c r="AK413" s="100"/>
      <c r="AL413" s="142"/>
      <c r="AM413" s="142"/>
      <c r="AN413" s="100"/>
      <c r="AO413" s="100"/>
      <c r="AP413" s="142"/>
      <c r="AQ413" s="100"/>
      <c r="AR413" s="100"/>
      <c r="AS413" s="142"/>
      <c r="AT413" s="100"/>
      <c r="AU413" s="100"/>
      <c r="AV413" s="100"/>
    </row>
    <row r="414" spans="1:48" ht="16.3">
      <c r="A414" s="234" t="s">
        <v>366</v>
      </c>
      <c r="B414" s="261">
        <f>SUM(L414+M414+N414+O414+P414+U414+X414+Y414+Z414+AC414+AK414+AL414+AK414+AO414+AR414+AS414+AU414+AV414+AW414+AX414+AP414)</f>
        <v>0</v>
      </c>
      <c r="C414" s="215">
        <f>SUM(L414+M414+N414+O414+P414+U414+Y414+Z414+X414+AC414+AL414+AK414+AL414+AP414+AS414+AO414+AV414+AW414+AX414+AY414+AR414+AU414)+40</f>
        <v>40</v>
      </c>
      <c r="D414" s="139"/>
      <c r="E414" s="140"/>
      <c r="F414" s="135"/>
      <c r="G414" s="136"/>
      <c r="H414" s="683"/>
      <c r="I414" s="676"/>
      <c r="J414" s="534"/>
      <c r="K414" s="96"/>
      <c r="L414" s="104"/>
      <c r="M414" s="75"/>
      <c r="N414" s="75"/>
      <c r="O414" s="75"/>
      <c r="P414" s="75"/>
      <c r="Q414" s="97"/>
      <c r="R414" s="163"/>
      <c r="S414" s="109"/>
      <c r="T414" s="109"/>
      <c r="U414" s="100"/>
      <c r="V414" s="110"/>
      <c r="W414" s="110"/>
      <c r="X414" s="100"/>
      <c r="Y414" s="100"/>
      <c r="Z414" s="100"/>
      <c r="AA414" s="110"/>
      <c r="AB414" s="110"/>
      <c r="AC414" s="100"/>
      <c r="AD414" s="108"/>
      <c r="AE414" s="109"/>
      <c r="AF414" s="109"/>
      <c r="AG414" s="109"/>
      <c r="AH414" s="109"/>
      <c r="AI414" s="109"/>
      <c r="AJ414" s="108"/>
      <c r="AK414" s="100"/>
      <c r="AL414" s="142"/>
      <c r="AM414" s="142"/>
      <c r="AN414" s="100"/>
      <c r="AO414" s="100"/>
      <c r="AP414" s="142"/>
      <c r="AQ414" s="100"/>
      <c r="AR414" s="100"/>
      <c r="AS414" s="142"/>
      <c r="AT414" s="100"/>
      <c r="AU414" s="100"/>
      <c r="AV414" s="100"/>
    </row>
    <row r="415" spans="1:48" ht="16.3">
      <c r="A415" s="234" t="s">
        <v>362</v>
      </c>
      <c r="B415" s="261">
        <f>SUM(L415+M415+N415+O415+P415+U415+X415+Y415+Z415+AC415+AK415+AL415+AK415+AO415+AR415+AS415+AU415+AV415+AW415+AX415+AP415)+1</f>
        <v>1</v>
      </c>
      <c r="C415" s="215">
        <f>SUM(L415+M415+N415+O415+P415+U415+Y415+Z415+X415+AC415+AL415+AK415+AL415+AP415+AS415+AO415+AV415+AW415+AX415+AY415+AR415+AU415)+2</f>
        <v>2</v>
      </c>
      <c r="D415" s="139"/>
      <c r="E415" s="140"/>
      <c r="F415" s="135"/>
      <c r="G415" s="136"/>
      <c r="H415" s="683"/>
      <c r="I415" s="676"/>
      <c r="J415" s="534"/>
      <c r="K415" s="96"/>
      <c r="L415" s="104"/>
      <c r="M415" s="75"/>
      <c r="N415" s="75"/>
      <c r="O415" s="75"/>
      <c r="P415" s="75"/>
      <c r="Q415" s="97"/>
      <c r="R415" s="163"/>
      <c r="S415" s="109"/>
      <c r="T415" s="109"/>
      <c r="U415" s="100"/>
      <c r="V415" s="110"/>
      <c r="W415" s="110"/>
      <c r="X415" s="100"/>
      <c r="Y415" s="100"/>
      <c r="Z415" s="100"/>
      <c r="AA415" s="110"/>
      <c r="AB415" s="110"/>
      <c r="AC415" s="100"/>
      <c r="AD415" s="108"/>
      <c r="AE415" s="109"/>
      <c r="AF415" s="109"/>
      <c r="AG415" s="109"/>
      <c r="AH415" s="109"/>
      <c r="AI415" s="109"/>
      <c r="AJ415" s="108"/>
      <c r="AK415" s="100"/>
      <c r="AL415" s="142"/>
      <c r="AM415" s="142"/>
      <c r="AN415" s="100"/>
      <c r="AO415" s="100"/>
      <c r="AP415" s="142"/>
      <c r="AQ415" s="100"/>
      <c r="AR415" s="100"/>
      <c r="AS415" s="142"/>
      <c r="AT415" s="100"/>
      <c r="AU415" s="100"/>
      <c r="AV415" s="100"/>
    </row>
    <row r="416" spans="1:48" ht="16.3">
      <c r="A416" s="234" t="s">
        <v>364</v>
      </c>
      <c r="B416" s="261">
        <f>SUM(L416+M416+N416+O416+P416+U416+X416+Y416+Z416+AC416+AK416+AL416+AK416+AO416+AR416+AS416+AU416+AV416+AW416+AX416+AP416)</f>
        <v>0</v>
      </c>
      <c r="C416" s="215">
        <f>SUM(L416+M416+N416+O416+P416+U416+Y416+Z416+X416+AC416+AL416+AK416+AL416+AP416+AS416+AO416+AV416+AW416+AX416+AY416+AR416+AU416)+1</f>
        <v>1</v>
      </c>
      <c r="D416" s="139"/>
      <c r="E416" s="140"/>
      <c r="F416" s="135"/>
      <c r="G416" s="136"/>
      <c r="H416" s="683"/>
      <c r="I416" s="676"/>
      <c r="J416" s="534"/>
      <c r="K416" s="96"/>
      <c r="L416" s="104"/>
      <c r="M416" s="75"/>
      <c r="N416" s="75"/>
      <c r="O416" s="75"/>
      <c r="P416" s="75"/>
      <c r="Q416" s="97"/>
      <c r="R416" s="163"/>
      <c r="S416" s="109"/>
      <c r="T416" s="109"/>
      <c r="U416" s="100"/>
      <c r="V416" s="110"/>
      <c r="W416" s="110"/>
      <c r="X416" s="100"/>
      <c r="Y416" s="100"/>
      <c r="Z416" s="100"/>
      <c r="AA416" s="110"/>
      <c r="AB416" s="110"/>
      <c r="AC416" s="100"/>
      <c r="AD416" s="108"/>
      <c r="AE416" s="109"/>
      <c r="AF416" s="109"/>
      <c r="AG416" s="109"/>
      <c r="AH416" s="109"/>
      <c r="AI416" s="109"/>
      <c r="AJ416" s="108"/>
      <c r="AK416" s="100"/>
      <c r="AL416" s="142"/>
      <c r="AM416" s="142"/>
      <c r="AN416" s="100"/>
      <c r="AO416" s="100"/>
      <c r="AP416" s="142"/>
      <c r="AQ416" s="100"/>
      <c r="AR416" s="100"/>
      <c r="AS416" s="142"/>
      <c r="AT416" s="100"/>
      <c r="AU416" s="100"/>
      <c r="AV416" s="100"/>
    </row>
    <row r="417" spans="1:48" ht="16.3">
      <c r="A417" s="87" t="s">
        <v>3</v>
      </c>
      <c r="B417" s="260">
        <f>SUM(L417+M417+N417+O417+P417+U417+X417+Y417+Z417+AC417+AK417+AL417+AK417+AO417+AR417+AS417+AU417+AV417+AW417+AX417+AP417)+8</f>
        <v>9</v>
      </c>
      <c r="C417" s="214">
        <f>SUM(L417+M417+N417+O417+P417+U417+Y417+Z417+X417+AC417+AL417+AK417+AL417+AP417+AS417+AO417+AV417+AW417+AX417+AY417+AR417+AU417)+22</f>
        <v>23</v>
      </c>
      <c r="D417" s="133"/>
      <c r="E417" s="134"/>
      <c r="F417" s="135"/>
      <c r="G417" s="136"/>
      <c r="H417" s="683"/>
      <c r="I417" s="676"/>
      <c r="J417" s="534"/>
      <c r="K417" s="96"/>
      <c r="L417" s="104"/>
      <c r="M417" s="75"/>
      <c r="N417" s="75"/>
      <c r="O417" s="75"/>
      <c r="P417" s="75"/>
      <c r="Q417" s="97"/>
      <c r="R417" s="163"/>
      <c r="S417" s="109"/>
      <c r="T417" s="109"/>
      <c r="U417" s="100"/>
      <c r="V417" s="110">
        <v>1</v>
      </c>
      <c r="W417" s="110">
        <v>1</v>
      </c>
      <c r="X417" s="100">
        <v>1</v>
      </c>
      <c r="Y417" s="100"/>
      <c r="Z417" s="100"/>
      <c r="AA417" s="110"/>
      <c r="AB417" s="110"/>
      <c r="AC417" s="100"/>
      <c r="AD417" s="108"/>
      <c r="AE417" s="109"/>
      <c r="AF417" s="109"/>
      <c r="AG417" s="109"/>
      <c r="AH417" s="109"/>
      <c r="AI417" s="109"/>
      <c r="AJ417" s="108"/>
      <c r="AK417" s="100"/>
      <c r="AL417" s="142"/>
      <c r="AM417" s="142"/>
      <c r="AN417" s="100"/>
      <c r="AO417" s="100"/>
      <c r="AP417" s="142"/>
      <c r="AQ417" s="100"/>
      <c r="AR417" s="100"/>
      <c r="AS417" s="142"/>
      <c r="AT417" s="100"/>
      <c r="AU417" s="100"/>
      <c r="AV417" s="100"/>
    </row>
    <row r="418" spans="1:48" ht="17" thickBot="1">
      <c r="A418" s="88" t="s">
        <v>4</v>
      </c>
      <c r="B418" s="262">
        <f>SUM(L418+M418+N418+O418+P418+U418+X418+Y418+Z418+AC418+AK418+AL418+AK418+AO418+AR418+AS418+AU418+AV418+AW418+AX418+AP418)+40</f>
        <v>45</v>
      </c>
      <c r="C418" s="217">
        <f>SUM(L418+M418+N418+O418+P418+U418+Y418+Z418+X418+AC418+AL418+AK418+AL418+AP418+AS418+AO418+AV418+AW418+AX418+AY418+AR418+AU418)+110</f>
        <v>115</v>
      </c>
      <c r="D418" s="144"/>
      <c r="E418" s="145"/>
      <c r="F418" s="146"/>
      <c r="G418" s="147"/>
      <c r="H418" s="684"/>
      <c r="I418" s="677"/>
      <c r="J418" s="535"/>
      <c r="K418" s="114"/>
      <c r="L418" s="113"/>
      <c r="M418" s="112"/>
      <c r="N418" s="112"/>
      <c r="O418" s="112"/>
      <c r="P418" s="112"/>
      <c r="Q418" s="115"/>
      <c r="R418" s="164"/>
      <c r="S418" s="118"/>
      <c r="T418" s="114"/>
      <c r="U418" s="100"/>
      <c r="V418" s="110">
        <v>5</v>
      </c>
      <c r="W418" s="110">
        <v>5</v>
      </c>
      <c r="X418" s="100">
        <v>5</v>
      </c>
      <c r="Y418" s="100"/>
      <c r="Z418" s="100"/>
      <c r="AA418" s="110"/>
      <c r="AB418" s="110"/>
      <c r="AC418" s="100"/>
      <c r="AD418" s="108"/>
      <c r="AE418" s="109"/>
      <c r="AF418" s="109"/>
      <c r="AG418" s="109"/>
      <c r="AH418" s="109"/>
      <c r="AI418" s="109"/>
      <c r="AJ418" s="108"/>
      <c r="AK418" s="100"/>
      <c r="AL418" s="142"/>
      <c r="AM418" s="142"/>
      <c r="AN418" s="100"/>
      <c r="AO418" s="100"/>
      <c r="AP418" s="142"/>
      <c r="AQ418" s="100"/>
      <c r="AR418" s="100"/>
      <c r="AS418" s="142"/>
      <c r="AT418" s="100"/>
      <c r="AU418" s="100"/>
      <c r="AV418" s="100"/>
    </row>
    <row r="419" spans="1:48" ht="21.1">
      <c r="A419" s="86" t="s">
        <v>173</v>
      </c>
      <c r="B419" s="264"/>
      <c r="C419" s="218"/>
      <c r="D419" s="153"/>
      <c r="E419" s="154"/>
      <c r="F419" s="155"/>
      <c r="G419" s="156"/>
      <c r="H419" s="682"/>
      <c r="I419" s="757"/>
      <c r="J419" s="536"/>
      <c r="K419" s="124"/>
      <c r="L419" s="123" t="s">
        <v>373</v>
      </c>
      <c r="M419" s="122">
        <v>7</v>
      </c>
      <c r="N419" s="122" t="s">
        <v>382</v>
      </c>
      <c r="O419" s="122"/>
      <c r="P419" s="122" t="s">
        <v>373</v>
      </c>
      <c r="Q419" s="125" t="s">
        <v>775</v>
      </c>
      <c r="R419" s="166"/>
      <c r="S419" s="99" t="s">
        <v>775</v>
      </c>
      <c r="T419" s="99" t="s">
        <v>775</v>
      </c>
      <c r="U419" s="102"/>
      <c r="V419" s="101" t="s">
        <v>373</v>
      </c>
      <c r="W419" s="101" t="s">
        <v>339</v>
      </c>
      <c r="X419" s="102" t="s">
        <v>339</v>
      </c>
      <c r="Y419" s="102" t="s">
        <v>375</v>
      </c>
      <c r="Z419" s="102" t="s">
        <v>373</v>
      </c>
      <c r="AA419" s="101" t="s">
        <v>375</v>
      </c>
      <c r="AB419" s="101">
        <v>6</v>
      </c>
      <c r="AC419" s="102" t="s">
        <v>441</v>
      </c>
      <c r="AD419" s="98"/>
      <c r="AE419" s="99" t="s">
        <v>775</v>
      </c>
      <c r="AF419" s="99" t="s">
        <v>775</v>
      </c>
      <c r="AG419" s="99" t="s">
        <v>775</v>
      </c>
      <c r="AH419" s="99" t="s">
        <v>775</v>
      </c>
      <c r="AI419" s="99" t="s">
        <v>775</v>
      </c>
      <c r="AJ419" s="98"/>
      <c r="AK419" s="102"/>
      <c r="AL419" s="138"/>
      <c r="AM419" s="138"/>
      <c r="AN419" s="102"/>
      <c r="AO419" s="102"/>
      <c r="AP419" s="138"/>
      <c r="AQ419" s="102"/>
      <c r="AR419" s="102"/>
      <c r="AS419" s="138"/>
      <c r="AT419" s="102"/>
      <c r="AU419" s="102"/>
      <c r="AV419" s="102"/>
    </row>
    <row r="420" spans="1:48" ht="16.3">
      <c r="A420" s="246" t="s">
        <v>1</v>
      </c>
      <c r="B420" s="261">
        <f>SUM(L420+M420+N420+O420+P420+U420+X420+Y420+Z420+AC420+AK420+AL420+AK420+AO420+AR420+AS420+AU420+AV420+AW420+AX420+AP420)+11</f>
        <v>16</v>
      </c>
      <c r="C420" s="215">
        <f>SUM(L420+M420+N420+O420+P420+U420+Y420+Z420+X420+AC420+AL420+AK420+AL420+AP420+AS420+AO420+AV420+AW420+AX420+AY420+AR420+AU420)+28</f>
        <v>33</v>
      </c>
      <c r="D420" s="139"/>
      <c r="E420" s="140"/>
      <c r="F420" s="135"/>
      <c r="G420" s="136"/>
      <c r="H420" s="683"/>
      <c r="I420" s="676"/>
      <c r="J420" s="534"/>
      <c r="K420" s="96"/>
      <c r="L420" s="104">
        <v>1</v>
      </c>
      <c r="M420" s="75">
        <v>1</v>
      </c>
      <c r="N420" s="75">
        <v>1</v>
      </c>
      <c r="O420" s="75"/>
      <c r="P420" s="75">
        <v>1</v>
      </c>
      <c r="Q420" s="97"/>
      <c r="R420" s="163"/>
      <c r="S420" s="109"/>
      <c r="T420" s="109"/>
      <c r="U420" s="100"/>
      <c r="V420" s="110">
        <v>1</v>
      </c>
      <c r="W420" s="110"/>
      <c r="X420" s="100"/>
      <c r="Y420" s="100"/>
      <c r="Z420" s="100">
        <v>1</v>
      </c>
      <c r="AA420" s="110"/>
      <c r="AB420" s="110">
        <v>1</v>
      </c>
      <c r="AC420" s="100"/>
      <c r="AD420" s="108"/>
      <c r="AE420" s="109"/>
      <c r="AF420" s="109"/>
      <c r="AG420" s="109"/>
      <c r="AH420" s="109"/>
      <c r="AI420" s="109"/>
      <c r="AJ420" s="108"/>
      <c r="AK420" s="100"/>
      <c r="AL420" s="142"/>
      <c r="AM420" s="142"/>
      <c r="AN420" s="100"/>
      <c r="AO420" s="100"/>
      <c r="AP420" s="142"/>
      <c r="AQ420" s="100"/>
      <c r="AR420" s="100"/>
      <c r="AS420" s="142"/>
      <c r="AT420" s="100"/>
      <c r="AU420" s="100"/>
      <c r="AV420" s="100"/>
    </row>
    <row r="421" spans="1:48" ht="16.3">
      <c r="A421" s="246" t="s">
        <v>2</v>
      </c>
      <c r="B421" s="261">
        <f>SUM(L421+M421+N421+O421+P421+U421+X421+Y421+Z421+AC421+AK421+AL421+AK421+AO421+AR421+AS421+AU421+AV421+AW421+AX421+AP421)+4</f>
        <v>6</v>
      </c>
      <c r="C421" s="215">
        <f>SUM(L421+M421+N421+O421+P421+U421+Y421+Z421+X421+AC421+AL421+AK421+AL421+AP421+AS421+AO421+AV421+AW421+AX421+AY421+AR421+AU421)+6</f>
        <v>8</v>
      </c>
      <c r="D421" s="139"/>
      <c r="E421" s="140"/>
      <c r="F421" s="135"/>
      <c r="G421" s="136"/>
      <c r="H421" s="683"/>
      <c r="I421" s="676"/>
      <c r="J421" s="534"/>
      <c r="K421" s="96"/>
      <c r="L421" s="104"/>
      <c r="M421" s="75"/>
      <c r="N421" s="75"/>
      <c r="O421" s="75"/>
      <c r="P421" s="75"/>
      <c r="Q421" s="97"/>
      <c r="R421" s="163"/>
      <c r="S421" s="109"/>
      <c r="T421" s="109"/>
      <c r="U421" s="100"/>
      <c r="V421" s="110"/>
      <c r="W421" s="110"/>
      <c r="X421" s="100"/>
      <c r="Y421" s="100">
        <v>1</v>
      </c>
      <c r="Z421" s="100"/>
      <c r="AA421" s="110">
        <v>1</v>
      </c>
      <c r="AB421" s="110"/>
      <c r="AC421" s="100">
        <v>1</v>
      </c>
      <c r="AD421" s="108"/>
      <c r="AE421" s="109"/>
      <c r="AF421" s="109"/>
      <c r="AG421" s="109"/>
      <c r="AH421" s="109"/>
      <c r="AI421" s="109"/>
      <c r="AJ421" s="108"/>
      <c r="AK421" s="100"/>
      <c r="AL421" s="142"/>
      <c r="AM421" s="142"/>
      <c r="AN421" s="100"/>
      <c r="AO421" s="100"/>
      <c r="AP421" s="142"/>
      <c r="AQ421" s="100"/>
      <c r="AR421" s="100"/>
      <c r="AS421" s="142"/>
      <c r="AT421" s="100"/>
      <c r="AU421" s="100"/>
      <c r="AV421" s="100"/>
    </row>
    <row r="422" spans="1:48" ht="16.3">
      <c r="A422" s="87" t="s">
        <v>363</v>
      </c>
      <c r="B422" s="260">
        <f>SUM(B420+B421)</f>
        <v>22</v>
      </c>
      <c r="C422" s="214">
        <f>SUM(C420+C421)</f>
        <v>41</v>
      </c>
      <c r="D422" s="133"/>
      <c r="E422" s="134"/>
      <c r="F422" s="135"/>
      <c r="G422" s="136"/>
      <c r="H422" s="683"/>
      <c r="I422" s="676"/>
      <c r="J422" s="534"/>
      <c r="K422" s="96"/>
      <c r="L422" s="104"/>
      <c r="M422" s="75"/>
      <c r="N422" s="75"/>
      <c r="O422" s="75"/>
      <c r="P422" s="75"/>
      <c r="Q422" s="97"/>
      <c r="R422" s="163"/>
      <c r="S422" s="109"/>
      <c r="T422" s="109"/>
      <c r="U422" s="100"/>
      <c r="V422" s="110"/>
      <c r="W422" s="110"/>
      <c r="X422" s="100"/>
      <c r="Y422" s="100"/>
      <c r="Z422" s="100"/>
      <c r="AA422" s="110"/>
      <c r="AB422" s="110"/>
      <c r="AC422" s="100"/>
      <c r="AD422" s="108"/>
      <c r="AE422" s="109"/>
      <c r="AF422" s="109"/>
      <c r="AG422" s="109"/>
      <c r="AH422" s="109"/>
      <c r="AI422" s="109"/>
      <c r="AJ422" s="108"/>
      <c r="AK422" s="100"/>
      <c r="AL422" s="142"/>
      <c r="AM422" s="142"/>
      <c r="AN422" s="100"/>
      <c r="AO422" s="100"/>
      <c r="AP422" s="142"/>
      <c r="AQ422" s="100"/>
      <c r="AR422" s="100"/>
      <c r="AS422" s="142"/>
      <c r="AT422" s="100"/>
      <c r="AU422" s="100"/>
      <c r="AV422" s="100"/>
    </row>
    <row r="423" spans="1:48" ht="16.3">
      <c r="A423" s="246" t="s">
        <v>362</v>
      </c>
      <c r="B423" s="261">
        <f>SUM(L423+M423+N423+O423+P423+U423+X423+Y423+Z423+AC423+AK423+AL423+AK423+AO423+AR423+AS423+AU423+AV423+AW423+AX423+AP423)+1</f>
        <v>2</v>
      </c>
      <c r="C423" s="215">
        <f>SUM(L423+M423+N423+O423+P423+U423+Y423+Z423+X423+AC423+AL423+AK423+AL423+AP423+AS423+AO423+AV423+AW423+AX423+AY423+AR423+AU423)+2</f>
        <v>3</v>
      </c>
      <c r="D423" s="139"/>
      <c r="E423" s="140"/>
      <c r="F423" s="135"/>
      <c r="G423" s="136"/>
      <c r="H423" s="683"/>
      <c r="I423" s="676"/>
      <c r="J423" s="534"/>
      <c r="K423" s="96"/>
      <c r="L423" s="104"/>
      <c r="M423" s="75"/>
      <c r="N423" s="75"/>
      <c r="O423" s="75"/>
      <c r="P423" s="75"/>
      <c r="Q423" s="97"/>
      <c r="R423" s="163"/>
      <c r="S423" s="109"/>
      <c r="T423" s="109"/>
      <c r="U423" s="100"/>
      <c r="V423" s="110"/>
      <c r="W423" s="110"/>
      <c r="X423" s="100"/>
      <c r="Y423" s="100"/>
      <c r="Z423" s="100"/>
      <c r="AA423" s="110"/>
      <c r="AB423" s="110"/>
      <c r="AC423" s="100">
        <v>1</v>
      </c>
      <c r="AD423" s="108"/>
      <c r="AE423" s="109"/>
      <c r="AF423" s="109"/>
      <c r="AG423" s="109"/>
      <c r="AH423" s="109"/>
      <c r="AI423" s="109"/>
      <c r="AJ423" s="108"/>
      <c r="AK423" s="100"/>
      <c r="AL423" s="142"/>
      <c r="AM423" s="142"/>
      <c r="AN423" s="100"/>
      <c r="AO423" s="100"/>
      <c r="AP423" s="142"/>
      <c r="AQ423" s="100"/>
      <c r="AR423" s="100"/>
      <c r="AS423" s="142"/>
      <c r="AT423" s="100"/>
      <c r="AU423" s="100"/>
      <c r="AV423" s="100"/>
    </row>
    <row r="424" spans="1:48" ht="16.3">
      <c r="A424" s="87" t="s">
        <v>3</v>
      </c>
      <c r="B424" s="260">
        <f>SUM(L424+M424+N424+O424+P424+U424+X424+Y424+Z424+AC424+AK424+AL424+AK424+AO424+AR424+AS424+AU424+AV424+AW424+AX424+AP424)+4</f>
        <v>6</v>
      </c>
      <c r="C424" s="214">
        <f>SUM(L424+M424+N424+O424+P424+U424+Y424+Z424+X424+AC424+AL424+AK424+AL424+AP424+AS424+AO424+AV424+AW424+AX424+AY424+AR424+AU424)+7</f>
        <v>9</v>
      </c>
      <c r="D424" s="133"/>
      <c r="E424" s="134"/>
      <c r="F424" s="135"/>
      <c r="G424" s="136"/>
      <c r="H424" s="683"/>
      <c r="I424" s="676"/>
      <c r="J424" s="534"/>
      <c r="K424" s="96"/>
      <c r="L424" s="104"/>
      <c r="M424" s="75"/>
      <c r="N424" s="75"/>
      <c r="O424" s="75"/>
      <c r="P424" s="75">
        <v>1</v>
      </c>
      <c r="Q424" s="97"/>
      <c r="R424" s="163"/>
      <c r="S424" s="109"/>
      <c r="T424" s="109"/>
      <c r="U424" s="100"/>
      <c r="V424" s="110"/>
      <c r="W424" s="110"/>
      <c r="X424" s="100"/>
      <c r="Y424" s="100"/>
      <c r="Z424" s="100"/>
      <c r="AA424" s="110"/>
      <c r="AB424" s="110"/>
      <c r="AC424" s="100">
        <v>1</v>
      </c>
      <c r="AD424" s="108"/>
      <c r="AE424" s="109"/>
      <c r="AF424" s="109"/>
      <c r="AG424" s="109"/>
      <c r="AH424" s="109"/>
      <c r="AI424" s="109"/>
      <c r="AJ424" s="108"/>
      <c r="AK424" s="100"/>
      <c r="AL424" s="142"/>
      <c r="AM424" s="142"/>
      <c r="AN424" s="100"/>
      <c r="AO424" s="100"/>
      <c r="AP424" s="142"/>
      <c r="AQ424" s="100"/>
      <c r="AR424" s="100"/>
      <c r="AS424" s="142"/>
      <c r="AT424" s="100"/>
      <c r="AU424" s="100"/>
      <c r="AV424" s="100"/>
    </row>
    <row r="425" spans="1:48" ht="17" thickBot="1">
      <c r="A425" s="88" t="s">
        <v>4</v>
      </c>
      <c r="B425" s="260">
        <f>SUM(L425+M425+N425+O425+P425+U425+X425+Y425+Z425+AC425+AK425+AL425+AK425+AO425+AR425+AS425+AU425+AV425+AW425+AX425+AP425)+20</f>
        <v>30</v>
      </c>
      <c r="C425" s="214">
        <f>SUM(L425+M425+N425+O425+P425+U425+Y425+Z425+X425+AC425+AL425+AK425+AL425+AP425+AS425+AO425+AV425+AW425+AX425+AY425+AR425+AU425)+35</f>
        <v>45</v>
      </c>
      <c r="D425" s="133"/>
      <c r="E425" s="134"/>
      <c r="F425" s="135"/>
      <c r="G425" s="136"/>
      <c r="H425" s="683"/>
      <c r="I425" s="676"/>
      <c r="J425" s="534"/>
      <c r="K425" s="96"/>
      <c r="L425" s="104"/>
      <c r="M425" s="75"/>
      <c r="N425" s="75"/>
      <c r="O425" s="75"/>
      <c r="P425" s="75">
        <v>5</v>
      </c>
      <c r="Q425" s="97"/>
      <c r="R425" s="163"/>
      <c r="S425" s="109"/>
      <c r="T425" s="109"/>
      <c r="U425" s="100"/>
      <c r="V425" s="110"/>
      <c r="W425" s="110"/>
      <c r="X425" s="100"/>
      <c r="Y425" s="100"/>
      <c r="Z425" s="100"/>
      <c r="AA425" s="110"/>
      <c r="AB425" s="110"/>
      <c r="AC425" s="100">
        <v>5</v>
      </c>
      <c r="AD425" s="108"/>
      <c r="AE425" s="109"/>
      <c r="AF425" s="109"/>
      <c r="AG425" s="109"/>
      <c r="AH425" s="109"/>
      <c r="AI425" s="109"/>
      <c r="AJ425" s="108"/>
      <c r="AK425" s="100"/>
      <c r="AL425" s="142"/>
      <c r="AM425" s="142"/>
      <c r="AN425" s="100"/>
      <c r="AO425" s="100"/>
      <c r="AP425" s="142"/>
      <c r="AQ425" s="100"/>
      <c r="AR425" s="100"/>
      <c r="AS425" s="142"/>
      <c r="AT425" s="100"/>
      <c r="AU425" s="100"/>
      <c r="AV425" s="100"/>
    </row>
    <row r="426" spans="1:48" ht="21.1">
      <c r="A426" s="86" t="s">
        <v>11</v>
      </c>
      <c r="B426" s="264"/>
      <c r="C426" s="218"/>
      <c r="D426" s="153"/>
      <c r="E426" s="154"/>
      <c r="F426" s="155"/>
      <c r="G426" s="156"/>
      <c r="H426" s="682"/>
      <c r="I426" s="757"/>
      <c r="J426" s="536"/>
      <c r="K426" s="124" t="s">
        <v>501</v>
      </c>
      <c r="L426" s="123" t="s">
        <v>375</v>
      </c>
      <c r="M426" s="122" t="s">
        <v>375</v>
      </c>
      <c r="N426" s="122">
        <v>7</v>
      </c>
      <c r="O426" s="122">
        <v>7</v>
      </c>
      <c r="P426" s="122" t="s">
        <v>375</v>
      </c>
      <c r="Q426" s="125" t="s">
        <v>775</v>
      </c>
      <c r="R426" s="166"/>
      <c r="S426" s="99" t="s">
        <v>775</v>
      </c>
      <c r="T426" s="99" t="s">
        <v>775</v>
      </c>
      <c r="U426" s="102"/>
      <c r="V426" s="101" t="s">
        <v>375</v>
      </c>
      <c r="W426" s="101" t="s">
        <v>373</v>
      </c>
      <c r="X426" s="102" t="s">
        <v>375</v>
      </c>
      <c r="Y426" s="102">
        <v>7</v>
      </c>
      <c r="Z426" s="102" t="s">
        <v>375</v>
      </c>
      <c r="AA426" s="101"/>
      <c r="AB426" s="101" t="s">
        <v>373</v>
      </c>
      <c r="AC426" s="102" t="s">
        <v>375</v>
      </c>
      <c r="AD426" s="98"/>
      <c r="AE426" s="99" t="s">
        <v>775</v>
      </c>
      <c r="AF426" s="99" t="s">
        <v>775</v>
      </c>
      <c r="AG426" s="99" t="s">
        <v>775</v>
      </c>
      <c r="AH426" s="99" t="s">
        <v>775</v>
      </c>
      <c r="AI426" s="99" t="s">
        <v>775</v>
      </c>
      <c r="AJ426" s="98"/>
      <c r="AK426" s="102"/>
      <c r="AL426" s="138"/>
      <c r="AM426" s="138"/>
      <c r="AN426" s="102"/>
      <c r="AO426" s="102"/>
      <c r="AP426" s="138"/>
      <c r="AQ426" s="102"/>
      <c r="AR426" s="102"/>
      <c r="AS426" s="138"/>
      <c r="AT426" s="102"/>
      <c r="AU426" s="102"/>
      <c r="AV426" s="102"/>
    </row>
    <row r="427" spans="1:48" ht="16.3">
      <c r="A427" s="246" t="s">
        <v>1</v>
      </c>
      <c r="B427" s="261">
        <f>SUM(L427+M427+N427+O427+P427+U427+X427+Y427+Z427+AC427+AK427+AL427+AK427+AO427+AR427+AS427+AU427+AV427+AW427+AX427+AP427)+69</f>
        <v>72</v>
      </c>
      <c r="C427" s="215">
        <f>SUM(L427+M427+N427+O427+P427+U427+Y427+Z427+X427+AC427+AL427+AK427+AL427+AP427+AS427+AO427+AV427+AW427+AX427+AY427+AR427+AU427)+69</f>
        <v>72</v>
      </c>
      <c r="D427" s="139"/>
      <c r="E427" s="140"/>
      <c r="F427" s="135"/>
      <c r="G427" s="136"/>
      <c r="H427" s="683"/>
      <c r="I427" s="676"/>
      <c r="J427" s="534"/>
      <c r="K427" s="96"/>
      <c r="L427" s="104"/>
      <c r="M427" s="75"/>
      <c r="N427" s="75">
        <v>1</v>
      </c>
      <c r="O427" s="75">
        <v>1</v>
      </c>
      <c r="P427" s="75"/>
      <c r="Q427" s="97"/>
      <c r="R427" s="163"/>
      <c r="S427" s="109"/>
      <c r="T427" s="109"/>
      <c r="U427" s="100"/>
      <c r="V427" s="110"/>
      <c r="W427" s="110">
        <v>1</v>
      </c>
      <c r="X427" s="100"/>
      <c r="Y427" s="100">
        <v>1</v>
      </c>
      <c r="Z427" s="100"/>
      <c r="AA427" s="110"/>
      <c r="AB427" s="110">
        <v>1</v>
      </c>
      <c r="AC427" s="100"/>
      <c r="AD427" s="108"/>
      <c r="AE427" s="109"/>
      <c r="AF427" s="109"/>
      <c r="AG427" s="109"/>
      <c r="AH427" s="109"/>
      <c r="AI427" s="109"/>
      <c r="AJ427" s="108"/>
      <c r="AK427" s="100"/>
      <c r="AL427" s="142"/>
      <c r="AM427" s="142"/>
      <c r="AN427" s="100"/>
      <c r="AO427" s="100"/>
      <c r="AP427" s="142"/>
      <c r="AQ427" s="100"/>
      <c r="AR427" s="100"/>
      <c r="AS427" s="142"/>
      <c r="AT427" s="100"/>
      <c r="AU427" s="100"/>
      <c r="AV427" s="100"/>
    </row>
    <row r="428" spans="1:48" ht="16.3">
      <c r="A428" s="246" t="s">
        <v>2</v>
      </c>
      <c r="B428" s="261">
        <f>SUM(L428+M428+N428+O428+P428+U428+X428+Y428+Z428+AC428+AK428+AL428+AK428+AO428+AR428+AS428+AU428+AV428+AW428+AX428+AP428)+11</f>
        <v>17</v>
      </c>
      <c r="C428" s="215">
        <f>SUM(L428+M428+N428+O428+P428+U428+Y428+Z428+X428+AC428+AL428+AK428+AL428+AP428+AS428+AO428+AV428+AW428+AX428+AY428+AR428+AU428)+12</f>
        <v>18</v>
      </c>
      <c r="D428" s="139"/>
      <c r="E428" s="140"/>
      <c r="F428" s="135"/>
      <c r="G428" s="136"/>
      <c r="H428" s="683"/>
      <c r="I428" s="676"/>
      <c r="J428" s="534"/>
      <c r="K428" s="96"/>
      <c r="L428" s="104">
        <v>1</v>
      </c>
      <c r="M428" s="75">
        <v>1</v>
      </c>
      <c r="N428" s="75"/>
      <c r="O428" s="75"/>
      <c r="P428" s="75">
        <v>1</v>
      </c>
      <c r="Q428" s="96"/>
      <c r="R428" s="105"/>
      <c r="S428" s="96"/>
      <c r="T428" s="96"/>
      <c r="U428" s="75"/>
      <c r="V428" s="106">
        <v>1</v>
      </c>
      <c r="W428" s="106"/>
      <c r="X428" s="75">
        <v>1</v>
      </c>
      <c r="Y428" s="75"/>
      <c r="Z428" s="75">
        <v>1</v>
      </c>
      <c r="AA428" s="106"/>
      <c r="AB428" s="106"/>
      <c r="AC428" s="75">
        <v>1</v>
      </c>
      <c r="AD428" s="105"/>
      <c r="AE428" s="96"/>
      <c r="AF428" s="96"/>
      <c r="AG428" s="96"/>
      <c r="AH428" s="96"/>
      <c r="AI428" s="96"/>
      <c r="AJ428" s="105"/>
      <c r="AK428" s="75"/>
      <c r="AL428" s="141"/>
      <c r="AM428" s="141"/>
      <c r="AN428" s="75"/>
      <c r="AO428" s="75"/>
      <c r="AP428" s="141"/>
      <c r="AQ428" s="75"/>
      <c r="AR428" s="75"/>
      <c r="AS428" s="141"/>
      <c r="AT428" s="75"/>
      <c r="AU428" s="75"/>
      <c r="AV428" s="75"/>
    </row>
    <row r="429" spans="1:48" ht="16.3">
      <c r="A429" s="87" t="s">
        <v>363</v>
      </c>
      <c r="B429" s="260">
        <f>SUM(B427+B428)</f>
        <v>89</v>
      </c>
      <c r="C429" s="214">
        <f>SUM(C427+C428)</f>
        <v>90</v>
      </c>
      <c r="D429" s="133"/>
      <c r="E429" s="134"/>
      <c r="F429" s="135"/>
      <c r="G429" s="136"/>
      <c r="H429" s="683"/>
      <c r="I429" s="676"/>
      <c r="J429" s="534"/>
      <c r="K429" s="96"/>
      <c r="L429" s="104"/>
      <c r="M429" s="75"/>
      <c r="N429" s="75"/>
      <c r="O429" s="75"/>
      <c r="P429" s="75"/>
      <c r="Q429" s="97"/>
      <c r="R429" s="163"/>
      <c r="S429" s="109"/>
      <c r="T429" s="109"/>
      <c r="U429" s="100"/>
      <c r="V429" s="110"/>
      <c r="W429" s="110"/>
      <c r="X429" s="100"/>
      <c r="Y429" s="100"/>
      <c r="Z429" s="100"/>
      <c r="AA429" s="110"/>
      <c r="AB429" s="110"/>
      <c r="AC429" s="100"/>
      <c r="AD429" s="108"/>
      <c r="AE429" s="109"/>
      <c r="AF429" s="109"/>
      <c r="AG429" s="109"/>
      <c r="AH429" s="109"/>
      <c r="AI429" s="109"/>
      <c r="AJ429" s="108"/>
      <c r="AK429" s="100"/>
      <c r="AL429" s="142"/>
      <c r="AM429" s="142"/>
      <c r="AN429" s="100"/>
      <c r="AO429" s="100"/>
      <c r="AP429" s="142"/>
      <c r="AQ429" s="100"/>
      <c r="AR429" s="100"/>
      <c r="AS429" s="142"/>
      <c r="AT429" s="100"/>
      <c r="AU429" s="100"/>
      <c r="AV429" s="100"/>
    </row>
    <row r="430" spans="1:48" ht="16.3">
      <c r="A430" s="246" t="s">
        <v>362</v>
      </c>
      <c r="B430" s="261">
        <f>SUM(L430+M430+N430+O430+P430+U430+X430+Y430+Z430+AC430+AK430+AL430+AK430+AO430+AR430+AS430+AU430+AV430+AW430+AX430+AP430)+3</f>
        <v>3</v>
      </c>
      <c r="C430" s="215">
        <f>SUM(L430+M430+N430+O430+P430+U430+Y430+Z430+X430+AC430+AL430+AK430+AL430+AP430+AS430+AO430+AV430+AW430+AX430+AY430+AR430+AU430)+3</f>
        <v>3</v>
      </c>
      <c r="D430" s="139"/>
      <c r="E430" s="140"/>
      <c r="F430" s="169"/>
      <c r="G430" s="170"/>
      <c r="H430" s="685"/>
      <c r="I430" s="678"/>
      <c r="J430" s="534"/>
      <c r="K430" s="96"/>
      <c r="L430" s="104"/>
      <c r="M430" s="75"/>
      <c r="N430" s="75"/>
      <c r="O430" s="75"/>
      <c r="P430" s="75"/>
      <c r="Q430" s="97"/>
      <c r="R430" s="163"/>
      <c r="S430" s="109"/>
      <c r="T430" s="109"/>
      <c r="U430" s="100"/>
      <c r="V430" s="110"/>
      <c r="W430" s="110"/>
      <c r="X430" s="100"/>
      <c r="Y430" s="100"/>
      <c r="Z430" s="100"/>
      <c r="AA430" s="110"/>
      <c r="AB430" s="110"/>
      <c r="AC430" s="100"/>
      <c r="AD430" s="108"/>
      <c r="AE430" s="109"/>
      <c r="AF430" s="109"/>
      <c r="AG430" s="109"/>
      <c r="AH430" s="109"/>
      <c r="AI430" s="109"/>
      <c r="AJ430" s="108"/>
      <c r="AK430" s="100"/>
      <c r="AL430" s="142"/>
      <c r="AM430" s="142"/>
      <c r="AN430" s="100"/>
      <c r="AO430" s="100"/>
      <c r="AP430" s="142"/>
      <c r="AQ430" s="100"/>
      <c r="AR430" s="100"/>
      <c r="AS430" s="142"/>
      <c r="AT430" s="100"/>
      <c r="AU430" s="100"/>
      <c r="AV430" s="100"/>
    </row>
    <row r="431" spans="1:48" ht="16.3">
      <c r="A431" s="87" t="s">
        <v>3</v>
      </c>
      <c r="B431" s="260">
        <f>SUM(L431+M431+N431+O431+P431+U431+X431+Y431+Z431+AC431+AK431+AL431+AK431+AO431+AR431+AS431+AU431+AV431+AW431+AX431+AP431)+12</f>
        <v>15</v>
      </c>
      <c r="C431" s="214">
        <f>SUM(L431+M431+N431+O431+P431+U431+Y431+Z431+X431+AC431+AL431+AK431+AL431+AP431+AS431+AO431+AV431+AW431+AX431+AY431+AR431+AU431)+12</f>
        <v>15</v>
      </c>
      <c r="D431" s="133"/>
      <c r="E431" s="134"/>
      <c r="F431" s="135"/>
      <c r="G431" s="136"/>
      <c r="H431" s="683"/>
      <c r="I431" s="676"/>
      <c r="J431" s="534"/>
      <c r="K431" s="96"/>
      <c r="L431" s="104">
        <v>1</v>
      </c>
      <c r="M431" s="75"/>
      <c r="N431" s="75"/>
      <c r="O431" s="75">
        <v>1</v>
      </c>
      <c r="P431" s="75">
        <v>1</v>
      </c>
      <c r="Q431" s="97"/>
      <c r="R431" s="163"/>
      <c r="S431" s="109"/>
      <c r="T431" s="109"/>
      <c r="U431" s="100"/>
      <c r="V431" s="110"/>
      <c r="W431" s="110"/>
      <c r="X431" s="100"/>
      <c r="Y431" s="100"/>
      <c r="Z431" s="100"/>
      <c r="AA431" s="110"/>
      <c r="AB431" s="110"/>
      <c r="AC431" s="100"/>
      <c r="AD431" s="108"/>
      <c r="AE431" s="109"/>
      <c r="AF431" s="109"/>
      <c r="AG431" s="109"/>
      <c r="AH431" s="109"/>
      <c r="AI431" s="109"/>
      <c r="AJ431" s="108"/>
      <c r="AK431" s="100"/>
      <c r="AL431" s="142"/>
      <c r="AM431" s="142"/>
      <c r="AN431" s="100"/>
      <c r="AO431" s="100"/>
      <c r="AP431" s="142"/>
      <c r="AQ431" s="100"/>
      <c r="AR431" s="100"/>
      <c r="AS431" s="142"/>
      <c r="AT431" s="100"/>
      <c r="AU431" s="100"/>
      <c r="AV431" s="100"/>
    </row>
    <row r="432" spans="1:48" ht="17" thickBot="1">
      <c r="A432" s="88" t="s">
        <v>4</v>
      </c>
      <c r="B432" s="262">
        <f>SUM(L432+M432+N432+O432+P432+U432+X432+Y432+Z432+AC432+AK432+AL432+AK432+AO432+AR432+AS432+AU432+AV432+AW432+AX432+AP432)+60</f>
        <v>75</v>
      </c>
      <c r="C432" s="217">
        <f>SUM(L432+M432+N432+O432+P432+U432+Y432+Z432+X432+AC432+AL432+AK432+AL432+AP432+AS432+AO432+AV432+AW432+AX432+AY432+AR432+AU432)+60</f>
        <v>75</v>
      </c>
      <c r="D432" s="144"/>
      <c r="E432" s="145"/>
      <c r="F432" s="146"/>
      <c r="G432" s="147"/>
      <c r="H432" s="684"/>
      <c r="I432" s="677"/>
      <c r="J432" s="535"/>
      <c r="K432" s="114"/>
      <c r="L432" s="113">
        <v>5</v>
      </c>
      <c r="M432" s="112"/>
      <c r="N432" s="112"/>
      <c r="O432" s="112">
        <v>5</v>
      </c>
      <c r="P432" s="112">
        <v>5</v>
      </c>
      <c r="Q432" s="115"/>
      <c r="R432" s="164"/>
      <c r="S432" s="118"/>
      <c r="T432" s="114"/>
      <c r="U432" s="116"/>
      <c r="V432" s="120"/>
      <c r="W432" s="120"/>
      <c r="X432" s="116"/>
      <c r="Y432" s="116"/>
      <c r="Z432" s="116"/>
      <c r="AA432" s="120"/>
      <c r="AB432" s="120"/>
      <c r="AC432" s="116"/>
      <c r="AD432" s="117"/>
      <c r="AE432" s="118"/>
      <c r="AF432" s="118"/>
      <c r="AG432" s="118"/>
      <c r="AH432" s="118"/>
      <c r="AI432" s="118"/>
      <c r="AJ432" s="117"/>
      <c r="AK432" s="116"/>
      <c r="AL432" s="149"/>
      <c r="AM432" s="149"/>
      <c r="AN432" s="116"/>
      <c r="AO432" s="116"/>
      <c r="AP432" s="149"/>
      <c r="AQ432" s="116"/>
      <c r="AR432" s="116"/>
      <c r="AS432" s="149"/>
      <c r="AT432" s="116"/>
      <c r="AU432" s="116"/>
      <c r="AV432" s="116"/>
    </row>
    <row r="433" spans="1:48" ht="21.1">
      <c r="A433" s="82" t="s">
        <v>665</v>
      </c>
      <c r="B433" s="260"/>
      <c r="C433" s="214"/>
      <c r="D433" s="133"/>
      <c r="E433" s="134"/>
      <c r="F433" s="135"/>
      <c r="G433" s="136"/>
      <c r="H433" s="683"/>
      <c r="I433" s="676"/>
      <c r="J433" s="534"/>
      <c r="K433" s="96" t="s">
        <v>373</v>
      </c>
      <c r="L433" s="104"/>
      <c r="M433" s="75"/>
      <c r="N433" s="75"/>
      <c r="O433" s="75"/>
      <c r="P433" s="75"/>
      <c r="Q433" s="97"/>
      <c r="R433" s="163"/>
      <c r="S433" s="109" t="s">
        <v>373</v>
      </c>
      <c r="T433" s="109"/>
      <c r="U433" s="100" t="s">
        <v>830</v>
      </c>
      <c r="V433" s="110" t="s">
        <v>344</v>
      </c>
      <c r="W433" s="110" t="s">
        <v>344</v>
      </c>
      <c r="X433" s="100" t="s">
        <v>344</v>
      </c>
      <c r="Y433" s="100" t="s">
        <v>344</v>
      </c>
      <c r="Z433" s="100" t="s">
        <v>344</v>
      </c>
      <c r="AA433" s="110" t="s">
        <v>344</v>
      </c>
      <c r="AB433" s="110" t="s">
        <v>344</v>
      </c>
      <c r="AC433" s="100" t="s">
        <v>344</v>
      </c>
      <c r="AD433" s="108"/>
      <c r="AE433" s="109" t="s">
        <v>373</v>
      </c>
      <c r="AF433" s="109" t="s">
        <v>373</v>
      </c>
      <c r="AG433" s="109"/>
      <c r="AH433" s="109"/>
      <c r="AI433" s="109"/>
      <c r="AJ433" s="108"/>
      <c r="AK433" s="100"/>
      <c r="AL433" s="142"/>
      <c r="AM433" s="142"/>
      <c r="AN433" s="100"/>
      <c r="AO433" s="100"/>
      <c r="AP433" s="142"/>
      <c r="AQ433" s="100"/>
      <c r="AR433" s="100"/>
      <c r="AS433" s="142"/>
      <c r="AT433" s="100"/>
      <c r="AU433" s="100"/>
      <c r="AV433" s="100"/>
    </row>
    <row r="434" spans="1:48" ht="16.3">
      <c r="A434" s="234" t="s">
        <v>1</v>
      </c>
      <c r="B434" s="261">
        <f>SUM(L434+M434+N434+O434+P434+U434+X434+Y434+Z434+AC434+AK434+AL434+AK434+AO434+AR434+AS434+AU434+AV434+AW434+AX434+AP434)+1</f>
        <v>1</v>
      </c>
      <c r="C434" s="215">
        <f t="shared" ref="C434:C435" si="76">B434</f>
        <v>1</v>
      </c>
      <c r="D434" s="133"/>
      <c r="E434" s="134"/>
      <c r="F434" s="135"/>
      <c r="G434" s="136"/>
      <c r="H434" s="683"/>
      <c r="I434" s="676"/>
      <c r="J434" s="534"/>
      <c r="K434" s="96">
        <v>1</v>
      </c>
      <c r="L434" s="104"/>
      <c r="M434" s="75"/>
      <c r="N434" s="75"/>
      <c r="O434" s="75"/>
      <c r="P434" s="75"/>
      <c r="Q434" s="97"/>
      <c r="R434" s="163"/>
      <c r="S434" s="109">
        <v>1</v>
      </c>
      <c r="T434" s="109"/>
      <c r="U434" s="100"/>
      <c r="V434" s="110"/>
      <c r="W434" s="110"/>
      <c r="X434" s="100"/>
      <c r="Y434" s="100"/>
      <c r="Z434" s="100"/>
      <c r="AA434" s="110"/>
      <c r="AB434" s="110"/>
      <c r="AC434" s="100"/>
      <c r="AD434" s="108"/>
      <c r="AE434" s="109">
        <v>1</v>
      </c>
      <c r="AF434" s="109">
        <v>1</v>
      </c>
      <c r="AG434" s="109"/>
      <c r="AH434" s="109"/>
      <c r="AI434" s="109"/>
      <c r="AJ434" s="108"/>
      <c r="AK434" s="100"/>
      <c r="AL434" s="142"/>
      <c r="AM434" s="142"/>
      <c r="AN434" s="100"/>
      <c r="AO434" s="100"/>
      <c r="AP434" s="142"/>
      <c r="AQ434" s="100"/>
      <c r="AR434" s="100"/>
      <c r="AS434" s="142"/>
      <c r="AT434" s="100"/>
      <c r="AU434" s="100"/>
      <c r="AV434" s="100"/>
    </row>
    <row r="435" spans="1:48" ht="16.3">
      <c r="A435" s="234" t="s">
        <v>2</v>
      </c>
      <c r="B435" s="261">
        <f>SUM(L435+M435+N435+O435+P435+U435+X435+Y435+Z435+AC435+AK435+AL435+AK435+AO435+AR435+AS435+AU435+AV435+AW435+AX435+AP435)+2</f>
        <v>2</v>
      </c>
      <c r="C435" s="215">
        <f t="shared" si="76"/>
        <v>2</v>
      </c>
      <c r="D435" s="133"/>
      <c r="E435" s="134"/>
      <c r="F435" s="135"/>
      <c r="G435" s="136"/>
      <c r="H435" s="683"/>
      <c r="I435" s="676"/>
      <c r="J435" s="534"/>
      <c r="K435" s="96"/>
      <c r="L435" s="104"/>
      <c r="M435" s="75"/>
      <c r="N435" s="75"/>
      <c r="O435" s="75"/>
      <c r="P435" s="75"/>
      <c r="Q435" s="97"/>
      <c r="R435" s="163"/>
      <c r="S435" s="109"/>
      <c r="T435" s="109"/>
      <c r="U435" s="100"/>
      <c r="V435" s="110"/>
      <c r="W435" s="110"/>
      <c r="X435" s="100"/>
      <c r="Y435" s="100"/>
      <c r="Z435" s="100"/>
      <c r="AA435" s="110"/>
      <c r="AB435" s="110"/>
      <c r="AC435" s="100"/>
      <c r="AD435" s="108"/>
      <c r="AE435" s="109"/>
      <c r="AF435" s="109"/>
      <c r="AG435" s="109"/>
      <c r="AH435" s="109"/>
      <c r="AI435" s="109"/>
      <c r="AJ435" s="108"/>
      <c r="AK435" s="100"/>
      <c r="AL435" s="142"/>
      <c r="AM435" s="142"/>
      <c r="AN435" s="100"/>
      <c r="AO435" s="100"/>
      <c r="AP435" s="142"/>
      <c r="AQ435" s="100"/>
      <c r="AR435" s="100"/>
      <c r="AS435" s="142"/>
      <c r="AT435" s="100"/>
      <c r="AU435" s="100"/>
      <c r="AV435" s="100"/>
    </row>
    <row r="436" spans="1:48" ht="16.3">
      <c r="A436" s="87" t="s">
        <v>363</v>
      </c>
      <c r="B436" s="260">
        <f>SUM(B434+B435)</f>
        <v>3</v>
      </c>
      <c r="C436" s="214">
        <f>SUM(C434+C435)</f>
        <v>3</v>
      </c>
      <c r="D436" s="133"/>
      <c r="E436" s="134"/>
      <c r="F436" s="135"/>
      <c r="G436" s="136"/>
      <c r="H436" s="683"/>
      <c r="I436" s="676"/>
      <c r="J436" s="534"/>
      <c r="K436" s="96"/>
      <c r="L436" s="104"/>
      <c r="M436" s="75"/>
      <c r="N436" s="75"/>
      <c r="O436" s="75"/>
      <c r="P436" s="75"/>
      <c r="Q436" s="97"/>
      <c r="R436" s="163"/>
      <c r="S436" s="109"/>
      <c r="T436" s="109"/>
      <c r="U436" s="100"/>
      <c r="V436" s="110"/>
      <c r="W436" s="110"/>
      <c r="X436" s="100"/>
      <c r="Y436" s="100"/>
      <c r="Z436" s="100"/>
      <c r="AA436" s="110"/>
      <c r="AB436" s="110"/>
      <c r="AC436" s="100"/>
      <c r="AD436" s="108"/>
      <c r="AE436" s="109"/>
      <c r="AF436" s="109"/>
      <c r="AG436" s="109"/>
      <c r="AH436" s="109"/>
      <c r="AI436" s="109"/>
      <c r="AJ436" s="108"/>
      <c r="AK436" s="100"/>
      <c r="AL436" s="142"/>
      <c r="AM436" s="142"/>
      <c r="AN436" s="100"/>
      <c r="AO436" s="100"/>
      <c r="AP436" s="142"/>
      <c r="AQ436" s="100"/>
      <c r="AR436" s="100"/>
      <c r="AS436" s="142"/>
      <c r="AT436" s="100"/>
      <c r="AU436" s="100"/>
      <c r="AV436" s="100"/>
    </row>
    <row r="437" spans="1:48" ht="16.3">
      <c r="A437" s="87" t="s">
        <v>3</v>
      </c>
      <c r="B437" s="260">
        <f>SUM(L437+M437+N437+O437+P437+U437+X437+Y437+Z437+AC437+AK437+AL437+AK437+AO437+AR437+AS437+AU437+AV437+AW437+AX437+AP437)</f>
        <v>0</v>
      </c>
      <c r="C437" s="214">
        <f t="shared" ref="C437:C438" si="77">B437</f>
        <v>0</v>
      </c>
      <c r="D437" s="133"/>
      <c r="E437" s="134"/>
      <c r="F437" s="135"/>
      <c r="G437" s="136"/>
      <c r="H437" s="683"/>
      <c r="I437" s="676"/>
      <c r="J437" s="534"/>
      <c r="K437" s="96">
        <v>1</v>
      </c>
      <c r="L437" s="104"/>
      <c r="M437" s="75"/>
      <c r="N437" s="75"/>
      <c r="O437" s="75"/>
      <c r="P437" s="75"/>
      <c r="Q437" s="97"/>
      <c r="R437" s="163"/>
      <c r="S437" s="109"/>
      <c r="T437" s="109"/>
      <c r="U437" s="100"/>
      <c r="V437" s="110"/>
      <c r="W437" s="110"/>
      <c r="X437" s="100"/>
      <c r="Y437" s="100"/>
      <c r="Z437" s="100"/>
      <c r="AA437" s="110"/>
      <c r="AB437" s="110"/>
      <c r="AC437" s="100"/>
      <c r="AD437" s="108"/>
      <c r="AE437" s="109"/>
      <c r="AF437" s="109"/>
      <c r="AG437" s="109"/>
      <c r="AH437" s="109"/>
      <c r="AI437" s="109"/>
      <c r="AJ437" s="108"/>
      <c r="AK437" s="100"/>
      <c r="AL437" s="142"/>
      <c r="AM437" s="142"/>
      <c r="AN437" s="100"/>
      <c r="AO437" s="100"/>
      <c r="AP437" s="142"/>
      <c r="AQ437" s="100"/>
      <c r="AR437" s="100"/>
      <c r="AS437" s="142"/>
      <c r="AT437" s="100"/>
      <c r="AU437" s="100"/>
      <c r="AV437" s="100"/>
    </row>
    <row r="438" spans="1:48" ht="17" thickBot="1">
      <c r="A438" s="88" t="s">
        <v>4</v>
      </c>
      <c r="B438" s="262">
        <f>SUM(L438+M438+N438+O438+P438+U438+X438+Y438+Z438+AC438+AK438+AL438+AK438+AO438+AR438+AS438+AU438+AV438+AW438+AX438+AP438)</f>
        <v>0</v>
      </c>
      <c r="C438" s="217">
        <f t="shared" si="77"/>
        <v>0</v>
      </c>
      <c r="D438" s="144"/>
      <c r="E438" s="145"/>
      <c r="F438" s="146"/>
      <c r="G438" s="147"/>
      <c r="H438" s="684"/>
      <c r="I438" s="677"/>
      <c r="J438" s="535"/>
      <c r="K438" s="114">
        <v>5</v>
      </c>
      <c r="L438" s="113"/>
      <c r="M438" s="112"/>
      <c r="N438" s="112"/>
      <c r="O438" s="112"/>
      <c r="P438" s="112"/>
      <c r="Q438" s="115"/>
      <c r="R438" s="164"/>
      <c r="S438" s="118"/>
      <c r="T438" s="118"/>
      <c r="U438" s="116"/>
      <c r="V438" s="120"/>
      <c r="W438" s="120"/>
      <c r="X438" s="116"/>
      <c r="Y438" s="116"/>
      <c r="Z438" s="116"/>
      <c r="AA438" s="120"/>
      <c r="AB438" s="120"/>
      <c r="AC438" s="116"/>
      <c r="AD438" s="117"/>
      <c r="AE438" s="118"/>
      <c r="AF438" s="118"/>
      <c r="AG438" s="118"/>
      <c r="AH438" s="118"/>
      <c r="AI438" s="118"/>
      <c r="AJ438" s="117"/>
      <c r="AK438" s="116"/>
      <c r="AL438" s="149"/>
      <c r="AM438" s="149"/>
      <c r="AN438" s="116"/>
      <c r="AO438" s="116"/>
      <c r="AP438" s="149"/>
      <c r="AQ438" s="116"/>
      <c r="AR438" s="116"/>
      <c r="AS438" s="149"/>
      <c r="AT438" s="116"/>
      <c r="AU438" s="116"/>
      <c r="AV438" s="116"/>
    </row>
    <row r="439" spans="1:48" ht="21.1">
      <c r="A439" s="82" t="s">
        <v>804</v>
      </c>
      <c r="B439" s="260"/>
      <c r="C439" s="214"/>
      <c r="D439" s="133"/>
      <c r="E439" s="134"/>
      <c r="F439" s="135"/>
      <c r="G439" s="136"/>
      <c r="H439" s="683"/>
      <c r="I439" s="676"/>
      <c r="J439" s="534"/>
      <c r="K439" s="96"/>
      <c r="L439" s="104"/>
      <c r="M439" s="75"/>
      <c r="N439" s="75"/>
      <c r="O439" s="75"/>
      <c r="P439" s="75"/>
      <c r="Q439" s="97"/>
      <c r="R439" s="163"/>
      <c r="S439" s="109" t="s">
        <v>375</v>
      </c>
      <c r="T439" s="109"/>
      <c r="U439" s="100"/>
      <c r="V439" s="110"/>
      <c r="W439" s="110"/>
      <c r="X439" s="100"/>
      <c r="Y439" s="100"/>
      <c r="Z439" s="100"/>
      <c r="AA439" s="110"/>
      <c r="AB439" s="110"/>
      <c r="AC439" s="100"/>
      <c r="AD439" s="108"/>
      <c r="AE439" s="109" t="s">
        <v>984</v>
      </c>
      <c r="AF439" s="109" t="s">
        <v>984</v>
      </c>
      <c r="AG439" s="109"/>
      <c r="AH439" s="109"/>
      <c r="AI439" s="109"/>
      <c r="AJ439" s="108"/>
      <c r="AK439" s="100"/>
      <c r="AL439" s="142"/>
      <c r="AM439" s="142"/>
      <c r="AN439" s="100"/>
      <c r="AO439" s="100"/>
      <c r="AP439" s="142"/>
      <c r="AQ439" s="100"/>
      <c r="AR439" s="100"/>
      <c r="AS439" s="142"/>
      <c r="AT439" s="100"/>
      <c r="AU439" s="100"/>
      <c r="AV439" s="100"/>
    </row>
    <row r="440" spans="1:48" ht="16.3">
      <c r="A440" s="234" t="s">
        <v>1</v>
      </c>
      <c r="B440" s="261">
        <f>SUM(L440+M440+N440+O440+P440+U440+X440+Y440+Z440+AC440+AK440+AL440+AK440+AO440+AR440+AS440+AU440+AV440+AW440+AX440+AP440)</f>
        <v>0</v>
      </c>
      <c r="C440" s="215">
        <f t="shared" ref="C440:C441" si="78">B440</f>
        <v>0</v>
      </c>
      <c r="D440" s="133"/>
      <c r="E440" s="134"/>
      <c r="F440" s="135"/>
      <c r="G440" s="136"/>
      <c r="H440" s="683"/>
      <c r="I440" s="676"/>
      <c r="J440" s="534"/>
      <c r="K440" s="96"/>
      <c r="L440" s="104"/>
      <c r="M440" s="75"/>
      <c r="N440" s="75"/>
      <c r="O440" s="75"/>
      <c r="P440" s="75"/>
      <c r="Q440" s="97"/>
      <c r="R440" s="163"/>
      <c r="S440" s="109"/>
      <c r="T440" s="109"/>
      <c r="U440" s="100"/>
      <c r="V440" s="110"/>
      <c r="W440" s="110"/>
      <c r="X440" s="100"/>
      <c r="Y440" s="100"/>
      <c r="Z440" s="100"/>
      <c r="AA440" s="110"/>
      <c r="AB440" s="110"/>
      <c r="AC440" s="100"/>
      <c r="AD440" s="108"/>
      <c r="AE440" s="109"/>
      <c r="AF440" s="109"/>
      <c r="AG440" s="109"/>
      <c r="AH440" s="109"/>
      <c r="AI440" s="109"/>
      <c r="AJ440" s="108"/>
      <c r="AK440" s="100"/>
      <c r="AL440" s="142"/>
      <c r="AM440" s="142"/>
      <c r="AN440" s="100"/>
      <c r="AO440" s="100"/>
      <c r="AP440" s="142"/>
      <c r="AQ440" s="100"/>
      <c r="AR440" s="100"/>
      <c r="AS440" s="142"/>
      <c r="AT440" s="100"/>
      <c r="AU440" s="100"/>
      <c r="AV440" s="100"/>
    </row>
    <row r="441" spans="1:48" ht="16.3">
      <c r="A441" s="234" t="s">
        <v>2</v>
      </c>
      <c r="B441" s="261">
        <f>SUM(L441+M441+N441+O441+P441+U441+X441+Y441+Z441+AC441+AK441+AL441+AK441+AO441+AR441+AS441+AU441+AV441+AW441+AX441+AP441)</f>
        <v>0</v>
      </c>
      <c r="C441" s="215">
        <f t="shared" si="78"/>
        <v>0</v>
      </c>
      <c r="D441" s="133"/>
      <c r="E441" s="134"/>
      <c r="F441" s="135"/>
      <c r="G441" s="136"/>
      <c r="H441" s="683"/>
      <c r="I441" s="676"/>
      <c r="J441" s="534"/>
      <c r="K441" s="96"/>
      <c r="L441" s="104"/>
      <c r="M441" s="75"/>
      <c r="N441" s="75"/>
      <c r="O441" s="75"/>
      <c r="P441" s="75"/>
      <c r="Q441" s="97"/>
      <c r="R441" s="163"/>
      <c r="S441" s="109">
        <v>1</v>
      </c>
      <c r="T441" s="109"/>
      <c r="U441" s="100"/>
      <c r="V441" s="110"/>
      <c r="W441" s="110"/>
      <c r="X441" s="100"/>
      <c r="Y441" s="100"/>
      <c r="Z441" s="100"/>
      <c r="AA441" s="110"/>
      <c r="AB441" s="110"/>
      <c r="AC441" s="100"/>
      <c r="AD441" s="108"/>
      <c r="AE441" s="109"/>
      <c r="AF441" s="109"/>
      <c r="AG441" s="109"/>
      <c r="AH441" s="109"/>
      <c r="AI441" s="109"/>
      <c r="AJ441" s="108"/>
      <c r="AK441" s="100"/>
      <c r="AL441" s="142"/>
      <c r="AM441" s="142"/>
      <c r="AN441" s="100"/>
      <c r="AO441" s="100"/>
      <c r="AP441" s="142"/>
      <c r="AQ441" s="100"/>
      <c r="AR441" s="100"/>
      <c r="AS441" s="142"/>
      <c r="AT441" s="100"/>
      <c r="AU441" s="100"/>
      <c r="AV441" s="100"/>
    </row>
    <row r="442" spans="1:48" ht="16.3">
      <c r="A442" s="87" t="s">
        <v>363</v>
      </c>
      <c r="B442" s="260">
        <f>SUM(B440+B441)</f>
        <v>0</v>
      </c>
      <c r="C442" s="214">
        <f>SUM(C440+C441)</f>
        <v>0</v>
      </c>
      <c r="D442" s="133"/>
      <c r="E442" s="134"/>
      <c r="F442" s="135"/>
      <c r="G442" s="136"/>
      <c r="H442" s="683"/>
      <c r="I442" s="676"/>
      <c r="J442" s="534"/>
      <c r="K442" s="96"/>
      <c r="L442" s="104"/>
      <c r="M442" s="75"/>
      <c r="N442" s="75"/>
      <c r="O442" s="75"/>
      <c r="P442" s="75"/>
      <c r="Q442" s="97"/>
      <c r="R442" s="163"/>
      <c r="S442" s="109"/>
      <c r="T442" s="109"/>
      <c r="U442" s="100"/>
      <c r="V442" s="110"/>
      <c r="W442" s="110"/>
      <c r="X442" s="100"/>
      <c r="Y442" s="100"/>
      <c r="Z442" s="100"/>
      <c r="AA442" s="110"/>
      <c r="AB442" s="110"/>
      <c r="AC442" s="100"/>
      <c r="AD442" s="108"/>
      <c r="AE442" s="109"/>
      <c r="AF442" s="109"/>
      <c r="AG442" s="109"/>
      <c r="AH442" s="109"/>
      <c r="AI442" s="109"/>
      <c r="AJ442" s="108"/>
      <c r="AK442" s="100"/>
      <c r="AL442" s="142"/>
      <c r="AM442" s="142"/>
      <c r="AN442" s="100"/>
      <c r="AO442" s="100"/>
      <c r="AP442" s="142"/>
      <c r="AQ442" s="100"/>
      <c r="AR442" s="100"/>
      <c r="AS442" s="142"/>
      <c r="AT442" s="100"/>
      <c r="AU442" s="100"/>
      <c r="AV442" s="100"/>
    </row>
    <row r="443" spans="1:48" ht="16.3">
      <c r="A443" s="87" t="s">
        <v>3</v>
      </c>
      <c r="B443" s="260">
        <f>SUM(L443+M443+N443+O443+P443+U443+X443+Y443+Z443+AC443+AK443+AL443+AK443+AO443+AR443+AS443+AU443+AV443+AW443+AX443+AP443)</f>
        <v>0</v>
      </c>
      <c r="C443" s="214">
        <f t="shared" ref="C443:C444" si="79">B443</f>
        <v>0</v>
      </c>
      <c r="D443" s="133"/>
      <c r="E443" s="134"/>
      <c r="F443" s="135"/>
      <c r="G443" s="136"/>
      <c r="H443" s="683"/>
      <c r="I443" s="676"/>
      <c r="J443" s="534"/>
      <c r="K443" s="96"/>
      <c r="L443" s="104"/>
      <c r="M443" s="75"/>
      <c r="N443" s="75"/>
      <c r="O443" s="75"/>
      <c r="P443" s="75"/>
      <c r="Q443" s="97"/>
      <c r="R443" s="163"/>
      <c r="S443" s="109"/>
      <c r="T443" s="109"/>
      <c r="U443" s="100"/>
      <c r="V443" s="110"/>
      <c r="W443" s="110"/>
      <c r="X443" s="100"/>
      <c r="Y443" s="100"/>
      <c r="Z443" s="100"/>
      <c r="AA443" s="110"/>
      <c r="AB443" s="110"/>
      <c r="AC443" s="100"/>
      <c r="AD443" s="108"/>
      <c r="AE443" s="109"/>
      <c r="AF443" s="109"/>
      <c r="AG443" s="109"/>
      <c r="AH443" s="109"/>
      <c r="AI443" s="109"/>
      <c r="AJ443" s="108"/>
      <c r="AK443" s="100"/>
      <c r="AL443" s="142"/>
      <c r="AM443" s="142"/>
      <c r="AN443" s="100"/>
      <c r="AO443" s="100"/>
      <c r="AP443" s="142"/>
      <c r="AQ443" s="100"/>
      <c r="AR443" s="100"/>
      <c r="AS443" s="142"/>
      <c r="AT443" s="100"/>
      <c r="AU443" s="100"/>
      <c r="AV443" s="100"/>
    </row>
    <row r="444" spans="1:48" ht="17" thickBot="1">
      <c r="A444" s="88" t="s">
        <v>4</v>
      </c>
      <c r="B444" s="262">
        <f>SUM(L444+M444+N444+O444+P444+U444+X444+Y444+Z444+AC444+AK444+AL444+AK444+AO444+AR444+AS444+AU444+AV444+AW444+AX444+AP444)</f>
        <v>0</v>
      </c>
      <c r="C444" s="217">
        <f t="shared" si="79"/>
        <v>0</v>
      </c>
      <c r="D444" s="144"/>
      <c r="E444" s="145"/>
      <c r="F444" s="146"/>
      <c r="G444" s="147"/>
      <c r="H444" s="684"/>
      <c r="I444" s="677"/>
      <c r="J444" s="535"/>
      <c r="K444" s="114"/>
      <c r="L444" s="113"/>
      <c r="M444" s="112"/>
      <c r="N444" s="112"/>
      <c r="O444" s="112"/>
      <c r="P444" s="112"/>
      <c r="Q444" s="115"/>
      <c r="R444" s="164"/>
      <c r="S444" s="118"/>
      <c r="T444" s="118"/>
      <c r="U444" s="116"/>
      <c r="V444" s="120"/>
      <c r="W444" s="120"/>
      <c r="X444" s="116"/>
      <c r="Y444" s="116"/>
      <c r="Z444" s="116"/>
      <c r="AA444" s="120"/>
      <c r="AB444" s="120"/>
      <c r="AC444" s="116"/>
      <c r="AD444" s="117"/>
      <c r="AE444" s="118"/>
      <c r="AF444" s="118"/>
      <c r="AG444" s="118"/>
      <c r="AH444" s="118"/>
      <c r="AI444" s="118"/>
      <c r="AJ444" s="117"/>
      <c r="AK444" s="116"/>
      <c r="AL444" s="149"/>
      <c r="AM444" s="149"/>
      <c r="AN444" s="116"/>
      <c r="AO444" s="116"/>
      <c r="AP444" s="149"/>
      <c r="AQ444" s="116"/>
      <c r="AR444" s="116"/>
      <c r="AS444" s="149"/>
      <c r="AT444" s="116"/>
      <c r="AU444" s="116"/>
      <c r="AV444" s="116"/>
    </row>
    <row r="445" spans="1:48" ht="21.1">
      <c r="A445" s="82" t="s">
        <v>667</v>
      </c>
      <c r="B445" s="260"/>
      <c r="C445" s="214"/>
      <c r="D445" s="133"/>
      <c r="E445" s="134"/>
      <c r="F445" s="135"/>
      <c r="G445" s="136"/>
      <c r="H445" s="683"/>
      <c r="I445" s="676"/>
      <c r="J445" s="534"/>
      <c r="K445" s="96" t="s">
        <v>432</v>
      </c>
      <c r="L445" s="104"/>
      <c r="M445" s="75"/>
      <c r="N445" s="75"/>
      <c r="O445" s="75"/>
      <c r="P445" s="75"/>
      <c r="Q445" s="97"/>
      <c r="R445" s="163"/>
      <c r="S445" s="109"/>
      <c r="T445" s="109"/>
      <c r="U445" s="100"/>
      <c r="V445" s="110"/>
      <c r="W445" s="110"/>
      <c r="X445" s="100"/>
      <c r="Y445" s="100"/>
      <c r="Z445" s="100"/>
      <c r="AA445" s="110"/>
      <c r="AB445" s="110"/>
      <c r="AC445" s="100"/>
      <c r="AD445" s="108"/>
      <c r="AE445" s="109" t="s">
        <v>1035</v>
      </c>
      <c r="AF445" s="109" t="s">
        <v>1035</v>
      </c>
      <c r="AG445" s="109" t="s">
        <v>1035</v>
      </c>
      <c r="AH445" s="109"/>
      <c r="AI445" s="109" t="s">
        <v>375</v>
      </c>
      <c r="AJ445" s="108"/>
      <c r="AK445" s="100"/>
      <c r="AL445" s="142"/>
      <c r="AM445" s="142"/>
      <c r="AN445" s="100"/>
      <c r="AO445" s="100"/>
      <c r="AP445" s="142"/>
      <c r="AQ445" s="100"/>
      <c r="AR445" s="100"/>
      <c r="AS445" s="142"/>
      <c r="AT445" s="100"/>
      <c r="AU445" s="100"/>
      <c r="AV445" s="100"/>
    </row>
    <row r="446" spans="1:48" ht="16.3">
      <c r="A446" s="234" t="s">
        <v>1</v>
      </c>
      <c r="B446" s="261">
        <f>SUM(L446+M446+N446+O446+P446+U446+X446+Y446+Z446+AC446+AK446+AL446+AK446+AO446+AR446+AS446+AU446+AV446+AW446+AX446+AP446)</f>
        <v>0</v>
      </c>
      <c r="C446" s="215">
        <f>B446</f>
        <v>0</v>
      </c>
      <c r="D446" s="133"/>
      <c r="E446" s="134"/>
      <c r="F446" s="135"/>
      <c r="G446" s="136"/>
      <c r="H446" s="683"/>
      <c r="I446" s="676"/>
      <c r="J446" s="534"/>
      <c r="K446" s="96"/>
      <c r="L446" s="104"/>
      <c r="M446" s="75"/>
      <c r="N446" s="75"/>
      <c r="O446" s="75"/>
      <c r="P446" s="75"/>
      <c r="Q446" s="97"/>
      <c r="R446" s="163"/>
      <c r="S446" s="109"/>
      <c r="T446" s="109"/>
      <c r="U446" s="100"/>
      <c r="V446" s="110"/>
      <c r="W446" s="110"/>
      <c r="X446" s="100"/>
      <c r="Y446" s="100"/>
      <c r="Z446" s="100"/>
      <c r="AA446" s="110"/>
      <c r="AB446" s="110"/>
      <c r="AC446" s="100"/>
      <c r="AD446" s="108"/>
      <c r="AE446" s="109"/>
      <c r="AF446" s="109"/>
      <c r="AG446" s="109"/>
      <c r="AH446" s="109"/>
      <c r="AI446" s="109"/>
      <c r="AJ446" s="108"/>
      <c r="AK446" s="100"/>
      <c r="AL446" s="142"/>
      <c r="AM446" s="142"/>
      <c r="AN446" s="100"/>
      <c r="AO446" s="100"/>
      <c r="AP446" s="142"/>
      <c r="AQ446" s="100"/>
      <c r="AR446" s="100"/>
      <c r="AS446" s="142"/>
      <c r="AT446" s="100"/>
      <c r="AU446" s="100"/>
      <c r="AV446" s="100"/>
    </row>
    <row r="447" spans="1:48" ht="16.3">
      <c r="A447" s="234" t="s">
        <v>2</v>
      </c>
      <c r="B447" s="261">
        <f>SUM(L447+M447+N447+O447+P447+U447+X447+Y447+Z447+AC447+AK447+AL447+AK447+AO447+AR447+AS447+AU447+AV447+AW447+AX447)</f>
        <v>0</v>
      </c>
      <c r="C447" s="215">
        <f t="shared" ref="C447:C450" si="80">B447</f>
        <v>0</v>
      </c>
      <c r="D447" s="133"/>
      <c r="E447" s="134"/>
      <c r="F447" s="135"/>
      <c r="G447" s="136"/>
      <c r="H447" s="683"/>
      <c r="I447" s="676"/>
      <c r="J447" s="534"/>
      <c r="K447" s="96">
        <v>1</v>
      </c>
      <c r="L447" s="104"/>
      <c r="M447" s="75"/>
      <c r="N447" s="75"/>
      <c r="O447" s="75"/>
      <c r="P447" s="75"/>
      <c r="Q447" s="97"/>
      <c r="R447" s="163"/>
      <c r="S447" s="109"/>
      <c r="T447" s="109"/>
      <c r="U447" s="100"/>
      <c r="V447" s="110"/>
      <c r="W447" s="110"/>
      <c r="X447" s="100"/>
      <c r="Y447" s="100"/>
      <c r="Z447" s="100"/>
      <c r="AA447" s="110"/>
      <c r="AB447" s="110"/>
      <c r="AC447" s="100"/>
      <c r="AD447" s="108"/>
      <c r="AE447" s="109"/>
      <c r="AF447" s="109"/>
      <c r="AG447" s="109"/>
      <c r="AH447" s="109"/>
      <c r="AI447" s="109">
        <v>1</v>
      </c>
      <c r="AJ447" s="108"/>
      <c r="AK447" s="100"/>
      <c r="AL447" s="142"/>
      <c r="AM447" s="142"/>
      <c r="AN447" s="100"/>
      <c r="AO447" s="100"/>
      <c r="AP447" s="142"/>
      <c r="AQ447" s="100"/>
      <c r="AR447" s="100"/>
      <c r="AS447" s="142"/>
      <c r="AT447" s="100"/>
      <c r="AU447" s="100"/>
      <c r="AV447" s="100"/>
    </row>
    <row r="448" spans="1:48" ht="16.3">
      <c r="A448" s="87" t="s">
        <v>363</v>
      </c>
      <c r="B448" s="260">
        <f>SUM(B446+B447)</f>
        <v>0</v>
      </c>
      <c r="C448" s="214">
        <f t="shared" si="80"/>
        <v>0</v>
      </c>
      <c r="D448" s="133"/>
      <c r="E448" s="134"/>
      <c r="F448" s="135"/>
      <c r="G448" s="136"/>
      <c r="H448" s="683"/>
      <c r="I448" s="676"/>
      <c r="J448" s="534"/>
      <c r="K448" s="96"/>
      <c r="L448" s="104"/>
      <c r="M448" s="75"/>
      <c r="N448" s="75"/>
      <c r="O448" s="75"/>
      <c r="P448" s="75"/>
      <c r="Q448" s="97"/>
      <c r="R448" s="163"/>
      <c r="S448" s="109"/>
      <c r="T448" s="109"/>
      <c r="U448" s="100"/>
      <c r="V448" s="110"/>
      <c r="W448" s="110"/>
      <c r="X448" s="100"/>
      <c r="Y448" s="100"/>
      <c r="Z448" s="100"/>
      <c r="AA448" s="110"/>
      <c r="AB448" s="110"/>
      <c r="AC448" s="100"/>
      <c r="AD448" s="108"/>
      <c r="AE448" s="109"/>
      <c r="AF448" s="109"/>
      <c r="AG448" s="109"/>
      <c r="AH448" s="109"/>
      <c r="AI448" s="109"/>
      <c r="AJ448" s="108"/>
      <c r="AK448" s="100"/>
      <c r="AL448" s="142"/>
      <c r="AM448" s="142"/>
      <c r="AN448" s="100"/>
      <c r="AO448" s="100"/>
      <c r="AP448" s="142"/>
      <c r="AQ448" s="100"/>
      <c r="AR448" s="100"/>
      <c r="AS448" s="142"/>
      <c r="AT448" s="100"/>
      <c r="AU448" s="100"/>
      <c r="AV448" s="100"/>
    </row>
    <row r="449" spans="1:48" ht="16.3">
      <c r="A449" s="87" t="s">
        <v>3</v>
      </c>
      <c r="B449" s="260">
        <f>SUM(L449+M449+N449+O449+P449+U449+X449+Y449+Z449+AC449+AK449+AL449+AK449+AO449+AR449+AS449+AU449+AV449+AW449+AX449)</f>
        <v>0</v>
      </c>
      <c r="C449" s="214">
        <f t="shared" si="80"/>
        <v>0</v>
      </c>
      <c r="D449" s="133"/>
      <c r="E449" s="134"/>
      <c r="F449" s="135"/>
      <c r="G449" s="136"/>
      <c r="H449" s="683"/>
      <c r="I449" s="676"/>
      <c r="J449" s="534"/>
      <c r="K449" s="96"/>
      <c r="L449" s="104"/>
      <c r="M449" s="75"/>
      <c r="N449" s="75"/>
      <c r="O449" s="75"/>
      <c r="P449" s="75"/>
      <c r="Q449" s="97"/>
      <c r="R449" s="163"/>
      <c r="S449" s="109"/>
      <c r="T449" s="109"/>
      <c r="U449" s="100"/>
      <c r="V449" s="110"/>
      <c r="W449" s="110"/>
      <c r="X449" s="100"/>
      <c r="Y449" s="100"/>
      <c r="Z449" s="100"/>
      <c r="AA449" s="110"/>
      <c r="AB449" s="110"/>
      <c r="AC449" s="100"/>
      <c r="AD449" s="108"/>
      <c r="AE449" s="109"/>
      <c r="AF449" s="109"/>
      <c r="AG449" s="109"/>
      <c r="AH449" s="109"/>
      <c r="AI449" s="109">
        <v>1</v>
      </c>
      <c r="AJ449" s="108"/>
      <c r="AK449" s="100"/>
      <c r="AL449" s="142"/>
      <c r="AM449" s="142"/>
      <c r="AN449" s="100"/>
      <c r="AO449" s="100"/>
      <c r="AP449" s="142"/>
      <c r="AQ449" s="100"/>
      <c r="AR449" s="100"/>
      <c r="AS449" s="142"/>
      <c r="AT449" s="100"/>
      <c r="AU449" s="100"/>
      <c r="AV449" s="100"/>
    </row>
    <row r="450" spans="1:48" ht="17" thickBot="1">
      <c r="A450" s="88" t="s">
        <v>4</v>
      </c>
      <c r="B450" s="262">
        <f>SUM(L450+M450+N450+O450+P450+U450+X450+Y450+Z450+AC450+AK450+AL450+AK450+AO450+AR450+AS450+AU450+AV450+AW450+AX450)</f>
        <v>0</v>
      </c>
      <c r="C450" s="217">
        <f t="shared" si="80"/>
        <v>0</v>
      </c>
      <c r="D450" s="144"/>
      <c r="E450" s="145"/>
      <c r="F450" s="146"/>
      <c r="G450" s="147"/>
      <c r="H450" s="684"/>
      <c r="I450" s="677"/>
      <c r="J450" s="535"/>
      <c r="K450" s="114"/>
      <c r="L450" s="113"/>
      <c r="M450" s="112"/>
      <c r="N450" s="112"/>
      <c r="O450" s="112"/>
      <c r="P450" s="112"/>
      <c r="Q450" s="115"/>
      <c r="R450" s="164"/>
      <c r="S450" s="118"/>
      <c r="T450" s="118"/>
      <c r="U450" s="116"/>
      <c r="V450" s="120"/>
      <c r="W450" s="120"/>
      <c r="X450" s="116"/>
      <c r="Y450" s="116"/>
      <c r="Z450" s="116"/>
      <c r="AA450" s="120"/>
      <c r="AB450" s="120"/>
      <c r="AC450" s="116"/>
      <c r="AD450" s="117"/>
      <c r="AE450" s="118"/>
      <c r="AF450" s="118"/>
      <c r="AG450" s="118"/>
      <c r="AH450" s="118"/>
      <c r="AI450" s="118">
        <v>5</v>
      </c>
      <c r="AJ450" s="117"/>
      <c r="AK450" s="116"/>
      <c r="AL450" s="149"/>
      <c r="AM450" s="149"/>
      <c r="AN450" s="116"/>
      <c r="AO450" s="116"/>
      <c r="AP450" s="149"/>
      <c r="AQ450" s="116"/>
      <c r="AR450" s="116"/>
      <c r="AS450" s="149"/>
      <c r="AT450" s="116"/>
      <c r="AU450" s="116"/>
      <c r="AV450" s="116"/>
    </row>
    <row r="451" spans="1:48" ht="21.1">
      <c r="A451" s="82" t="s">
        <v>71</v>
      </c>
      <c r="B451" s="260"/>
      <c r="C451" s="214"/>
      <c r="D451" s="133"/>
      <c r="E451" s="134"/>
      <c r="F451" s="135"/>
      <c r="G451" s="136"/>
      <c r="H451" s="683"/>
      <c r="I451" s="676"/>
      <c r="J451" s="534"/>
      <c r="K451" s="96" t="s">
        <v>339</v>
      </c>
      <c r="L451" s="104" t="s">
        <v>339</v>
      </c>
      <c r="M451" s="75" t="s">
        <v>375</v>
      </c>
      <c r="N451" s="75" t="s">
        <v>375</v>
      </c>
      <c r="O451" s="75" t="s">
        <v>374</v>
      </c>
      <c r="P451" s="75" t="s">
        <v>375</v>
      </c>
      <c r="Q451" s="97" t="s">
        <v>374</v>
      </c>
      <c r="R451" s="163"/>
      <c r="S451" s="109" t="s">
        <v>339</v>
      </c>
      <c r="T451" s="109" t="s">
        <v>339</v>
      </c>
      <c r="U451" s="100" t="s">
        <v>339</v>
      </c>
      <c r="V451" s="110" t="s">
        <v>339</v>
      </c>
      <c r="W451" s="110" t="s">
        <v>374</v>
      </c>
      <c r="X451" s="100" t="s">
        <v>375</v>
      </c>
      <c r="Y451" s="100"/>
      <c r="Z451" s="100" t="s">
        <v>924</v>
      </c>
      <c r="AA451" s="110" t="s">
        <v>944</v>
      </c>
      <c r="AB451" s="110" t="s">
        <v>912</v>
      </c>
      <c r="AC451" s="100"/>
      <c r="AD451" s="108"/>
      <c r="AE451" s="109"/>
      <c r="AF451" s="109"/>
      <c r="AG451" s="109"/>
      <c r="AH451" s="109" t="s">
        <v>375</v>
      </c>
      <c r="AI451" s="109"/>
      <c r="AJ451" s="108"/>
      <c r="AK451" s="100"/>
      <c r="AL451" s="142"/>
      <c r="AM451" s="142"/>
      <c r="AN451" s="100"/>
      <c r="AO451" s="100"/>
      <c r="AP451" s="142"/>
      <c r="AQ451" s="100"/>
      <c r="AR451" s="100"/>
      <c r="AS451" s="142"/>
      <c r="AT451" s="100"/>
      <c r="AU451" s="100"/>
      <c r="AV451" s="100"/>
    </row>
    <row r="452" spans="1:48" ht="16.3">
      <c r="A452" s="246" t="s">
        <v>1</v>
      </c>
      <c r="B452" s="261">
        <f>SUM(L452+M452+N452+O452+P452+U452+X452+Y452+Z452+AC452+AK452+AL452+AK452+AO452+AR452+AS452+AU452+AV452+AW452+AX452+AP452)+25</f>
        <v>27</v>
      </c>
      <c r="C452" s="215">
        <f>SUM(L452+M452+N452+O452+P452+U452+Y452+Z452+X452+AC452+AL452+AK452+AL452+AP452+AS452+AO452+AV452+AW452+AX452+AY452+AR452+AU452)+40</f>
        <v>42</v>
      </c>
      <c r="D452" s="133"/>
      <c r="E452" s="134"/>
      <c r="F452" s="135"/>
      <c r="G452" s="136"/>
      <c r="H452" s="683"/>
      <c r="I452" s="676"/>
      <c r="J452" s="534"/>
      <c r="K452" s="96"/>
      <c r="L452" s="104"/>
      <c r="M452" s="75"/>
      <c r="N452" s="75"/>
      <c r="O452" s="75">
        <v>1</v>
      </c>
      <c r="P452" s="75"/>
      <c r="Q452" s="97">
        <v>1</v>
      </c>
      <c r="R452" s="163"/>
      <c r="S452" s="109"/>
      <c r="T452" s="109"/>
      <c r="U452" s="100"/>
      <c r="V452" s="110"/>
      <c r="W452" s="110">
        <v>1</v>
      </c>
      <c r="X452" s="100"/>
      <c r="Y452" s="100"/>
      <c r="Z452" s="100">
        <v>1</v>
      </c>
      <c r="AA452" s="110">
        <v>1</v>
      </c>
      <c r="AB452" s="110">
        <v>1</v>
      </c>
      <c r="AC452" s="100"/>
      <c r="AD452" s="108"/>
      <c r="AE452" s="109"/>
      <c r="AF452" s="109"/>
      <c r="AG452" s="109"/>
      <c r="AH452" s="109"/>
      <c r="AI452" s="109"/>
      <c r="AJ452" s="108"/>
      <c r="AK452" s="100"/>
      <c r="AL452" s="142"/>
      <c r="AM452" s="142"/>
      <c r="AN452" s="100"/>
      <c r="AO452" s="100"/>
      <c r="AP452" s="142"/>
      <c r="AQ452" s="100"/>
      <c r="AR452" s="100"/>
      <c r="AS452" s="142"/>
      <c r="AT452" s="100"/>
      <c r="AU452" s="100"/>
      <c r="AV452" s="100"/>
    </row>
    <row r="453" spans="1:48" ht="16.3">
      <c r="A453" s="246" t="s">
        <v>2</v>
      </c>
      <c r="B453" s="261">
        <f>SUM(L453+M453+N453+O453+P453+U453+X453+Y453+Z453+AC453+AK453+AL453+AK453+AO453+AR453+AS453+AU453+AV453+AW453+AX453+AP453)+9</f>
        <v>13</v>
      </c>
      <c r="C453" s="215">
        <f>SUM(L453+M453+N453+O453+P453+U453+Y453+Z453+X453+AC453+AL453+AK453+AL453+AP453+AS453+AO453+AV453+AW453+AX453+AY453+AR453+AU453)+20</f>
        <v>24</v>
      </c>
      <c r="D453" s="133"/>
      <c r="E453" s="134"/>
      <c r="F453" s="135"/>
      <c r="G453" s="136"/>
      <c r="H453" s="683"/>
      <c r="I453" s="676"/>
      <c r="J453" s="534"/>
      <c r="K453" s="96"/>
      <c r="L453" s="104"/>
      <c r="M453" s="75">
        <v>1</v>
      </c>
      <c r="N453" s="75">
        <v>1</v>
      </c>
      <c r="O453" s="75"/>
      <c r="P453" s="75">
        <v>1</v>
      </c>
      <c r="Q453" s="97"/>
      <c r="R453" s="163"/>
      <c r="S453" s="109"/>
      <c r="T453" s="109"/>
      <c r="U453" s="100"/>
      <c r="V453" s="110"/>
      <c r="W453" s="110"/>
      <c r="X453" s="100">
        <v>1</v>
      </c>
      <c r="Y453" s="100"/>
      <c r="Z453" s="100"/>
      <c r="AA453" s="110"/>
      <c r="AB453" s="110"/>
      <c r="AC453" s="100"/>
      <c r="AD453" s="108"/>
      <c r="AE453" s="109"/>
      <c r="AF453" s="109"/>
      <c r="AG453" s="109"/>
      <c r="AH453" s="109">
        <v>1</v>
      </c>
      <c r="AI453" s="109"/>
      <c r="AJ453" s="108"/>
      <c r="AK453" s="100"/>
      <c r="AL453" s="142"/>
      <c r="AM453" s="142"/>
      <c r="AN453" s="100"/>
      <c r="AO453" s="100"/>
      <c r="AP453" s="142"/>
      <c r="AQ453" s="100"/>
      <c r="AR453" s="100"/>
      <c r="AS453" s="142"/>
      <c r="AT453" s="100"/>
      <c r="AU453" s="100"/>
      <c r="AV453" s="100"/>
    </row>
    <row r="454" spans="1:48" ht="16.3">
      <c r="A454" s="87" t="s">
        <v>363</v>
      </c>
      <c r="B454" s="260">
        <f>SUM(B452+B453)</f>
        <v>40</v>
      </c>
      <c r="C454" s="214">
        <f>SUM(C452+C453)</f>
        <v>66</v>
      </c>
      <c r="D454" s="133"/>
      <c r="E454" s="134"/>
      <c r="F454" s="135"/>
      <c r="G454" s="136"/>
      <c r="H454" s="683"/>
      <c r="I454" s="676"/>
      <c r="J454" s="534"/>
      <c r="K454" s="96"/>
      <c r="L454" s="104"/>
      <c r="M454" s="75"/>
      <c r="N454" s="75"/>
      <c r="O454" s="75"/>
      <c r="P454" s="75"/>
      <c r="Q454" s="97"/>
      <c r="R454" s="163"/>
      <c r="S454" s="109"/>
      <c r="T454" s="109"/>
      <c r="U454" s="100"/>
      <c r="V454" s="110"/>
      <c r="W454" s="110"/>
      <c r="X454" s="100"/>
      <c r="Y454" s="100"/>
      <c r="Z454" s="100"/>
      <c r="AA454" s="110"/>
      <c r="AB454" s="110"/>
      <c r="AC454" s="100"/>
      <c r="AD454" s="108"/>
      <c r="AE454" s="109"/>
      <c r="AF454" s="109"/>
      <c r="AG454" s="109"/>
      <c r="AH454" s="109"/>
      <c r="AI454" s="109"/>
      <c r="AJ454" s="108"/>
      <c r="AK454" s="100"/>
      <c r="AL454" s="142"/>
      <c r="AM454" s="142"/>
      <c r="AN454" s="100"/>
      <c r="AO454" s="100"/>
      <c r="AP454" s="142"/>
      <c r="AQ454" s="100"/>
      <c r="AR454" s="100"/>
      <c r="AS454" s="142"/>
      <c r="AT454" s="100"/>
      <c r="AU454" s="100"/>
      <c r="AV454" s="100"/>
    </row>
    <row r="455" spans="1:48" ht="16.3">
      <c r="A455" s="246" t="s">
        <v>362</v>
      </c>
      <c r="B455" s="261">
        <f t="shared" ref="B455" si="81">SUM(L455+M455+N455+O455+P455+U455+X455+Y455+Z455+AC455+AK455+AL455+AK455+AO455+AR455+AS455+AU455+AV455+AW455+AX455+AP455)</f>
        <v>0</v>
      </c>
      <c r="C455" s="215">
        <f>SUM(L455+M455+N455+O455+P455+U455+Y455+Z455+X455+AC455+AL455+AK455+AL455+AP455+AS455+AO455+AV455+AW455+AX455+AY455+AR455+AU455)+1</f>
        <v>1</v>
      </c>
      <c r="D455" s="133"/>
      <c r="E455" s="134"/>
      <c r="F455" s="135"/>
      <c r="G455" s="136"/>
      <c r="H455" s="683"/>
      <c r="I455" s="676"/>
      <c r="J455" s="534"/>
      <c r="K455" s="96"/>
      <c r="L455" s="104"/>
      <c r="M455" s="75"/>
      <c r="N455" s="75"/>
      <c r="O455" s="75"/>
      <c r="P455" s="75"/>
      <c r="Q455" s="97"/>
      <c r="R455" s="163"/>
      <c r="S455" s="109"/>
      <c r="T455" s="109"/>
      <c r="U455" s="100"/>
      <c r="V455" s="110"/>
      <c r="W455" s="110"/>
      <c r="X455" s="100"/>
      <c r="Y455" s="100"/>
      <c r="Z455" s="100"/>
      <c r="AA455" s="110"/>
      <c r="AB455" s="110"/>
      <c r="AC455" s="100"/>
      <c r="AD455" s="108"/>
      <c r="AE455" s="109"/>
      <c r="AF455" s="109"/>
      <c r="AG455" s="109"/>
      <c r="AH455" s="109"/>
      <c r="AI455" s="109"/>
      <c r="AJ455" s="108"/>
      <c r="AK455" s="100"/>
      <c r="AL455" s="142"/>
      <c r="AM455" s="142"/>
      <c r="AN455" s="100"/>
      <c r="AO455" s="100"/>
      <c r="AP455" s="142"/>
      <c r="AQ455" s="100"/>
      <c r="AR455" s="100"/>
      <c r="AS455" s="142"/>
      <c r="AT455" s="100"/>
      <c r="AU455" s="100"/>
      <c r="AV455" s="100"/>
    </row>
    <row r="456" spans="1:48" ht="16.3">
      <c r="A456" s="87" t="s">
        <v>3</v>
      </c>
      <c r="B456" s="260">
        <f>SUM(L456+M456+N456+O456+P456+U456+X456+Y456+Z456+AC456+AK456+AL456+AK456+AO456+AR456+AS456+AU456+AV456+AW456+AX456+AP456)+7</f>
        <v>8</v>
      </c>
      <c r="C456" s="214">
        <f>SUM(L456+M456+N456+O456+P456+U456+Y456+Z456+X456+AC456+AL456+AK456+AL456+AP456+AS456+AO456+AV456+AW456+AX456+AY456+AR456+AU456)+17</f>
        <v>18</v>
      </c>
      <c r="D456" s="133"/>
      <c r="E456" s="134"/>
      <c r="F456" s="135"/>
      <c r="G456" s="136"/>
      <c r="H456" s="683"/>
      <c r="I456" s="676"/>
      <c r="J456" s="534"/>
      <c r="K456" s="96"/>
      <c r="L456" s="104"/>
      <c r="M456" s="75"/>
      <c r="N456" s="75"/>
      <c r="O456" s="75"/>
      <c r="P456" s="75"/>
      <c r="Q456" s="97"/>
      <c r="R456" s="163"/>
      <c r="S456" s="109"/>
      <c r="T456" s="109"/>
      <c r="U456" s="100"/>
      <c r="V456" s="110"/>
      <c r="W456" s="110"/>
      <c r="X456" s="100"/>
      <c r="Y456" s="100"/>
      <c r="Z456" s="100">
        <v>1</v>
      </c>
      <c r="AA456" s="110"/>
      <c r="AB456" s="110"/>
      <c r="AC456" s="100"/>
      <c r="AD456" s="108"/>
      <c r="AE456" s="109"/>
      <c r="AF456" s="109"/>
      <c r="AG456" s="109"/>
      <c r="AH456" s="109"/>
      <c r="AI456" s="109"/>
      <c r="AJ456" s="108"/>
      <c r="AK456" s="100"/>
      <c r="AL456" s="142"/>
      <c r="AM456" s="142"/>
      <c r="AN456" s="100"/>
      <c r="AO456" s="100"/>
      <c r="AP456" s="142"/>
      <c r="AQ456" s="100"/>
      <c r="AR456" s="100"/>
      <c r="AS456" s="142"/>
      <c r="AT456" s="100"/>
      <c r="AU456" s="100"/>
      <c r="AV456" s="100"/>
    </row>
    <row r="457" spans="1:48" ht="17" thickBot="1">
      <c r="A457" s="88" t="s">
        <v>4</v>
      </c>
      <c r="B457" s="262">
        <f>SUM(L457+M457+N457+O457+P457+U457+X457+Y457+Z457+AC457+AK457+AL457+AK457+AO457+AR457+AS457+AU457+AV457+AW457+AX457+AP457)+35</f>
        <v>40</v>
      </c>
      <c r="C457" s="217">
        <f>SUM(L457+M457+N457+O457+P457+U457+Y457+Z457+X457+AC457+AL457+AK457+AL457+AP457+AS457+AO457+AV457+AW457+AX457+AY457+AR457+AU457)+85</f>
        <v>90</v>
      </c>
      <c r="D457" s="144"/>
      <c r="E457" s="145"/>
      <c r="F457" s="146"/>
      <c r="G457" s="147"/>
      <c r="H457" s="684"/>
      <c r="I457" s="677"/>
      <c r="J457" s="535"/>
      <c r="K457" s="114"/>
      <c r="L457" s="113"/>
      <c r="M457" s="112"/>
      <c r="N457" s="112"/>
      <c r="O457" s="112"/>
      <c r="P457" s="112"/>
      <c r="Q457" s="115"/>
      <c r="R457" s="164"/>
      <c r="S457" s="118"/>
      <c r="T457" s="118"/>
      <c r="U457" s="100"/>
      <c r="V457" s="110"/>
      <c r="W457" s="110"/>
      <c r="X457" s="100"/>
      <c r="Y457" s="100"/>
      <c r="Z457" s="100">
        <v>5</v>
      </c>
      <c r="AA457" s="110"/>
      <c r="AB457" s="110"/>
      <c r="AC457" s="100"/>
      <c r="AD457" s="108"/>
      <c r="AE457" s="109"/>
      <c r="AF457" s="109"/>
      <c r="AG457" s="109"/>
      <c r="AH457" s="109"/>
      <c r="AI457" s="109"/>
      <c r="AJ457" s="108"/>
      <c r="AK457" s="100"/>
      <c r="AL457" s="142"/>
      <c r="AM457" s="142"/>
      <c r="AN457" s="100"/>
      <c r="AO457" s="100"/>
      <c r="AP457" s="142"/>
      <c r="AQ457" s="100"/>
      <c r="AR457" s="100"/>
      <c r="AS457" s="142"/>
      <c r="AT457" s="100"/>
      <c r="AU457" s="100"/>
      <c r="AV457" s="100"/>
    </row>
    <row r="458" spans="1:48" ht="21.1">
      <c r="A458" s="82" t="s">
        <v>158</v>
      </c>
      <c r="B458" s="260"/>
      <c r="C458" s="214"/>
      <c r="D458" s="133"/>
      <c r="E458" s="134"/>
      <c r="F458" s="135"/>
      <c r="G458" s="136"/>
      <c r="H458" s="683"/>
      <c r="I458" s="676"/>
      <c r="J458" s="534"/>
      <c r="K458" s="96">
        <v>6</v>
      </c>
      <c r="L458" s="104"/>
      <c r="M458" s="75"/>
      <c r="N458" s="75"/>
      <c r="O458" s="75" t="s">
        <v>382</v>
      </c>
      <c r="P458" s="75"/>
      <c r="Q458" s="97">
        <v>7</v>
      </c>
      <c r="R458" s="163"/>
      <c r="S458" s="109">
        <v>6</v>
      </c>
      <c r="T458" s="109" t="s">
        <v>382</v>
      </c>
      <c r="U458" s="102"/>
      <c r="V458" s="101"/>
      <c r="W458" s="101"/>
      <c r="X458" s="102" t="s">
        <v>373</v>
      </c>
      <c r="Y458" s="102"/>
      <c r="Z458" s="102"/>
      <c r="AA458" s="101"/>
      <c r="AB458" s="101"/>
      <c r="AC458" s="102" t="s">
        <v>373</v>
      </c>
      <c r="AD458" s="98"/>
      <c r="AE458" s="99">
        <v>6</v>
      </c>
      <c r="AF458" s="99">
        <v>6</v>
      </c>
      <c r="AG458" s="99" t="s">
        <v>382</v>
      </c>
      <c r="AH458" s="99">
        <v>7</v>
      </c>
      <c r="AI458" s="99">
        <v>6</v>
      </c>
      <c r="AJ458" s="98"/>
      <c r="AK458" s="102"/>
      <c r="AL458" s="138"/>
      <c r="AM458" s="138"/>
      <c r="AN458" s="102"/>
      <c r="AO458" s="102"/>
      <c r="AP458" s="138"/>
      <c r="AQ458" s="102"/>
      <c r="AR458" s="102"/>
      <c r="AS458" s="138"/>
      <c r="AT458" s="102"/>
      <c r="AU458" s="102"/>
      <c r="AV458" s="102"/>
    </row>
    <row r="459" spans="1:48" ht="16.3">
      <c r="A459" s="234" t="s">
        <v>1</v>
      </c>
      <c r="B459" s="261">
        <f>SUM(L459+M459+N459+O459+P459+U459+X459+Y459+Z459+AC459+AK459+AL459+AK459+AO459+AR459+AS459+AU459+AV459+AW459+AX459+AP459)+3</f>
        <v>6</v>
      </c>
      <c r="C459" s="215">
        <f t="shared" ref="C459:C460" si="82">B459</f>
        <v>6</v>
      </c>
      <c r="D459" s="133"/>
      <c r="E459" s="134"/>
      <c r="F459" s="135"/>
      <c r="G459" s="136"/>
      <c r="H459" s="683"/>
      <c r="I459" s="676"/>
      <c r="J459" s="534"/>
      <c r="K459" s="96">
        <v>1</v>
      </c>
      <c r="L459" s="104"/>
      <c r="M459" s="75"/>
      <c r="N459" s="75"/>
      <c r="O459" s="75">
        <v>1</v>
      </c>
      <c r="P459" s="75"/>
      <c r="Q459" s="97">
        <v>1</v>
      </c>
      <c r="R459" s="163"/>
      <c r="S459" s="109">
        <v>1</v>
      </c>
      <c r="T459" s="109">
        <v>1</v>
      </c>
      <c r="U459" s="100"/>
      <c r="V459" s="110"/>
      <c r="W459" s="110"/>
      <c r="X459" s="100">
        <v>1</v>
      </c>
      <c r="Y459" s="100"/>
      <c r="Z459" s="100"/>
      <c r="AA459" s="110"/>
      <c r="AB459" s="110"/>
      <c r="AC459" s="100">
        <v>1</v>
      </c>
      <c r="AD459" s="108"/>
      <c r="AE459" s="109">
        <v>1</v>
      </c>
      <c r="AF459" s="109">
        <v>1</v>
      </c>
      <c r="AG459" s="109">
        <v>1</v>
      </c>
      <c r="AH459" s="109">
        <v>1</v>
      </c>
      <c r="AI459" s="109">
        <v>1</v>
      </c>
      <c r="AJ459" s="108"/>
      <c r="AK459" s="100"/>
      <c r="AL459" s="142"/>
      <c r="AM459" s="142"/>
      <c r="AN459" s="100"/>
      <c r="AO459" s="100"/>
      <c r="AP459" s="142"/>
      <c r="AQ459" s="100"/>
      <c r="AR459" s="100"/>
      <c r="AS459" s="142"/>
      <c r="AT459" s="100"/>
      <c r="AU459" s="100"/>
      <c r="AV459" s="100"/>
    </row>
    <row r="460" spans="1:48" ht="16.3">
      <c r="A460" s="234" t="s">
        <v>2</v>
      </c>
      <c r="B460" s="261">
        <f>SUM(L460+M460+N460+O460+P460+U460+X460+Y460+Z460+AC460+AK460+AL460+AK460+AO460+AR460+AS460+AU460+AV460+AW460+AX460+AP460)+5</f>
        <v>5</v>
      </c>
      <c r="C460" s="215">
        <f t="shared" si="82"/>
        <v>5</v>
      </c>
      <c r="D460" s="133"/>
      <c r="E460" s="134"/>
      <c r="F460" s="135"/>
      <c r="G460" s="136"/>
      <c r="H460" s="683"/>
      <c r="I460" s="676"/>
      <c r="J460" s="534"/>
      <c r="K460" s="96"/>
      <c r="L460" s="104"/>
      <c r="M460" s="75"/>
      <c r="N460" s="75"/>
      <c r="O460" s="75"/>
      <c r="P460" s="75"/>
      <c r="Q460" s="97"/>
      <c r="R460" s="163"/>
      <c r="S460" s="109"/>
      <c r="T460" s="109"/>
      <c r="U460" s="100"/>
      <c r="V460" s="110"/>
      <c r="W460" s="110"/>
      <c r="X460" s="100"/>
      <c r="Y460" s="100"/>
      <c r="Z460" s="100"/>
      <c r="AA460" s="110"/>
      <c r="AB460" s="110"/>
      <c r="AC460" s="100"/>
      <c r="AD460" s="108"/>
      <c r="AE460" s="109"/>
      <c r="AF460" s="109"/>
      <c r="AG460" s="109"/>
      <c r="AH460" s="109"/>
      <c r="AI460" s="109"/>
      <c r="AJ460" s="108"/>
      <c r="AK460" s="100"/>
      <c r="AL460" s="142"/>
      <c r="AM460" s="142"/>
      <c r="AN460" s="100"/>
      <c r="AO460" s="100"/>
      <c r="AP460" s="142"/>
      <c r="AQ460" s="100"/>
      <c r="AR460" s="100"/>
      <c r="AS460" s="142"/>
      <c r="AT460" s="100"/>
      <c r="AU460" s="100"/>
      <c r="AV460" s="100"/>
    </row>
    <row r="461" spans="1:48" ht="16.3">
      <c r="A461" s="87" t="s">
        <v>363</v>
      </c>
      <c r="B461" s="260">
        <f>SUM(B459+B460)</f>
        <v>11</v>
      </c>
      <c r="C461" s="214">
        <f>SUM(C459+C460)</f>
        <v>11</v>
      </c>
      <c r="D461" s="133"/>
      <c r="E461" s="134"/>
      <c r="F461" s="135"/>
      <c r="G461" s="136"/>
      <c r="H461" s="683"/>
      <c r="I461" s="676"/>
      <c r="J461" s="534"/>
      <c r="K461" s="96"/>
      <c r="L461" s="104"/>
      <c r="M461" s="75"/>
      <c r="N461" s="75"/>
      <c r="O461" s="75"/>
      <c r="P461" s="75"/>
      <c r="Q461" s="97"/>
      <c r="R461" s="163"/>
      <c r="S461" s="109"/>
      <c r="T461" s="109"/>
      <c r="U461" s="100"/>
      <c r="V461" s="110"/>
      <c r="W461" s="110"/>
      <c r="X461" s="100"/>
      <c r="Y461" s="100"/>
      <c r="Z461" s="100"/>
      <c r="AA461" s="110"/>
      <c r="AB461" s="110"/>
      <c r="AC461" s="100"/>
      <c r="AD461" s="108"/>
      <c r="AE461" s="109"/>
      <c r="AF461" s="109"/>
      <c r="AG461" s="109"/>
      <c r="AH461" s="109"/>
      <c r="AI461" s="109"/>
      <c r="AJ461" s="108"/>
      <c r="AK461" s="100"/>
      <c r="AL461" s="142"/>
      <c r="AM461" s="142"/>
      <c r="AN461" s="100"/>
      <c r="AO461" s="100"/>
      <c r="AP461" s="142"/>
      <c r="AQ461" s="100"/>
      <c r="AR461" s="100"/>
      <c r="AS461" s="142"/>
      <c r="AT461" s="100"/>
      <c r="AU461" s="100"/>
      <c r="AV461" s="100"/>
    </row>
    <row r="462" spans="1:48" ht="16.3">
      <c r="A462" s="87" t="s">
        <v>3</v>
      </c>
      <c r="B462" s="260">
        <f>SUM(L462+M462+N462+O462+P462+U462+X462+Y462+Z462+AC462+AK462+AL462+AK462+AO462+AR462+AS462+AU462+AV462+AW462+AX462+AP462)</f>
        <v>0</v>
      </c>
      <c r="C462" s="214">
        <f t="shared" ref="C462:C463" si="83">B462</f>
        <v>0</v>
      </c>
      <c r="D462" s="133"/>
      <c r="E462" s="134"/>
      <c r="F462" s="135"/>
      <c r="G462" s="136"/>
      <c r="H462" s="683"/>
      <c r="I462" s="676"/>
      <c r="J462" s="534"/>
      <c r="K462" s="96"/>
      <c r="L462" s="104"/>
      <c r="M462" s="75"/>
      <c r="N462" s="75"/>
      <c r="O462" s="75"/>
      <c r="P462" s="75"/>
      <c r="Q462" s="97"/>
      <c r="R462" s="163"/>
      <c r="S462" s="109">
        <v>1</v>
      </c>
      <c r="T462" s="109"/>
      <c r="U462" s="100"/>
      <c r="V462" s="110"/>
      <c r="W462" s="110"/>
      <c r="X462" s="100"/>
      <c r="Y462" s="100"/>
      <c r="Z462" s="100"/>
      <c r="AA462" s="110"/>
      <c r="AB462" s="110"/>
      <c r="AC462" s="100"/>
      <c r="AD462" s="108"/>
      <c r="AE462" s="109"/>
      <c r="AF462" s="109"/>
      <c r="AG462" s="109"/>
      <c r="AH462" s="109">
        <v>1</v>
      </c>
      <c r="AI462" s="109">
        <v>1</v>
      </c>
      <c r="AJ462" s="108"/>
      <c r="AK462" s="100"/>
      <c r="AL462" s="142"/>
      <c r="AM462" s="142"/>
      <c r="AN462" s="100"/>
      <c r="AO462" s="100"/>
      <c r="AP462" s="142"/>
      <c r="AQ462" s="100"/>
      <c r="AR462" s="100"/>
      <c r="AS462" s="142"/>
      <c r="AT462" s="100"/>
      <c r="AU462" s="100"/>
      <c r="AV462" s="100"/>
    </row>
    <row r="463" spans="1:48" ht="17" thickBot="1">
      <c r="A463" s="88" t="s">
        <v>4</v>
      </c>
      <c r="B463" s="262">
        <f>SUM(L463+M463+N463+O463+P463+U463+X463+Y463+Z463+AC463+AK463+AL463+AK463+AO463+AR463+AS463+AU463+AV463+AW463+AX463+AP463)</f>
        <v>0</v>
      </c>
      <c r="C463" s="217">
        <f t="shared" si="83"/>
        <v>0</v>
      </c>
      <c r="D463" s="144"/>
      <c r="E463" s="145"/>
      <c r="F463" s="146"/>
      <c r="G463" s="147"/>
      <c r="H463" s="684"/>
      <c r="I463" s="677"/>
      <c r="J463" s="535"/>
      <c r="K463" s="114"/>
      <c r="L463" s="113"/>
      <c r="M463" s="112"/>
      <c r="N463" s="112"/>
      <c r="O463" s="112"/>
      <c r="P463" s="112"/>
      <c r="Q463" s="115"/>
      <c r="R463" s="164"/>
      <c r="S463" s="118">
        <v>5</v>
      </c>
      <c r="T463" s="114"/>
      <c r="U463" s="116"/>
      <c r="V463" s="120"/>
      <c r="W463" s="120"/>
      <c r="X463" s="116"/>
      <c r="Y463" s="116"/>
      <c r="Z463" s="116"/>
      <c r="AA463" s="120"/>
      <c r="AB463" s="120"/>
      <c r="AC463" s="116"/>
      <c r="AD463" s="117"/>
      <c r="AE463" s="118"/>
      <c r="AF463" s="118"/>
      <c r="AG463" s="118"/>
      <c r="AH463" s="118">
        <v>5</v>
      </c>
      <c r="AI463" s="118">
        <v>5</v>
      </c>
      <c r="AJ463" s="117"/>
      <c r="AK463" s="116"/>
      <c r="AL463" s="149"/>
      <c r="AM463" s="149"/>
      <c r="AN463" s="116"/>
      <c r="AO463" s="116"/>
      <c r="AP463" s="149"/>
      <c r="AQ463" s="116"/>
      <c r="AR463" s="116"/>
      <c r="AS463" s="149"/>
      <c r="AT463" s="116"/>
      <c r="AU463" s="116"/>
      <c r="AV463" s="116"/>
    </row>
    <row r="464" spans="1:48" ht="21.1">
      <c r="A464" s="82" t="s">
        <v>61</v>
      </c>
      <c r="B464" s="260"/>
      <c r="C464" s="214"/>
      <c r="D464" s="133"/>
      <c r="E464" s="134"/>
      <c r="F464" s="135"/>
      <c r="G464" s="136"/>
      <c r="H464" s="683"/>
      <c r="I464" s="676"/>
      <c r="J464" s="534"/>
      <c r="K464" s="96" t="s">
        <v>339</v>
      </c>
      <c r="L464" s="104" t="s">
        <v>339</v>
      </c>
      <c r="M464" s="75" t="s">
        <v>339</v>
      </c>
      <c r="N464" s="75" t="s">
        <v>339</v>
      </c>
      <c r="O464" s="75" t="s">
        <v>339</v>
      </c>
      <c r="P464" s="75" t="s">
        <v>339</v>
      </c>
      <c r="Q464" s="97" t="s">
        <v>339</v>
      </c>
      <c r="R464" s="163"/>
      <c r="S464" s="109" t="s">
        <v>339</v>
      </c>
      <c r="T464" s="109" t="s">
        <v>339</v>
      </c>
      <c r="U464" s="102" t="s">
        <v>339</v>
      </c>
      <c r="V464" s="101" t="s">
        <v>339</v>
      </c>
      <c r="W464" s="101" t="s">
        <v>339</v>
      </c>
      <c r="X464" s="102" t="s">
        <v>339</v>
      </c>
      <c r="Y464" s="102" t="s">
        <v>339</v>
      </c>
      <c r="Z464" s="102" t="s">
        <v>339</v>
      </c>
      <c r="AA464" s="101" t="s">
        <v>339</v>
      </c>
      <c r="AB464" s="101" t="s">
        <v>339</v>
      </c>
      <c r="AC464" s="102" t="s">
        <v>339</v>
      </c>
      <c r="AD464" s="98"/>
      <c r="AE464" s="99" t="s">
        <v>339</v>
      </c>
      <c r="AF464" s="99" t="s">
        <v>339</v>
      </c>
      <c r="AG464" s="99" t="s">
        <v>339</v>
      </c>
      <c r="AH464" s="99" t="s">
        <v>339</v>
      </c>
      <c r="AI464" s="99" t="s">
        <v>339</v>
      </c>
      <c r="AJ464" s="98"/>
      <c r="AK464" s="102"/>
      <c r="AL464" s="138"/>
      <c r="AM464" s="138"/>
      <c r="AN464" s="102"/>
      <c r="AO464" s="102"/>
      <c r="AP464" s="138"/>
      <c r="AQ464" s="102"/>
      <c r="AR464" s="102"/>
      <c r="AS464" s="138"/>
      <c r="AT464" s="102"/>
      <c r="AU464" s="102"/>
      <c r="AV464" s="102"/>
    </row>
    <row r="465" spans="1:48" ht="16.3">
      <c r="A465" s="234" t="s">
        <v>1</v>
      </c>
      <c r="B465" s="261">
        <f>SUM(L465+M465+N465+O465+P465+U465+X465+Y465+Z465+AC465+AK465+AL465+AK465+AO465+AR465+AS465+AU465+AV465+AW465+AX465+AP465)+15</f>
        <v>15</v>
      </c>
      <c r="C465" s="215">
        <f>B465</f>
        <v>15</v>
      </c>
      <c r="D465" s="139"/>
      <c r="E465" s="140"/>
      <c r="F465" s="169"/>
      <c r="G465" s="170"/>
      <c r="H465" s="685"/>
      <c r="I465" s="678"/>
      <c r="J465" s="534"/>
      <c r="K465" s="96"/>
      <c r="L465" s="104"/>
      <c r="M465" s="75"/>
      <c r="N465" s="75"/>
      <c r="O465" s="75"/>
      <c r="P465" s="75"/>
      <c r="Q465" s="97"/>
      <c r="R465" s="163"/>
      <c r="S465" s="109"/>
      <c r="T465" s="109"/>
      <c r="U465" s="100"/>
      <c r="V465" s="110"/>
      <c r="W465" s="110"/>
      <c r="X465" s="100"/>
      <c r="Y465" s="100"/>
      <c r="Z465" s="100"/>
      <c r="AA465" s="110"/>
      <c r="AB465" s="110"/>
      <c r="AC465" s="100"/>
      <c r="AD465" s="108"/>
      <c r="AE465" s="109"/>
      <c r="AF465" s="109"/>
      <c r="AG465" s="109"/>
      <c r="AH465" s="109"/>
      <c r="AI465" s="109"/>
      <c r="AJ465" s="108"/>
      <c r="AK465" s="100"/>
      <c r="AL465" s="142"/>
      <c r="AM465" s="142"/>
      <c r="AN465" s="100"/>
      <c r="AO465" s="100"/>
      <c r="AP465" s="142"/>
      <c r="AQ465" s="100"/>
      <c r="AR465" s="100"/>
      <c r="AS465" s="142"/>
      <c r="AT465" s="100"/>
      <c r="AU465" s="100"/>
      <c r="AV465" s="100"/>
    </row>
    <row r="466" spans="1:48" ht="16.3">
      <c r="A466" s="234" t="s">
        <v>2</v>
      </c>
      <c r="B466" s="261">
        <f>SUM(L466+M466+N466+O466+P466+U466+X466+Y466+Z466+AC466+AK466+AL466+AK466+AO466+AR466+AS466+AU466+AV466+AW466+AX466)+25</f>
        <v>25</v>
      </c>
      <c r="C466" s="215">
        <f t="shared" ref="C466:C469" si="84">B466</f>
        <v>25</v>
      </c>
      <c r="D466" s="139"/>
      <c r="E466" s="140"/>
      <c r="F466" s="169"/>
      <c r="G466" s="170"/>
      <c r="H466" s="685"/>
      <c r="I466" s="678"/>
      <c r="J466" s="534"/>
      <c r="K466" s="96"/>
      <c r="L466" s="104"/>
      <c r="M466" s="75"/>
      <c r="N466" s="75"/>
      <c r="O466" s="75"/>
      <c r="P466" s="75"/>
      <c r="Q466" s="97"/>
      <c r="R466" s="163"/>
      <c r="S466" s="109"/>
      <c r="T466" s="109"/>
      <c r="U466" s="100"/>
      <c r="V466" s="110"/>
      <c r="W466" s="110"/>
      <c r="X466" s="100"/>
      <c r="Y466" s="100"/>
      <c r="Z466" s="100"/>
      <c r="AA466" s="110"/>
      <c r="AB466" s="110"/>
      <c r="AC466" s="100"/>
      <c r="AD466" s="108"/>
      <c r="AE466" s="109"/>
      <c r="AF466" s="109"/>
      <c r="AG466" s="109"/>
      <c r="AH466" s="109"/>
      <c r="AI466" s="109"/>
      <c r="AJ466" s="108"/>
      <c r="AK466" s="100"/>
      <c r="AL466" s="142"/>
      <c r="AM466" s="142"/>
      <c r="AN466" s="100"/>
      <c r="AO466" s="100"/>
      <c r="AP466" s="142"/>
      <c r="AQ466" s="100"/>
      <c r="AR466" s="100"/>
      <c r="AS466" s="142"/>
      <c r="AT466" s="100"/>
      <c r="AU466" s="100"/>
      <c r="AV466" s="100"/>
    </row>
    <row r="467" spans="1:48" ht="16.3">
      <c r="A467" s="87" t="s">
        <v>363</v>
      </c>
      <c r="B467" s="260">
        <f>SUM(B465+B466)</f>
        <v>40</v>
      </c>
      <c r="C467" s="214">
        <f t="shared" si="84"/>
        <v>40</v>
      </c>
      <c r="D467" s="133"/>
      <c r="E467" s="134"/>
      <c r="F467" s="135"/>
      <c r="G467" s="136"/>
      <c r="H467" s="683"/>
      <c r="I467" s="676"/>
      <c r="J467" s="534"/>
      <c r="K467" s="96"/>
      <c r="L467" s="104"/>
      <c r="M467" s="75"/>
      <c r="N467" s="75"/>
      <c r="O467" s="75"/>
      <c r="P467" s="75"/>
      <c r="Q467" s="97"/>
      <c r="R467" s="163"/>
      <c r="S467" s="109"/>
      <c r="T467" s="109"/>
      <c r="U467" s="100"/>
      <c r="V467" s="110"/>
      <c r="W467" s="110"/>
      <c r="X467" s="100"/>
      <c r="Y467" s="100"/>
      <c r="Z467" s="100"/>
      <c r="AA467" s="110"/>
      <c r="AB467" s="110"/>
      <c r="AC467" s="100"/>
      <c r="AD467" s="108"/>
      <c r="AE467" s="109"/>
      <c r="AF467" s="109"/>
      <c r="AG467" s="109"/>
      <c r="AH467" s="109"/>
      <c r="AI467" s="109"/>
      <c r="AJ467" s="108"/>
      <c r="AK467" s="100"/>
      <c r="AL467" s="142"/>
      <c r="AM467" s="142"/>
      <c r="AN467" s="100"/>
      <c r="AO467" s="100"/>
      <c r="AP467" s="142"/>
      <c r="AQ467" s="100"/>
      <c r="AR467" s="100"/>
      <c r="AS467" s="142"/>
      <c r="AT467" s="100"/>
      <c r="AU467" s="100"/>
      <c r="AV467" s="100"/>
    </row>
    <row r="468" spans="1:48" ht="16.3">
      <c r="A468" s="234" t="s">
        <v>362</v>
      </c>
      <c r="B468" s="261">
        <f>SUM(L468+M468+N468+O468+P468+U468+X468+Y468+Z468+AC468+AK468+AL468+AK468+AO468+AR468+AS468+AU468+AV468+AW468+AX468)+3</f>
        <v>3</v>
      </c>
      <c r="C468" s="215">
        <f t="shared" si="84"/>
        <v>3</v>
      </c>
      <c r="D468" s="139"/>
      <c r="E468" s="140"/>
      <c r="F468" s="169"/>
      <c r="G468" s="170"/>
      <c r="H468" s="685"/>
      <c r="I468" s="678"/>
      <c r="J468" s="534"/>
      <c r="K468" s="96"/>
      <c r="L468" s="104"/>
      <c r="M468" s="75"/>
      <c r="N468" s="75"/>
      <c r="O468" s="75"/>
      <c r="P468" s="75"/>
      <c r="Q468" s="97"/>
      <c r="R468" s="163"/>
      <c r="S468" s="109"/>
      <c r="T468" s="109"/>
      <c r="U468" s="100"/>
      <c r="V468" s="110"/>
      <c r="W468" s="110"/>
      <c r="X468" s="100"/>
      <c r="Y468" s="100"/>
      <c r="Z468" s="100"/>
      <c r="AA468" s="110"/>
      <c r="AB468" s="110"/>
      <c r="AC468" s="100"/>
      <c r="AD468" s="108"/>
      <c r="AE468" s="109"/>
      <c r="AF468" s="109"/>
      <c r="AG468" s="109"/>
      <c r="AH468" s="109"/>
      <c r="AI468" s="109"/>
      <c r="AJ468" s="108"/>
      <c r="AK468" s="100"/>
      <c r="AL468" s="142"/>
      <c r="AM468" s="142"/>
      <c r="AN468" s="100"/>
      <c r="AO468" s="100"/>
      <c r="AP468" s="142"/>
      <c r="AQ468" s="100"/>
      <c r="AR468" s="100"/>
      <c r="AS468" s="142"/>
      <c r="AT468" s="100"/>
      <c r="AU468" s="100"/>
      <c r="AV468" s="100"/>
    </row>
    <row r="469" spans="1:48" ht="16.3">
      <c r="A469" s="87" t="s">
        <v>3</v>
      </c>
      <c r="B469" s="260">
        <f>SUM(L469+M469+N469+O469+P469+U469+X469+Y469+Z469+AC469+AK469+AL469+AK469+AO469+AR469+AS469+AU469+AV469+AW469+AX469)+3</f>
        <v>3</v>
      </c>
      <c r="C469" s="214">
        <f t="shared" si="84"/>
        <v>3</v>
      </c>
      <c r="D469" s="133"/>
      <c r="E469" s="134"/>
      <c r="F469" s="135"/>
      <c r="G469" s="136"/>
      <c r="H469" s="683"/>
      <c r="I469" s="676"/>
      <c r="J469" s="534"/>
      <c r="K469" s="96"/>
      <c r="L469" s="104"/>
      <c r="M469" s="75"/>
      <c r="N469" s="75"/>
      <c r="O469" s="75"/>
      <c r="P469" s="75"/>
      <c r="Q469" s="97"/>
      <c r="R469" s="163"/>
      <c r="S469" s="109"/>
      <c r="T469" s="109"/>
      <c r="U469" s="100"/>
      <c r="V469" s="110"/>
      <c r="W469" s="110"/>
      <c r="X469" s="100"/>
      <c r="Y469" s="100"/>
      <c r="Z469" s="100"/>
      <c r="AA469" s="110"/>
      <c r="AB469" s="110"/>
      <c r="AC469" s="100"/>
      <c r="AD469" s="108"/>
      <c r="AE469" s="109"/>
      <c r="AF469" s="109"/>
      <c r="AG469" s="109"/>
      <c r="AH469" s="109"/>
      <c r="AI469" s="109"/>
      <c r="AJ469" s="108"/>
      <c r="AK469" s="100"/>
      <c r="AL469" s="142"/>
      <c r="AM469" s="142"/>
      <c r="AN469" s="100"/>
      <c r="AO469" s="100"/>
      <c r="AP469" s="142"/>
      <c r="AQ469" s="100"/>
      <c r="AR469" s="100"/>
      <c r="AS469" s="142"/>
      <c r="AT469" s="100"/>
      <c r="AU469" s="100"/>
      <c r="AV469" s="100"/>
    </row>
    <row r="470" spans="1:48" ht="17" thickBot="1">
      <c r="A470" s="88" t="s">
        <v>4</v>
      </c>
      <c r="B470" s="262">
        <f>SUM(L470+M470+N470+O470+P470+U470+X470+Y470+Z470+AC470+AK470+AL470+AK470+AO470+AR470+AS470+AU470+AV470+AW470+AX470)+15</f>
        <v>15</v>
      </c>
      <c r="C470" s="217">
        <f t="shared" ref="C470" si="85">B470</f>
        <v>15</v>
      </c>
      <c r="D470" s="144"/>
      <c r="E470" s="145"/>
      <c r="F470" s="146"/>
      <c r="G470" s="147"/>
      <c r="H470" s="684"/>
      <c r="I470" s="677"/>
      <c r="J470" s="535"/>
      <c r="K470" s="114"/>
      <c r="L470" s="113"/>
      <c r="M470" s="112"/>
      <c r="N470" s="112"/>
      <c r="O470" s="112"/>
      <c r="P470" s="112"/>
      <c r="Q470" s="115"/>
      <c r="R470" s="164"/>
      <c r="S470" s="118"/>
      <c r="T470" s="114"/>
      <c r="U470" s="116"/>
      <c r="V470" s="120"/>
      <c r="W470" s="120"/>
      <c r="X470" s="116"/>
      <c r="Y470" s="116"/>
      <c r="Z470" s="116"/>
      <c r="AA470" s="120"/>
      <c r="AB470" s="120"/>
      <c r="AC470" s="116"/>
      <c r="AD470" s="117"/>
      <c r="AE470" s="118"/>
      <c r="AF470" s="118"/>
      <c r="AG470" s="118"/>
      <c r="AH470" s="118"/>
      <c r="AI470" s="118"/>
      <c r="AJ470" s="117"/>
      <c r="AK470" s="116"/>
      <c r="AL470" s="149"/>
      <c r="AM470" s="149"/>
      <c r="AN470" s="116"/>
      <c r="AO470" s="116"/>
      <c r="AP470" s="149"/>
      <c r="AQ470" s="116"/>
      <c r="AR470" s="116"/>
      <c r="AS470" s="149"/>
      <c r="AT470" s="116"/>
      <c r="AU470" s="116"/>
      <c r="AV470" s="116"/>
    </row>
    <row r="471" spans="1:48" ht="21.1">
      <c r="A471" s="86" t="s">
        <v>8</v>
      </c>
      <c r="B471" s="171"/>
      <c r="C471" s="171"/>
      <c r="D471" s="172"/>
      <c r="E471" s="172"/>
      <c r="F471" s="171"/>
      <c r="G471" s="171"/>
      <c r="H471" s="291"/>
      <c r="I471" s="171"/>
      <c r="J471" s="131"/>
      <c r="K471" s="124"/>
      <c r="L471" s="122"/>
      <c r="M471" s="122"/>
      <c r="N471" s="102"/>
      <c r="O471" s="102"/>
      <c r="P471" s="102"/>
      <c r="Q471" s="99"/>
      <c r="R471" s="98"/>
      <c r="S471" s="99"/>
      <c r="T471" s="99"/>
      <c r="U471" s="102"/>
      <c r="V471" s="101"/>
      <c r="W471" s="101"/>
      <c r="X471" s="102"/>
      <c r="Y471" s="102"/>
      <c r="Z471" s="102"/>
      <c r="AA471" s="101"/>
      <c r="AB471" s="101"/>
      <c r="AC471" s="102"/>
      <c r="AD471" s="98"/>
      <c r="AE471" s="99"/>
      <c r="AF471" s="99"/>
      <c r="AG471" s="99"/>
      <c r="AH471" s="99"/>
      <c r="AI471" s="124"/>
      <c r="AJ471" s="180"/>
      <c r="AK471" s="102"/>
      <c r="AL471" s="138"/>
      <c r="AM471" s="138"/>
      <c r="AN471" s="102"/>
      <c r="AO471" s="102"/>
      <c r="AP471" s="138"/>
      <c r="AQ471" s="102"/>
      <c r="AR471" s="102"/>
      <c r="AS471" s="138"/>
      <c r="AT471" s="102"/>
      <c r="AU471" s="102"/>
      <c r="AV471" s="102"/>
    </row>
    <row r="472" spans="1:48" ht="16.3">
      <c r="A472" s="83" t="s">
        <v>3</v>
      </c>
      <c r="B472" s="173"/>
      <c r="C472" s="173"/>
      <c r="D472" s="174"/>
      <c r="E472" s="174"/>
      <c r="F472" s="173"/>
      <c r="G472" s="173"/>
      <c r="H472" s="762"/>
      <c r="I472" s="173"/>
      <c r="J472" s="107"/>
      <c r="K472" s="96"/>
      <c r="L472" s="75"/>
      <c r="M472" s="75"/>
      <c r="N472" s="100"/>
      <c r="O472" s="100"/>
      <c r="P472" s="100"/>
      <c r="Q472" s="109"/>
      <c r="R472" s="108"/>
      <c r="S472" s="109"/>
      <c r="T472" s="109"/>
      <c r="U472" s="100"/>
      <c r="V472" s="110">
        <v>1</v>
      </c>
      <c r="W472" s="110"/>
      <c r="X472" s="100"/>
      <c r="Y472" s="100"/>
      <c r="Z472" s="100"/>
      <c r="AA472" s="110"/>
      <c r="AB472" s="110">
        <v>1</v>
      </c>
      <c r="AC472" s="100"/>
      <c r="AD472" s="108"/>
      <c r="AE472" s="109"/>
      <c r="AF472" s="109"/>
      <c r="AG472" s="109"/>
      <c r="AH472" s="109"/>
      <c r="AI472" s="96"/>
      <c r="AJ472" s="105"/>
      <c r="AK472" s="100"/>
      <c r="AL472" s="142"/>
      <c r="AM472" s="142"/>
      <c r="AN472" s="100"/>
      <c r="AO472" s="100"/>
      <c r="AP472" s="142"/>
      <c r="AQ472" s="100"/>
      <c r="AR472" s="100"/>
      <c r="AS472" s="142"/>
      <c r="AT472" s="100"/>
      <c r="AU472" s="100"/>
      <c r="AV472" s="100"/>
    </row>
    <row r="473" spans="1:48" ht="17" thickBot="1">
      <c r="A473" s="85" t="s">
        <v>4</v>
      </c>
      <c r="B473" s="173"/>
      <c r="C473" s="173"/>
      <c r="D473" s="174"/>
      <c r="E473" s="174"/>
      <c r="F473" s="173"/>
      <c r="G473" s="173"/>
      <c r="H473" s="763"/>
      <c r="I473" s="173"/>
      <c r="J473" s="245"/>
      <c r="K473" s="537"/>
      <c r="L473" s="175"/>
      <c r="M473" s="175"/>
      <c r="N473" s="116"/>
      <c r="O473" s="112"/>
      <c r="P473" s="116"/>
      <c r="Q473" s="118"/>
      <c r="R473" s="117"/>
      <c r="S473" s="118"/>
      <c r="T473" s="118"/>
      <c r="U473" s="100"/>
      <c r="V473" s="120">
        <v>7</v>
      </c>
      <c r="W473" s="120"/>
      <c r="X473" s="116"/>
      <c r="Y473" s="116"/>
      <c r="Z473" s="116"/>
      <c r="AA473" s="120"/>
      <c r="AB473" s="120">
        <v>7</v>
      </c>
      <c r="AC473" s="116"/>
      <c r="AD473" s="117"/>
      <c r="AE473" s="118"/>
      <c r="AF473" s="118"/>
      <c r="AG473" s="118"/>
      <c r="AH473" s="118"/>
      <c r="AI473" s="114"/>
      <c r="AJ473" s="105"/>
      <c r="AK473" s="116"/>
      <c r="AL473" s="149"/>
      <c r="AM473" s="149"/>
      <c r="AN473" s="116"/>
      <c r="AO473" s="116"/>
      <c r="AP473" s="149"/>
      <c r="AQ473" s="116"/>
      <c r="AR473" s="116"/>
      <c r="AS473" s="149"/>
      <c r="AT473" s="116"/>
      <c r="AU473" s="116"/>
      <c r="AV473" s="116"/>
    </row>
    <row r="474" spans="1:48">
      <c r="A474" s="553"/>
      <c r="B474" s="862" t="s">
        <v>352</v>
      </c>
      <c r="C474" s="863"/>
      <c r="D474" s="864" t="s">
        <v>350</v>
      </c>
      <c r="E474" s="865"/>
      <c r="F474" s="866" t="s">
        <v>351</v>
      </c>
      <c r="G474" s="867"/>
      <c r="H474" s="868" t="s">
        <v>873</v>
      </c>
      <c r="I474" s="869"/>
      <c r="J474" s="758"/>
      <c r="K474" s="555"/>
      <c r="L474" s="555"/>
      <c r="M474" s="555"/>
      <c r="N474" s="555"/>
      <c r="O474" s="555"/>
      <c r="P474" s="555"/>
      <c r="Q474" s="555"/>
      <c r="R474" s="555"/>
      <c r="S474" s="555"/>
      <c r="T474" s="555"/>
      <c r="U474" s="555"/>
      <c r="V474" s="555"/>
      <c r="W474" s="755"/>
      <c r="X474" s="555"/>
      <c r="Y474" s="555"/>
      <c r="Z474" s="556"/>
      <c r="AA474" s="555"/>
      <c r="AB474" s="755"/>
      <c r="AC474" s="555"/>
      <c r="AD474" s="555"/>
      <c r="AE474" s="556"/>
      <c r="AF474" s="556"/>
      <c r="AG474" s="555"/>
      <c r="AH474" s="555"/>
      <c r="AI474" s="555"/>
      <c r="AJ474" s="857"/>
      <c r="AK474" s="555"/>
      <c r="AL474" s="555"/>
      <c r="AM474" s="555"/>
      <c r="AN474" s="555"/>
      <c r="AO474" s="555"/>
      <c r="AP474" s="555"/>
      <c r="AQ474" s="555"/>
      <c r="AR474" s="555"/>
      <c r="AS474" s="555"/>
      <c r="AT474" s="555"/>
      <c r="AU474" s="557"/>
      <c r="AV474" s="558"/>
    </row>
    <row r="475" spans="1:48" ht="21.75" thickBot="1">
      <c r="A475" s="554" t="s">
        <v>962</v>
      </c>
      <c r="B475" s="59" t="s">
        <v>348</v>
      </c>
      <c r="C475" s="64" t="s">
        <v>349</v>
      </c>
      <c r="D475" s="59" t="s">
        <v>348</v>
      </c>
      <c r="E475" s="61" t="s">
        <v>349</v>
      </c>
      <c r="F475" s="59" t="s">
        <v>348</v>
      </c>
      <c r="G475" s="70" t="s">
        <v>349</v>
      </c>
      <c r="H475" s="60" t="s">
        <v>348</v>
      </c>
      <c r="I475" s="681" t="s">
        <v>349</v>
      </c>
      <c r="J475" s="759"/>
      <c r="K475" s="559"/>
      <c r="L475" s="559"/>
      <c r="M475" s="559"/>
      <c r="N475" s="559"/>
      <c r="O475" s="559"/>
      <c r="P475" s="559"/>
      <c r="Q475" s="559"/>
      <c r="R475" s="559"/>
      <c r="S475" s="560"/>
      <c r="T475" s="560"/>
      <c r="U475" s="560"/>
      <c r="V475" s="560"/>
      <c r="W475" s="756"/>
      <c r="X475" s="560"/>
      <c r="Y475" s="560"/>
      <c r="Z475" s="792"/>
      <c r="AA475" s="560"/>
      <c r="AB475" s="756"/>
      <c r="AC475" s="560"/>
      <c r="AD475" s="560"/>
      <c r="AE475" s="560"/>
      <c r="AF475" s="560"/>
      <c r="AG475" s="560"/>
      <c r="AH475" s="560"/>
      <c r="AI475" s="560"/>
      <c r="AJ475" s="858"/>
      <c r="AK475" s="560"/>
      <c r="AL475" s="560"/>
      <c r="AM475" s="561"/>
      <c r="AN475" s="561"/>
      <c r="AO475" s="561"/>
      <c r="AP475" s="561"/>
      <c r="AQ475" s="561"/>
      <c r="AR475" s="561"/>
      <c r="AS475" s="561"/>
      <c r="AT475" s="561"/>
      <c r="AU475" s="561"/>
      <c r="AV475" s="562"/>
    </row>
    <row r="476" spans="1:48">
      <c r="A476" s="301" t="s">
        <v>476</v>
      </c>
      <c r="B476" s="563">
        <f>SUM(L476+M476+N476+O476+P476+U476+X476+Y476+Z476+AC476+AK476+AL476+AK476+AO476+AR476+AS476+AU476+AV476+AW476+AX476)+61</f>
        <v>71</v>
      </c>
      <c r="C476" s="317">
        <f>B476</f>
        <v>71</v>
      </c>
      <c r="D476" s="567">
        <f>SUM(V476+W476+AA476+AB476+AM476+AN476+AQ476+AT476)+9</f>
        <v>13</v>
      </c>
      <c r="E476" s="355">
        <f>SUM(W476+V476+AB476+AA476+AN476+AM476+AQ476+AT476)+43</f>
        <v>47</v>
      </c>
      <c r="F476" s="567">
        <v>8</v>
      </c>
      <c r="G476" s="358">
        <f>F476</f>
        <v>8</v>
      </c>
      <c r="H476" s="760">
        <f>SUM(J476+K476+S476+T476+Q476+R476+AE476+AF476+AG476+AH476+AI476+AJ476)+18</f>
        <v>27</v>
      </c>
      <c r="I476" s="359">
        <f>H476</f>
        <v>27</v>
      </c>
      <c r="J476" s="474"/>
      <c r="K476" s="491">
        <v>1</v>
      </c>
      <c r="L476" s="305">
        <v>1</v>
      </c>
      <c r="M476" s="305">
        <v>1</v>
      </c>
      <c r="N476" s="303">
        <v>1</v>
      </c>
      <c r="O476" s="362">
        <v>1</v>
      </c>
      <c r="P476" s="305">
        <v>1</v>
      </c>
      <c r="Q476" s="491">
        <v>1</v>
      </c>
      <c r="R476" s="325"/>
      <c r="S476" s="491">
        <v>1</v>
      </c>
      <c r="T476" s="491">
        <v>1</v>
      </c>
      <c r="U476" s="305">
        <v>1</v>
      </c>
      <c r="V476" s="344">
        <v>1</v>
      </c>
      <c r="W476" s="344">
        <v>1</v>
      </c>
      <c r="X476" s="306">
        <v>1</v>
      </c>
      <c r="Y476" s="306">
        <v>1</v>
      </c>
      <c r="Z476" s="781">
        <v>1</v>
      </c>
      <c r="AA476" s="344">
        <v>1</v>
      </c>
      <c r="AB476" s="344">
        <v>1</v>
      </c>
      <c r="AC476" s="306">
        <v>1</v>
      </c>
      <c r="AD476" s="332"/>
      <c r="AE476" s="815">
        <v>1</v>
      </c>
      <c r="AF476" s="812">
        <v>1</v>
      </c>
      <c r="AG476" s="815">
        <v>1</v>
      </c>
      <c r="AH476" s="815">
        <v>1</v>
      </c>
      <c r="AI476" s="815">
        <v>1</v>
      </c>
      <c r="AJ476" s="820"/>
      <c r="AK476" s="306"/>
      <c r="AL476" s="419"/>
      <c r="AM476" s="421"/>
      <c r="AN476" s="362"/>
      <c r="AO476" s="362"/>
      <c r="AP476" s="440"/>
      <c r="AQ476" s="362"/>
      <c r="AR476" s="362"/>
      <c r="AS476" s="440"/>
      <c r="AT476" s="362"/>
      <c r="AU476" s="443"/>
      <c r="AV476" s="443"/>
    </row>
    <row r="477" spans="1:48">
      <c r="A477" s="304" t="s">
        <v>477</v>
      </c>
      <c r="B477" s="564">
        <f>SUM(L477+M477+N477+O477+P477+U477+X477+Y477+Z477+AC477+AK477+AL477+AK477+AO477+AR477+AS477+AU477+AV477+AW477+AX477)+36</f>
        <v>44</v>
      </c>
      <c r="C477" s="318">
        <f t="shared" ref="C477:C479" si="86">B477</f>
        <v>44</v>
      </c>
      <c r="D477" s="568">
        <f>SUM(V477+W477+AA477+AB477+AM477+AN477+AQ477+AT477)+7</f>
        <v>10</v>
      </c>
      <c r="E477" s="356">
        <f>SUM(W477+V477+AB477+AA477+AN477+AM477+AQ477+AT477)+27</f>
        <v>30</v>
      </c>
      <c r="F477" s="568">
        <v>4</v>
      </c>
      <c r="G477" s="359">
        <f t="shared" ref="G477:I479" si="87">F477</f>
        <v>4</v>
      </c>
      <c r="H477" s="760">
        <f>SUM(J477+K477+S477+T477+Q477+R477+AE477+AF477+AG477+AH477+AI477+AJ477)+11</f>
        <v>17</v>
      </c>
      <c r="I477" s="359">
        <f t="shared" si="87"/>
        <v>17</v>
      </c>
      <c r="J477" s="474"/>
      <c r="K477" s="491">
        <v>1</v>
      </c>
      <c r="L477" s="305">
        <v>1</v>
      </c>
      <c r="M477" s="305">
        <v>1</v>
      </c>
      <c r="N477" s="306">
        <v>1</v>
      </c>
      <c r="O477" s="362">
        <v>0</v>
      </c>
      <c r="P477" s="305">
        <v>1</v>
      </c>
      <c r="Q477" s="491">
        <v>1</v>
      </c>
      <c r="R477" s="325"/>
      <c r="S477" s="491">
        <v>0</v>
      </c>
      <c r="T477" s="491">
        <v>1</v>
      </c>
      <c r="U477" s="305">
        <v>1</v>
      </c>
      <c r="V477" s="344">
        <v>1</v>
      </c>
      <c r="W477" s="344">
        <v>0</v>
      </c>
      <c r="X477" s="306">
        <v>1</v>
      </c>
      <c r="Y477" s="306">
        <v>0</v>
      </c>
      <c r="Z477" s="782">
        <v>1</v>
      </c>
      <c r="AA477" s="344">
        <v>1</v>
      </c>
      <c r="AB477" s="344">
        <v>1</v>
      </c>
      <c r="AC477" s="306">
        <v>1</v>
      </c>
      <c r="AD477" s="332"/>
      <c r="AE477" s="815">
        <v>1</v>
      </c>
      <c r="AF477" s="812">
        <v>1</v>
      </c>
      <c r="AG477" s="815">
        <v>0</v>
      </c>
      <c r="AH477" s="815">
        <v>1</v>
      </c>
      <c r="AI477" s="815">
        <v>0</v>
      </c>
      <c r="AJ477" s="820"/>
      <c r="AK477" s="306"/>
      <c r="AL477" s="419"/>
      <c r="AM477" s="421"/>
      <c r="AN477" s="362"/>
      <c r="AO477" s="362"/>
      <c r="AP477" s="440"/>
      <c r="AQ477" s="362"/>
      <c r="AR477" s="362"/>
      <c r="AS477" s="440"/>
      <c r="AT477" s="362"/>
      <c r="AU477" s="443"/>
      <c r="AV477" s="443"/>
    </row>
    <row r="478" spans="1:48">
      <c r="A478" s="304" t="s">
        <v>478</v>
      </c>
      <c r="B478" s="564">
        <f>SUM(L478+M478+N478+O478+P478+U478+X478+Y478+Z478+AC478+AK478+AL478+AK478+AO478+AR478+AS478+AU478+AV478+AW478+AX478)</f>
        <v>0</v>
      </c>
      <c r="C478" s="318">
        <f t="shared" si="86"/>
        <v>0</v>
      </c>
      <c r="D478" s="568">
        <f>SUM(V478+W478+AA478+AB478+AM478+AN478+AQ478+AT478)</f>
        <v>0</v>
      </c>
      <c r="E478" s="356">
        <f>SUM(W478+V478+AB478+AA478+AN478+AM478+AQ478+AT478)+3</f>
        <v>3</v>
      </c>
      <c r="F478" s="568">
        <v>1</v>
      </c>
      <c r="G478" s="359">
        <f t="shared" si="87"/>
        <v>1</v>
      </c>
      <c r="H478" s="760">
        <f>SUM(J478+K478+S478+T478+Q478+R478+AE478+AF478+AG478+AH478+AI478+AJ478)</f>
        <v>0</v>
      </c>
      <c r="I478" s="359">
        <f t="shared" si="87"/>
        <v>0</v>
      </c>
      <c r="J478" s="474"/>
      <c r="K478" s="491">
        <v>0</v>
      </c>
      <c r="L478" s="305">
        <v>0</v>
      </c>
      <c r="M478" s="305">
        <v>0</v>
      </c>
      <c r="N478" s="306">
        <v>0</v>
      </c>
      <c r="O478" s="362">
        <v>0</v>
      </c>
      <c r="P478" s="305">
        <v>0</v>
      </c>
      <c r="Q478" s="491">
        <v>0</v>
      </c>
      <c r="R478" s="325"/>
      <c r="S478" s="491">
        <v>0</v>
      </c>
      <c r="T478" s="491">
        <v>0</v>
      </c>
      <c r="U478" s="305">
        <v>0</v>
      </c>
      <c r="V478" s="344">
        <v>0</v>
      </c>
      <c r="W478" s="344">
        <v>0</v>
      </c>
      <c r="X478" s="306">
        <v>0</v>
      </c>
      <c r="Y478" s="306">
        <v>0</v>
      </c>
      <c r="Z478" s="782">
        <v>0</v>
      </c>
      <c r="AA478" s="344">
        <v>0</v>
      </c>
      <c r="AB478" s="344">
        <v>0</v>
      </c>
      <c r="AC478" s="306">
        <v>0</v>
      </c>
      <c r="AD478" s="332"/>
      <c r="AE478" s="815">
        <v>0</v>
      </c>
      <c r="AF478" s="812">
        <v>0</v>
      </c>
      <c r="AG478" s="815">
        <v>0</v>
      </c>
      <c r="AH478" s="815">
        <v>0</v>
      </c>
      <c r="AI478" s="815">
        <v>0</v>
      </c>
      <c r="AJ478" s="820"/>
      <c r="AK478" s="306"/>
      <c r="AL478" s="419"/>
      <c r="AM478" s="421"/>
      <c r="AN478" s="362"/>
      <c r="AO478" s="362"/>
      <c r="AP478" s="440"/>
      <c r="AQ478" s="362"/>
      <c r="AR478" s="362"/>
      <c r="AS478" s="440"/>
      <c r="AT478" s="362"/>
      <c r="AU478" s="443"/>
      <c r="AV478" s="443"/>
    </row>
    <row r="479" spans="1:48" ht="14.95" thickBot="1">
      <c r="A479" s="304" t="s">
        <v>479</v>
      </c>
      <c r="B479" s="565">
        <f>SUM(L479+M479+N479+O479+P479+U479+X479+Y479+Z479+AC479+AK479+AL479+AK479+AO479+AR479+AS479+AU479+AV479+AW479+AX479)+25</f>
        <v>27</v>
      </c>
      <c r="C479" s="354">
        <f t="shared" si="86"/>
        <v>27</v>
      </c>
      <c r="D479" s="569">
        <f>SUM(V479+W479+AA479+AB479+AM479+AN479+AQ479+AT479)+2</f>
        <v>3</v>
      </c>
      <c r="E479" s="357">
        <f>SUM(W479+V479+AB479+AA479+AN479+AM479+AQ479+AT479)+13</f>
        <v>14</v>
      </c>
      <c r="F479" s="569">
        <v>3</v>
      </c>
      <c r="G479" s="360">
        <f t="shared" si="87"/>
        <v>3</v>
      </c>
      <c r="H479" s="764">
        <f>SUM(J479+K479+S479+T479+Q479+R479+AE479+AF479+AG479+AH479+AI479+AJ479)+11</f>
        <v>14</v>
      </c>
      <c r="I479" s="360">
        <f t="shared" si="87"/>
        <v>14</v>
      </c>
      <c r="J479" s="474"/>
      <c r="K479" s="491">
        <v>0</v>
      </c>
      <c r="L479" s="305">
        <v>0</v>
      </c>
      <c r="M479" s="305">
        <v>0</v>
      </c>
      <c r="N479" s="306">
        <v>0</v>
      </c>
      <c r="O479" s="362">
        <v>1</v>
      </c>
      <c r="P479" s="305">
        <v>0</v>
      </c>
      <c r="Q479" s="491">
        <v>0</v>
      </c>
      <c r="R479" s="325"/>
      <c r="S479" s="491">
        <v>1</v>
      </c>
      <c r="T479" s="491">
        <v>0</v>
      </c>
      <c r="U479" s="305">
        <v>0</v>
      </c>
      <c r="V479" s="344">
        <v>0</v>
      </c>
      <c r="W479" s="344">
        <v>1</v>
      </c>
      <c r="X479" s="306">
        <v>0</v>
      </c>
      <c r="Y479" s="306">
        <v>1</v>
      </c>
      <c r="Z479" s="782">
        <v>0</v>
      </c>
      <c r="AA479" s="344">
        <v>0</v>
      </c>
      <c r="AB479" s="344">
        <v>0</v>
      </c>
      <c r="AC479" s="306">
        <v>0</v>
      </c>
      <c r="AD479" s="332"/>
      <c r="AE479" s="815">
        <v>0</v>
      </c>
      <c r="AF479" s="812">
        <v>0</v>
      </c>
      <c r="AG479" s="815">
        <v>1</v>
      </c>
      <c r="AH479" s="815">
        <v>0</v>
      </c>
      <c r="AI479" s="815">
        <v>1</v>
      </c>
      <c r="AJ479" s="820"/>
      <c r="AK479" s="306"/>
      <c r="AL479" s="419"/>
      <c r="AM479" s="421"/>
      <c r="AN479" s="362"/>
      <c r="AO479" s="362"/>
      <c r="AP479" s="440"/>
      <c r="AQ479" s="362"/>
      <c r="AR479" s="362"/>
      <c r="AS479" s="440"/>
      <c r="AT479" s="362"/>
      <c r="AU479" s="443"/>
      <c r="AV479" s="443"/>
    </row>
    <row r="480" spans="1:48" ht="14.95" thickBot="1">
      <c r="A480" s="307" t="s">
        <v>480</v>
      </c>
      <c r="B480" s="566">
        <f>SUM(B477+B478*0.5)/B476*100</f>
        <v>61.971830985915489</v>
      </c>
      <c r="C480" s="350">
        <f>SUM(C477+C478*0.5)/C476*100</f>
        <v>61.971830985915489</v>
      </c>
      <c r="D480" s="570">
        <f>SUM(D477+D478*0.5)/D476*100</f>
        <v>76.923076923076934</v>
      </c>
      <c r="E480" s="375">
        <f>SUM(E477+E478*0.5)/E476*100</f>
        <v>67.021276595744681</v>
      </c>
      <c r="F480" s="570">
        <f t="shared" ref="F480:I480" si="88">SUM(F477+F478*0.5)/F476*100</f>
        <v>56.25</v>
      </c>
      <c r="G480" s="376">
        <f t="shared" si="88"/>
        <v>56.25</v>
      </c>
      <c r="H480" s="761">
        <f>SUM(H477+H478*0.5)/H476*100</f>
        <v>62.962962962962962</v>
      </c>
      <c r="I480" s="376">
        <f t="shared" si="88"/>
        <v>62.962962962962962</v>
      </c>
      <c r="J480" s="503"/>
      <c r="K480" s="492"/>
      <c r="L480" s="340"/>
      <c r="M480" s="340"/>
      <c r="N480" s="340"/>
      <c r="O480" s="340"/>
      <c r="P480" s="340"/>
      <c r="Q480" s="583"/>
      <c r="R480" s="326"/>
      <c r="S480" s="583"/>
      <c r="T480" s="583"/>
      <c r="U480" s="340"/>
      <c r="V480" s="403"/>
      <c r="W480" s="403"/>
      <c r="X480" s="311"/>
      <c r="Y480" s="311"/>
      <c r="Z480" s="783"/>
      <c r="AA480" s="403"/>
      <c r="AB480" s="403"/>
      <c r="AC480" s="309"/>
      <c r="AD480" s="334"/>
      <c r="AE480" s="816"/>
      <c r="AF480" s="813"/>
      <c r="AG480" s="816"/>
      <c r="AH480" s="816"/>
      <c r="AI480" s="816"/>
      <c r="AJ480" s="821"/>
      <c r="AK480" s="309"/>
      <c r="AL480" s="420"/>
      <c r="AM480" s="421"/>
      <c r="AN480" s="362"/>
      <c r="AO480" s="362"/>
      <c r="AP480" s="440"/>
      <c r="AQ480" s="362"/>
      <c r="AR480" s="362"/>
      <c r="AS480" s="440"/>
      <c r="AT480" s="362"/>
      <c r="AU480" s="443"/>
      <c r="AV480" s="443"/>
    </row>
    <row r="481" spans="1:48" ht="21.1">
      <c r="A481" s="25" t="s">
        <v>10</v>
      </c>
      <c r="B481" s="77"/>
      <c r="C481" s="77"/>
      <c r="D481" s="77"/>
      <c r="E481" s="77"/>
      <c r="F481" s="77"/>
      <c r="G481" s="77"/>
      <c r="H481" s="77"/>
      <c r="I481" s="77"/>
      <c r="J481" s="34"/>
      <c r="K481" s="28"/>
      <c r="L481" s="29"/>
      <c r="M481" s="28"/>
      <c r="N481" s="28"/>
      <c r="O481" s="28"/>
      <c r="P481" s="28"/>
      <c r="Q481" s="28"/>
      <c r="R481" s="28"/>
      <c r="S481" s="28"/>
      <c r="T481" s="30"/>
      <c r="U481" s="31"/>
      <c r="V481" s="31"/>
      <c r="W481" s="31"/>
      <c r="X481" s="31"/>
      <c r="Y481" s="31"/>
      <c r="Z481" s="31"/>
      <c r="AA481" s="31"/>
      <c r="AB481" s="31"/>
      <c r="AC481" s="31"/>
      <c r="AD481" s="33"/>
      <c r="AE481" s="31"/>
      <c r="AF481" s="31"/>
      <c r="AG481" s="31"/>
      <c r="AH481" s="31"/>
      <c r="AI481" s="31"/>
      <c r="AJ481" s="33"/>
      <c r="AK481" s="31"/>
      <c r="AL481" s="31"/>
      <c r="AM481" s="31"/>
      <c r="AN481" s="31"/>
      <c r="AO481" s="31"/>
      <c r="AP481" s="31"/>
      <c r="AQ481" s="31"/>
      <c r="AR481" s="46"/>
      <c r="AS481" s="57"/>
      <c r="AT481" s="31"/>
      <c r="AU481" s="31"/>
      <c r="AV481" s="31"/>
    </row>
    <row r="482" spans="1:48">
      <c r="A482" s="26" t="s">
        <v>1</v>
      </c>
      <c r="B482" s="78"/>
      <c r="C482" s="78"/>
      <c r="D482" s="78"/>
      <c r="E482" s="78"/>
      <c r="F482" s="78"/>
      <c r="G482" s="78"/>
      <c r="H482" s="78"/>
      <c r="I482" s="78"/>
      <c r="J482" s="34" t="str">
        <f>IF(SUMIF($A$4:$A473,$A482,J$4:J473)=0,"",SUMIF($A$4:$A473,$A482,J$4:J473))</f>
        <v/>
      </c>
      <c r="K482" s="28">
        <f>IF(SUMIF($A$4:$A473,$A482,K$4:K473)=0,"",SUMIF($A$4:$A473,$A482,K$4:K473))</f>
        <v>15</v>
      </c>
      <c r="L482" s="28">
        <f>IF(SUMIF($A$4:$A473,$A482,L$4:L473)=0,"",SUMIF($A$4:$A473,$A482,L$4:L473))</f>
        <v>15</v>
      </c>
      <c r="M482" s="28">
        <f>IF(SUMIF($A$4:$A473,$A482,M$4:M473)=0,"",SUMIF($A$4:$A473,$A482,M$4:M473))</f>
        <v>15</v>
      </c>
      <c r="N482" s="28">
        <f>IF(SUMIF($A$4:$A473,$A482,N$4:N473)=0,"",SUMIF($A$4:$A473,$A482,N$4:N473))</f>
        <v>15</v>
      </c>
      <c r="O482" s="28">
        <f>IF(SUMIF($A$4:$A473,$A482,O$4:O473)=0,"",SUMIF($A$4:$A473,$A482,O$4:O473))</f>
        <v>15</v>
      </c>
      <c r="P482" s="28">
        <f>IF(SUMIF($A$4:$A473,$A482,P$4:P473)=0,"",SUMIF($A$4:$A473,$A482,P$4:P473))</f>
        <v>15</v>
      </c>
      <c r="Q482" s="28">
        <f>IF(SUMIF($A$4:$A473,$A482,Q$4:Q473)=0,"",SUMIF($A$4:$A473,$A482,Q$4:Q473))</f>
        <v>15</v>
      </c>
      <c r="R482" s="28"/>
      <c r="S482" s="28">
        <f>IF(SUMIF($A$4:$A473,$A482,S$4:S473)=0,"",SUMIF($A$4:$A473,$A482,S$4:S473))</f>
        <v>15</v>
      </c>
      <c r="T482" s="28">
        <f>IF(SUMIF($A$4:$A473,$A482,T$4:T473)=0,"",SUMIF($A$4:$A473,$A482,T$4:T473))</f>
        <v>15</v>
      </c>
      <c r="U482" s="28">
        <f>IF(SUMIF($A$4:$A473,$A482,U$4:U473)=0,"",SUMIF($A$4:$A473,$A482,U$4:U473))</f>
        <v>15</v>
      </c>
      <c r="V482" s="28">
        <f>IF(SUMIF($A$4:$A473,$A482,V$4:V473)=0,"",SUMIF($A$4:$A473,$A482,V$4:V473))</f>
        <v>15</v>
      </c>
      <c r="W482" s="28">
        <f>IF(SUMIF($A$4:$A473,$A482,W$4:W473)=0,"",SUMIF($A$4:$A473,$A482,W$4:W473))</f>
        <v>15</v>
      </c>
      <c r="X482" s="28">
        <f>IF(SUMIF($A$4:$A473,$A482,X$4:X473)=0,"",SUMIF($A$4:$A473,$A482,X$4:X473))</f>
        <v>15</v>
      </c>
      <c r="Y482" s="28">
        <f>IF(SUMIF($A$4:$A473,$A482,Y$4:Y473)=0,"",SUMIF($A$4:$A473,$A482,Y$4:Y473))</f>
        <v>15</v>
      </c>
      <c r="Z482" s="28">
        <f>IF(SUMIF($A$4:$A473,$A482,Z$4:Z473)=0,"",SUMIF($A$4:$A473,$A482,Z$4:Z473))</f>
        <v>15</v>
      </c>
      <c r="AA482" s="28">
        <f>IF(SUMIF($A$4:$A473,$A482,AA$4:AA473)=0,"",SUMIF($A$4:$A473,$A482,AA$4:AA473))</f>
        <v>15</v>
      </c>
      <c r="AB482" s="28">
        <f>IF(SUMIF($A$4:$A473,$A482,AB$4:AB473)=0,"",SUMIF($A$4:$A473,$A482,AB$4:AB473))</f>
        <v>15</v>
      </c>
      <c r="AC482" s="28">
        <f>IF(SUMIF($A$4:$A473,$A482,AC$4:AC473)=0,"",SUMIF($A$4:$A473,$A482,AC$4:AC473))</f>
        <v>15</v>
      </c>
      <c r="AD482" s="34" t="str">
        <f>IF(SUMIF($A$4:$A473,$A482,AD$4:AD473)=0,"",SUMIF($A$4:$A473,$A482,AD$4:AD473))</f>
        <v/>
      </c>
      <c r="AE482" s="28">
        <f>IF(SUMIF($A$4:$A473,$A482,AE$4:AE473)=0,"",SUMIF($A$4:$A473,$A482,AE$4:AE473))</f>
        <v>15</v>
      </c>
      <c r="AF482" s="28">
        <f>IF(SUMIF($A$4:$A473,$A482,AF$4:AF473)=0,"",SUMIF($A$4:$A473,$A482,AF$4:AF473))</f>
        <v>15</v>
      </c>
      <c r="AG482" s="28">
        <f>IF(SUMIF($A$4:$A473,$A482,AG$4:AG473)=0,"",SUMIF($A$4:$A473,$A482,AG$4:AG473))</f>
        <v>15</v>
      </c>
      <c r="AH482" s="28">
        <f>IF(SUMIF($A$4:$A473,$A482,AH$4:AH473)=0,"",SUMIF($A$4:$A473,$A482,AH$4:AH473))</f>
        <v>15</v>
      </c>
      <c r="AI482" s="28">
        <f>IF(SUMIF($A$4:$A473,$A482,AI$4:AI473)=0,"",SUMIF($A$4:$A473,$A482,AI$4:AI473))</f>
        <v>15</v>
      </c>
      <c r="AJ482" s="34" t="str">
        <f>IF(SUMIF($A$4:$A473,$A482,AJ$4:AJ473)=0,"",SUMIF($A$4:$A473,$A482,AJ$4:AJ473))</f>
        <v/>
      </c>
      <c r="AK482" s="28" t="str">
        <f>IF(SUMIF($A$4:$A473,$A482,AK$4:AK473)=0,"",SUMIF($A$4:$A473,$A482,AK$4:AK473))</f>
        <v/>
      </c>
      <c r="AL482" s="28" t="str">
        <f>IF(SUMIF($A$4:$A473,$A482,AL$4:AL473)=0,"",SUMIF($A$4:$A473,$A482,AL$4:AL473))</f>
        <v/>
      </c>
      <c r="AM482" s="28" t="str">
        <f>IF(SUMIF($A$4:$A473,$A482,AM$4:AM473)=0,"",SUMIF($A$4:$A473,$A482,AM$4:AM473))</f>
        <v/>
      </c>
      <c r="AN482" s="28" t="str">
        <f>IF(SUMIF($A$4:$A473,$A482,AN$4:AN473)=0,"",SUMIF($A$4:$A473,$A482,AN$4:AN473))</f>
        <v/>
      </c>
      <c r="AO482" s="28" t="str">
        <f>IF(SUMIF($A$4:$A473,$A482,AO$4:AO473)=0,"",SUMIF($A$4:$A473,$A482,AO$4:AO473))</f>
        <v/>
      </c>
      <c r="AP482" s="28" t="str">
        <f>IF(SUMIF($A$4:$A473,$A482,AP$4:AP473)=0,"",SUMIF($A$4:$A473,$A482,AP$4:AP473))</f>
        <v/>
      </c>
      <c r="AQ482" s="28" t="str">
        <f>IF(SUMIF($A$4:$A473,$A482,AQ$4:AQ473)=0,"",SUMIF($A$4:$A473,$A482,AQ$4:AQ473))</f>
        <v/>
      </c>
      <c r="AR482" s="28" t="str">
        <f>IF(SUMIF($A$4:$A473,$A482,AR$4:AR473)=0,"",SUMIF($A$4:$A473,$A482,AR$4:AR473))</f>
        <v/>
      </c>
      <c r="AS482" s="29" t="str">
        <f>IF(SUMIF($A$4:$A473,$A482,AS$4:AS473)=0,"",SUMIF($A$4:$A473,$A482,AS$4:AS473))</f>
        <v/>
      </c>
      <c r="AT482" s="28" t="str">
        <f>IF(SUMIF($A$4:$A473,$A482,AT$4:AT473)=0,"",SUMIF($A$4:$A473,$A482,AT$4:AT473))</f>
        <v/>
      </c>
      <c r="AU482" s="28" t="str">
        <f>IF(SUMIF($A$4:$A473,$A482,AU$4:AU473)=0,"",SUMIF($A$4:$A473,$A482,AU$4:AU473))</f>
        <v/>
      </c>
      <c r="AV482" s="28" t="str">
        <f>IF(SUMIF($A$4:$A473,$A482,AV$4:AV473)=0,"",SUMIF($A$4:$A473,$A482,AV$4:AV473))</f>
        <v/>
      </c>
    </row>
    <row r="483" spans="1:48">
      <c r="A483" s="26" t="s">
        <v>2</v>
      </c>
      <c r="B483" s="78"/>
      <c r="C483" s="78"/>
      <c r="D483" s="78"/>
      <c r="E483" s="78"/>
      <c r="F483" s="78"/>
      <c r="G483" s="78"/>
      <c r="H483" s="78"/>
      <c r="I483" s="78"/>
      <c r="J483" s="34" t="str">
        <f>IF(SUMIF($A$4:$A481,$A483,J$4:J481)=0,"",SUMIF($A$4:$A481,$A483,J$4:J481))</f>
        <v/>
      </c>
      <c r="K483" s="28">
        <f>IF(SUMIF($A$4:$A481,$A483,K$4:K481)=0,"",SUMIF($A$4:$A481,$A483,K$4:K481))</f>
        <v>8</v>
      </c>
      <c r="L483" s="28">
        <f>IF(SUMIF($A$4:$A481,$A483,L$4:L481)=0,"",SUMIF($A$4:$A481,$A483,L$4:L481))</f>
        <v>8</v>
      </c>
      <c r="M483" s="28">
        <f>IF(SUMIF($A$4:$A481,$A483,M$4:M481)=0,"",SUMIF($A$4:$A481,$A483,M$4:M481))</f>
        <v>8</v>
      </c>
      <c r="N483" s="28">
        <f>IF(SUMIF($A$4:$A481,$A483,N$4:N481)=0,"",SUMIF($A$4:$A481,$A483,N$4:N481))</f>
        <v>8</v>
      </c>
      <c r="O483" s="28">
        <f>IF(SUMIF($A$4:$A481,$A483,O$4:O481)=0,"",SUMIF($A$4:$A481,$A483,O$4:O481))</f>
        <v>7</v>
      </c>
      <c r="P483" s="28">
        <f>IF(SUMIF($A$4:$A481,$A483,P$4:P481)=0,"",SUMIF($A$4:$A481,$A483,P$4:P481))</f>
        <v>8</v>
      </c>
      <c r="Q483" s="28">
        <f>IF(SUMIF($A$4:$A481,$A483,Q$4:Q481)=0,"",SUMIF($A$4:$A481,$A483,Q$4:Q481))</f>
        <v>8</v>
      </c>
      <c r="R483" s="28"/>
      <c r="S483" s="28">
        <f>IF(SUMIF($A$4:$A481,$A483,S$4:S481)=0,"",SUMIF($A$4:$A481,$A483,S$4:S481))</f>
        <v>7</v>
      </c>
      <c r="T483" s="28">
        <f>IF(SUMIF($A$4:$A481,$A483,T$4:T481)=0,"",SUMIF($A$4:$A481,$A483,T$4:T481))</f>
        <v>8</v>
      </c>
      <c r="U483" s="28">
        <f>IF(SUMIF($A$4:$A481,$A483,U$4:U481)=0,"",SUMIF($A$4:$A481,$A483,U$4:U481))</f>
        <v>8</v>
      </c>
      <c r="V483" s="28">
        <f>IF(SUMIF($A$4:$A481,$A483,V$4:V481)=0,"",SUMIF($A$4:$A481,$A483,V$4:V481))</f>
        <v>8</v>
      </c>
      <c r="W483" s="28">
        <f>IF(SUMIF($A$4:$A481,$A483,W$4:W481)=0,"",SUMIF($A$4:$A481,$A483,W$4:W481))</f>
        <v>8</v>
      </c>
      <c r="X483" s="28">
        <f>IF(SUMIF($A$4:$A481,$A483,X$4:X481)=0,"",SUMIF($A$4:$A481,$A483,X$4:X481))</f>
        <v>8</v>
      </c>
      <c r="Y483" s="28">
        <f>IF(SUMIF($A$4:$A481,$A483,Y$4:Y481)=0,"",SUMIF($A$4:$A481,$A483,Y$4:Y481))</f>
        <v>8</v>
      </c>
      <c r="Z483" s="28">
        <f>IF(SUMIF($A$4:$A481,$A483,Z$4:Z481)=0,"",SUMIF($A$4:$A481,$A483,Z$4:Z481))</f>
        <v>7</v>
      </c>
      <c r="AA483" s="28">
        <f>IF(SUMIF($A$4:$A481,$A483,AA$4:AA481)=0,"",SUMIF($A$4:$A481,$A483,AA$4:AA481))</f>
        <v>8</v>
      </c>
      <c r="AB483" s="28">
        <f>IF(SUMIF($A$4:$A481,$A483,AB$4:AB481)=0,"",SUMIF($A$4:$A481,$A483,AB$4:AB481))</f>
        <v>8</v>
      </c>
      <c r="AC483" s="28">
        <f>IF(SUMIF($A$4:$A481,$A483,AC$4:AC481)=0,"",SUMIF($A$4:$A481,$A483,AC$4:AC481))</f>
        <v>8</v>
      </c>
      <c r="AD483" s="34" t="str">
        <f>IF(SUMIF($A$4:$A481,$A483,AD$4:AD481)=0,"",SUMIF($A$4:$A481,$A483,AD$4:AD481))</f>
        <v/>
      </c>
      <c r="AE483" s="28">
        <f>IF(SUMIF($A$4:$A481,$A483,AE$4:AE481)=0,"",SUMIF($A$4:$A481,$A483,AE$4:AE481))</f>
        <v>8</v>
      </c>
      <c r="AF483" s="28">
        <f>IF(SUMIF($A$4:$A481,$A483,AF$4:AF481)=0,"",SUMIF($A$4:$A481,$A483,AF$4:AF481))</f>
        <v>8</v>
      </c>
      <c r="AG483" s="28">
        <f>IF(SUMIF($A$4:$A481,$A483,AG$4:AG481)=0,"",SUMIF($A$4:$A481,$A483,AG$4:AG481))</f>
        <v>8</v>
      </c>
      <c r="AH483" s="28">
        <f>IF(SUMIF($A$4:$A481,$A483,AH$4:AH481)=0,"",SUMIF($A$4:$A481,$A483,AH$4:AH481))</f>
        <v>8</v>
      </c>
      <c r="AI483" s="28">
        <f>IF(SUMIF($A$4:$A481,$A483,AI$4:AI481)=0,"",SUMIF($A$4:$A481,$A483,AI$4:AI481))</f>
        <v>8</v>
      </c>
      <c r="AJ483" s="34" t="str">
        <f>IF(SUMIF($A$4:$A481,$A483,AJ$4:AJ481)=0,"",SUMIF($A$4:$A481,$A483,AJ$4:AJ481))</f>
        <v/>
      </c>
      <c r="AK483" s="28" t="str">
        <f>IF(SUMIF($A$4:$A481,$A483,AK$4:AK481)=0,"",SUMIF($A$4:$A481,$A483,AK$4:AK481))</f>
        <v/>
      </c>
      <c r="AL483" s="28" t="str">
        <f>IF(SUMIF($A$4:$A481,$A483,AL$4:AL481)=0,"",SUMIF($A$4:$A481,$A483,AL$4:AL481))</f>
        <v/>
      </c>
      <c r="AM483" s="28" t="str">
        <f>IF(SUMIF($A$4:$A481,$A483,AM$4:AM481)=0,"",SUMIF($A$4:$A481,$A483,AM$4:AM481))</f>
        <v/>
      </c>
      <c r="AN483" s="28" t="str">
        <f>IF(SUMIF($A$4:$A481,$A483,AN$4:AN481)=0,"",SUMIF($A$4:$A481,$A483,AN$4:AN481))</f>
        <v/>
      </c>
      <c r="AO483" s="28" t="str">
        <f>IF(SUMIF($A$4:$A481,$A483,AO$4:AO481)=0,"",SUMIF($A$4:$A481,$A483,AO$4:AO481))</f>
        <v/>
      </c>
      <c r="AP483" s="28" t="str">
        <f>IF(SUMIF($A$4:$A481,$A483,AP$4:AP481)=0,"",SUMIF($A$4:$A481,$A483,AP$4:AP481))</f>
        <v/>
      </c>
      <c r="AQ483" s="28" t="str">
        <f>IF(SUMIF($A$4:$A481,$A483,AQ$4:AQ481)=0,"",SUMIF($A$4:$A481,$A483,AQ$4:AQ481))</f>
        <v/>
      </c>
      <c r="AR483" s="28" t="str">
        <f>IF(SUMIF($A$4:$A481,$A483,AR$4:AR481)=0,"",SUMIF($A$4:$A481,$A483,AR$4:AR481))</f>
        <v/>
      </c>
      <c r="AS483" s="29" t="str">
        <f>IF(SUMIF($A$4:$A481,$A483,AS$4:AS481)=0,"",SUMIF($A$4:$A481,$A483,AS$4:AS481))</f>
        <v/>
      </c>
      <c r="AT483" s="28" t="str">
        <f>IF(SUMIF($A$4:$A481,$A483,AT$4:AT481)=0,"",SUMIF($A$4:$A481,$A483,AT$4:AT481))</f>
        <v/>
      </c>
      <c r="AU483" s="28" t="str">
        <f>IF(SUMIF($A$4:$A481,$A483,AU$4:AU481)=0,"",SUMIF($A$4:$A481,$A483,AU$4:AU481))</f>
        <v/>
      </c>
      <c r="AV483" s="28" t="str">
        <f>IF(SUMIF($A$4:$A481,$A483,AV$4:AV481)=0,"",SUMIF($A$4:$A481,$A483,AV$4:AV481))</f>
        <v/>
      </c>
    </row>
    <row r="484" spans="1:48">
      <c r="A484" s="26" t="s">
        <v>3</v>
      </c>
      <c r="B484" s="78"/>
      <c r="C484" s="78"/>
      <c r="D484" s="78"/>
      <c r="E484" s="78"/>
      <c r="F484" s="78"/>
      <c r="G484" s="78"/>
      <c r="H484" s="78"/>
      <c r="I484" s="78"/>
      <c r="J484" s="34" t="str">
        <f>IF(SUMIF($A$4:$A482,$A484,J$4:J482)=0,"",SUMIF($A$4:$A482,$A484,J$4:J482))</f>
        <v/>
      </c>
      <c r="K484" s="28">
        <f>IF(SUMIF($A$4:$A482,$A484,K$4:K482)=0,"",SUMIF($A$4:$A482,$A484,K$4:K482))</f>
        <v>2</v>
      </c>
      <c r="L484" s="28">
        <f>IF(SUMIF($A$4:$A482,$A484,L$4:L482)=0,"",SUMIF($A$4:$A482,$A484,L$4:L482))</f>
        <v>7</v>
      </c>
      <c r="M484" s="28">
        <f>IF(SUMIF($A$4:$A482,$A484,M$4:M482)=0,"",SUMIF($A$4:$A482,$A484,M$4:M482))</f>
        <v>4</v>
      </c>
      <c r="N484" s="28">
        <f>IF(SUMIF($A$4:$A482,$A484,N$4:N482)=0,"",SUMIF($A$4:$A482,$A484,N$4:N482))</f>
        <v>5</v>
      </c>
      <c r="O484" s="28">
        <f>IF(SUMIF($A$4:$A482,$A484,O$4:O482)=0,"",SUMIF($A$4:$A482,$A484,O$4:O482))</f>
        <v>3</v>
      </c>
      <c r="P484" s="28">
        <f>IF(SUMIF($A$4:$A482,$A484,P$4:P482)=0,"",SUMIF($A$4:$A482,$A484,P$4:P482))</f>
        <v>6</v>
      </c>
      <c r="Q484" s="28">
        <f>IF(SUMIF($A$4:$A482,$A484,Q$4:Q482)=0,"",SUMIF($A$4:$A482,$A484,Q$4:Q482))</f>
        <v>7</v>
      </c>
      <c r="R484" s="28"/>
      <c r="S484" s="28">
        <f>IF(SUMIF($A$4:$A482,$A484,S$4:S482)=0,"",SUMIF($A$4:$A482,$A484,S$4:S482))</f>
        <v>3</v>
      </c>
      <c r="T484" s="28">
        <f>IF(SUMIF($A$4:$A482,$A484,T$4:T482)=0,"",SUMIF($A$4:$A482,$A484,T$4:T482))</f>
        <v>4</v>
      </c>
      <c r="U484" s="28">
        <f>IF(SUMIF($A$4:$A482,$A484,U$4:U482)=0,"",SUMIF($A$4:$A482,$A484,U$4:U482))</f>
        <v>4</v>
      </c>
      <c r="V484" s="28">
        <f>IF(SUMIF($A$4:$A482,$A484,V$4:V482)=0,"",SUMIF($A$4:$A482,$A484,V$4:V482))</f>
        <v>6</v>
      </c>
      <c r="W484" s="28">
        <f>IF(SUMIF($A$4:$A482,$A484,W$4:W482)=0,"",SUMIF($A$4:$A482,$A484,W$4:W482))</f>
        <v>4</v>
      </c>
      <c r="X484" s="28">
        <f>IF(SUMIF($A$4:$A482,$A484,X$4:X482)=0,"",SUMIF($A$4:$A482,$A484,X$4:X482))</f>
        <v>8</v>
      </c>
      <c r="Y484" s="28">
        <f>IF(SUMIF($A$4:$A482,$A484,Y$4:Y482)=0,"",SUMIF($A$4:$A482,$A484,Y$4:Y482))</f>
        <v>3</v>
      </c>
      <c r="Z484" s="28">
        <f>IF(SUMIF($A$4:$A482,$A484,Z$4:Z482)=0,"",SUMIF($A$4:$A482,$A484,Z$4:Z482))</f>
        <v>5</v>
      </c>
      <c r="AA484" s="28">
        <f>IF(SUMIF($A$4:$A482,$A484,AA$4:AA482)=0,"",SUMIF($A$4:$A482,$A484,AA$4:AA482))</f>
        <v>2</v>
      </c>
      <c r="AB484" s="28">
        <f>IF(SUMIF($A$4:$A482,$A484,AB$4:AB482)=0,"",SUMIF($A$4:$A482,$A484,AB$4:AB482))</f>
        <v>9</v>
      </c>
      <c r="AC484" s="28">
        <f>IF(SUMIF($A$4:$A482,$A484,AC$4:AC482)=0,"",SUMIF($A$4:$A482,$A484,AC$4:AC482))</f>
        <v>4</v>
      </c>
      <c r="AD484" s="34" t="str">
        <f>IF(SUMIF($A$4:$A482,$A484,AD$4:AD482)=0,"",SUMIF($A$4:$A482,$A484,AD$4:AD482))</f>
        <v/>
      </c>
      <c r="AE484" s="28">
        <f>IF(SUMIF($A$4:$A482,$A484,AE$4:AE482)=0,"",SUMIF($A$4:$A482,$A484,AE$4:AE482))</f>
        <v>10</v>
      </c>
      <c r="AF484" s="28">
        <f>IF(SUMIF($A$4:$A482,$A484,AF$4:AF482)=0,"",SUMIF($A$4:$A482,$A484,AF$4:AF482))</f>
        <v>5</v>
      </c>
      <c r="AG484" s="28">
        <f>IF(SUMIF($A$4:$A482,$A484,AG$4:AG482)=0,"",SUMIF($A$4:$A482,$A484,AG$4:AG482))</f>
        <v>3</v>
      </c>
      <c r="AH484" s="28">
        <f>IF(SUMIF($A$4:$A482,$A484,AH$4:AH482)=0,"",SUMIF($A$4:$A482,$A484,AH$4:AH482))</f>
        <v>6</v>
      </c>
      <c r="AI484" s="28">
        <f>IF(SUMIF($A$4:$A482,$A484,AI$4:AI482)=0,"",SUMIF($A$4:$A482,$A484,AI$4:AI482))</f>
        <v>2</v>
      </c>
      <c r="AJ484" s="34" t="str">
        <f>IF(SUMIF($A$4:$A482,$A484,AJ$4:AJ482)=0,"",SUMIF($A$4:$A482,$A484,AJ$4:AJ482))</f>
        <v/>
      </c>
      <c r="AK484" s="28" t="str">
        <f>IF(SUMIF($A$4:$A482,$A484,AK$4:AK482)=0,"",SUMIF($A$4:$A482,$A484,AK$4:AK482))</f>
        <v/>
      </c>
      <c r="AL484" s="28" t="str">
        <f>IF(SUMIF($A$4:$A482,$A484,AL$4:AL482)=0,"",SUMIF($A$4:$A482,$A484,AL$4:AL482))</f>
        <v/>
      </c>
      <c r="AM484" s="28" t="str">
        <f>IF(SUMIF($A$4:$A482,$A484,AM$4:AM482)=0,"",SUMIF($A$4:$A482,$A484,AM$4:AM482))</f>
        <v/>
      </c>
      <c r="AN484" s="28" t="str">
        <f>IF(SUMIF($A$4:$A482,$A484,AN$4:AN482)=0,"",SUMIF($A$4:$A482,$A484,AN$4:AN482))</f>
        <v/>
      </c>
      <c r="AO484" s="28" t="str">
        <f>IF(SUMIF($A$4:$A482,$A484,AO$4:AO482)=0,"",SUMIF($A$4:$A482,$A484,AO$4:AO482))</f>
        <v/>
      </c>
      <c r="AP484" s="28" t="str">
        <f>IF(SUMIF($A$4:$A482,$A484,AP$4:AP482)=0,"",SUMIF($A$4:$A482,$A484,AP$4:AP482))</f>
        <v/>
      </c>
      <c r="AQ484" s="28" t="str">
        <f>IF(SUMIF($A$4:$A482,$A484,AQ$4:AQ482)=0,"",SUMIF($A$4:$A482,$A484,AQ$4:AQ482))</f>
        <v/>
      </c>
      <c r="AR484" s="28" t="str">
        <f>IF(SUMIF($A$4:$A482,$A484,AR$4:AR482)=0,"",SUMIF($A$4:$A482,$A484,AR$4:AR482))</f>
        <v/>
      </c>
      <c r="AS484" s="29" t="str">
        <f>IF(SUMIF($A$4:$A482,$A484,AS$4:AS482)=0,"",SUMIF($A$4:$A482,$A484,AS$4:AS482))</f>
        <v/>
      </c>
      <c r="AT484" s="28" t="str">
        <f>IF(SUMIF($A$4:$A482,$A484,AT$4:AT482)=0,"",SUMIF($A$4:$A482,$A484,AT$4:AT482))</f>
        <v/>
      </c>
      <c r="AU484" s="28" t="str">
        <f>IF(SUMIF($A$4:$A482,$A484,AU$4:AU482)=0,"",SUMIF($A$4:$A482,$A484,AU$4:AU482))</f>
        <v/>
      </c>
      <c r="AV484" s="28" t="str">
        <f>IF(SUMIF($A$4:$A482,$A484,AV$4:AV482)=0,"",SUMIF($A$4:$A482,$A484,AV$4:AV482))</f>
        <v/>
      </c>
    </row>
    <row r="485" spans="1:48" ht="14.95" thickBot="1">
      <c r="A485" s="27" t="s">
        <v>4</v>
      </c>
      <c r="B485" s="79"/>
      <c r="C485" s="79"/>
      <c r="D485" s="79"/>
      <c r="E485" s="79"/>
      <c r="F485" s="79"/>
      <c r="G485" s="79"/>
      <c r="H485" s="79"/>
      <c r="I485" s="79"/>
      <c r="J485" s="37" t="str">
        <f>IF(SUMIF($A$4:$A483,$A485,J$4:J483)=0,"",SUMIF($A$4:$A483,$A485,J$4:J483))</f>
        <v/>
      </c>
      <c r="K485" s="36">
        <f>IF(SUMIF($A$4:$A483,$A485,K$4:K483)=0,"",SUMIF($A$4:$A483,$A485,K$4:K483))</f>
        <v>14</v>
      </c>
      <c r="L485" s="36">
        <f>IF(SUMIF($A$4:$A483,$A485,L$4:L483)=0,"",SUMIF($A$4:$A483,$A485,L$4:L483))</f>
        <v>47</v>
      </c>
      <c r="M485" s="36">
        <f>IF(SUMIF($A$4:$A483,$A485,M$4:M483)=0,"",SUMIF($A$4:$A483,$A485,M$4:M483))</f>
        <v>28</v>
      </c>
      <c r="N485" s="36">
        <f>IF(SUMIF($A$4:$A483,$A485,N$4:N483)=0,"",SUMIF($A$4:$A483,$A485,N$4:N483))</f>
        <v>38</v>
      </c>
      <c r="O485" s="36">
        <f>IF(SUMIF($A$4:$A483,$A485,O$4:O483)=0,"",SUMIF($A$4:$A483,$A485,O$4:O483))</f>
        <v>20</v>
      </c>
      <c r="P485" s="36">
        <f>IF(SUMIF($A$4:$A483,$A485,P$4:P483)=0,"",SUMIF($A$4:$A483,$A485,P$4:P483))</f>
        <v>40</v>
      </c>
      <c r="Q485" s="36">
        <f>IF(SUMIF($A$4:$A483,$A485,Q$4:Q483)=0,"",SUMIF($A$4:$A483,$A485,Q$4:Q483))</f>
        <v>49</v>
      </c>
      <c r="R485" s="36"/>
      <c r="S485" s="36">
        <f>IF(SUMIF($A$4:$A483,$A485,S$4:S483)=0,"",SUMIF($A$4:$A483,$A485,S$4:S483))</f>
        <v>17</v>
      </c>
      <c r="T485" s="36">
        <f>IF(SUMIF($A$4:$A483,$A485,T$4:T483)=0,"",SUMIF($A$4:$A483,$A485,T$4:T483))</f>
        <v>20</v>
      </c>
      <c r="U485" s="36">
        <f>IF(SUMIF($A$4:$A483,$A485,U$4:U483)=0,"",SUMIF($A$4:$A483,$A485,U$4:U483))</f>
        <v>31</v>
      </c>
      <c r="V485" s="36">
        <f>IF(SUMIF($A$4:$A483,$A485,V$4:V483)=0,"",SUMIF($A$4:$A483,$A485,V$4:V483))</f>
        <v>40</v>
      </c>
      <c r="W485" s="36">
        <f>IF(SUMIF($A$4:$A483,$A485,W$4:W483)=0,"",SUMIF($A$4:$A483,$A485,W$4:W483))</f>
        <v>34</v>
      </c>
      <c r="X485" s="36">
        <f>IF(SUMIF($A$4:$A483,$A485,X$4:X483)=0,"",SUMIF($A$4:$A483,$A485,X$4:X483))</f>
        <v>50</v>
      </c>
      <c r="Y485" s="36">
        <f>IF(SUMIF($A$4:$A483,$A485,Y$4:Y483)=0,"",SUMIF($A$4:$A483,$A485,Y$4:Y483))</f>
        <v>21</v>
      </c>
      <c r="Z485" s="36">
        <f>IF(SUMIF($A$4:$A483,$A485,Z$4:Z483)=0,"",SUMIF($A$4:$A483,$A485,Z$4:Z483))</f>
        <v>33</v>
      </c>
      <c r="AA485" s="36">
        <f>IF(SUMIF($A$4:$A483,$A485,AA$4:AA483)=0,"",SUMIF($A$4:$A483,$A485,AA$4:AA483))</f>
        <v>23</v>
      </c>
      <c r="AB485" s="36">
        <f>IF(SUMIF($A$4:$A483,$A485,AB$4:AB483)=0,"",SUMIF($A$4:$A483,$A485,AB$4:AB483))</f>
        <v>63</v>
      </c>
      <c r="AC485" s="36">
        <f>IF(SUMIF($A$4:$A483,$A485,AC$4:AC483)=0,"",SUMIF($A$4:$A483,$A485,AC$4:AC483))</f>
        <v>30</v>
      </c>
      <c r="AD485" s="37" t="str">
        <f>IF(SUMIF($A$4:$A483,$A485,AD$4:AD483)=0,"",SUMIF($A$4:$A483,$A485,AD$4:AD483))</f>
        <v/>
      </c>
      <c r="AE485" s="36">
        <f>IF(SUMIF($A$4:$A483,$A485,AE$4:AE483)=0,"",SUMIF($A$4:$A483,$A485,AE$4:AE483))</f>
        <v>60</v>
      </c>
      <c r="AF485" s="36">
        <f>IF(SUMIF($A$4:$A483,$A485,AF$4:AF483)=0,"",SUMIF($A$4:$A483,$A485,AF$4:AF483))</f>
        <v>33</v>
      </c>
      <c r="AG485" s="36">
        <f>IF(SUMIF($A$4:$A483,$A485,AG$4:AG483)=0,"",SUMIF($A$4:$A483,$A485,AG$4:AG483))</f>
        <v>19</v>
      </c>
      <c r="AH485" s="36">
        <f>IF(SUMIF($A$4:$A483,$A485,AH$4:AH483)=0,"",SUMIF($A$4:$A483,$A485,AH$4:AH483))</f>
        <v>38</v>
      </c>
      <c r="AI485" s="36">
        <f>IF(SUMIF($A$4:$A483,$A485,AI$4:AI483)=0,"",SUMIF($A$4:$A483,$A485,AI$4:AI483))</f>
        <v>16</v>
      </c>
      <c r="AJ485" s="37" t="str">
        <f>IF(SUMIF($A$4:$A483,$A485,AJ$4:AJ483)=0,"",SUMIF($A$4:$A483,$A485,AJ$4:AJ483))</f>
        <v/>
      </c>
      <c r="AK485" s="36" t="str">
        <f>IF(SUMIF($A$4:$A483,$A485,AK$4:AK483)=0,"",SUMIF($A$4:$A483,$A485,AK$4:AK483))</f>
        <v/>
      </c>
      <c r="AL485" s="36" t="str">
        <f>IF(SUMIF($A$4:$A483,$A485,AL$4:AL483)=0,"",SUMIF($A$4:$A483,$A485,AL$4:AL483))</f>
        <v/>
      </c>
      <c r="AM485" s="36" t="str">
        <f>IF(SUMIF($A$4:$A483,$A485,AM$4:AM483)=0,"",SUMIF($A$4:$A483,$A485,AM$4:AM483))</f>
        <v/>
      </c>
      <c r="AN485" s="36" t="str">
        <f>IF(SUMIF($A$4:$A483,$A485,AN$4:AN483)=0,"",SUMIF($A$4:$A483,$A485,AN$4:AN483))</f>
        <v/>
      </c>
      <c r="AO485" s="36" t="str">
        <f>IF(SUMIF($A$4:$A483,$A485,AO$4:AO483)=0,"",SUMIF($A$4:$A483,$A485,AO$4:AO483))</f>
        <v/>
      </c>
      <c r="AP485" s="36" t="str">
        <f>IF(SUMIF($A$4:$A483,$A485,AP$4:AP483)=0,"",SUMIF($A$4:$A483,$A485,AP$4:AP483))</f>
        <v/>
      </c>
      <c r="AQ485" s="36" t="str">
        <f>IF(SUMIF($A$4:$A483,$A485,AQ$4:AQ483)=0,"",SUMIF($A$4:$A483,$A485,AQ$4:AQ483))</f>
        <v/>
      </c>
      <c r="AR485" s="36" t="str">
        <f>IF(SUMIF($A$4:$A483,$A485,AR$4:AR483)=0,"",SUMIF($A$4:$A483,$A485,AR$4:AR483))</f>
        <v/>
      </c>
      <c r="AS485" s="36" t="str">
        <f>IF(SUMIF($A$4:$A483,$A485,AS$4:AS483)=0,"",SUMIF($A$4:$A483,$A485,AS$4:AS483))</f>
        <v/>
      </c>
      <c r="AT485" s="36" t="str">
        <f>IF(SUMIF($A$4:$A483,$A485,AT$4:AT483)=0,"",SUMIF($A$4:$A483,$A485,AT$4:AT483))</f>
        <v/>
      </c>
      <c r="AU485" s="36" t="str">
        <f>IF(SUMIF($A$4:$A483,$A485,AU$4:AU483)=0,"",SUMIF($A$4:$A483,$A485,AU$4:AU483))</f>
        <v/>
      </c>
      <c r="AV485" s="36" t="str">
        <f>IF(SUMIF($A$4:$A483,$A485,AV$4:AV483)=0,"",SUMIF($A$4:$A483,$A485,AV$4:AV483))</f>
        <v/>
      </c>
    </row>
    <row r="486" spans="1:48">
      <c r="A486" s="3" t="s">
        <v>963</v>
      </c>
      <c r="B486" s="2"/>
      <c r="C486" s="2"/>
      <c r="D486" s="2"/>
      <c r="E486" s="2"/>
      <c r="F486" s="2"/>
      <c r="G486" s="2"/>
      <c r="H486" s="2"/>
      <c r="I486" s="2"/>
      <c r="X486" s="17"/>
      <c r="Y486" s="17"/>
      <c r="Z486" s="17"/>
      <c r="AA486" s="17"/>
    </row>
    <row r="487" spans="1:48" ht="16.3">
      <c r="A487" s="528" t="s">
        <v>7</v>
      </c>
      <c r="B487" s="2"/>
      <c r="C487" s="2"/>
      <c r="D487" s="2"/>
      <c r="E487" s="2"/>
      <c r="F487" s="2"/>
      <c r="G487" s="2"/>
      <c r="H487" s="2"/>
      <c r="I487" s="2"/>
      <c r="X487" s="17"/>
      <c r="Y487" s="17"/>
      <c r="Z487" s="17"/>
      <c r="AA487" s="17"/>
    </row>
    <row r="488" spans="1:48">
      <c r="A488" s="2"/>
      <c r="B488" s="2"/>
      <c r="C488" s="2"/>
      <c r="D488" s="2"/>
      <c r="E488" s="2"/>
      <c r="F488" s="2"/>
      <c r="G488" s="2"/>
      <c r="H488" s="2"/>
      <c r="I488" s="2"/>
      <c r="X488" s="17"/>
      <c r="Y488" s="17"/>
      <c r="Z488" s="17"/>
      <c r="AA488" s="17"/>
    </row>
    <row r="489" spans="1:48">
      <c r="A489" s="2"/>
      <c r="B489" s="2"/>
      <c r="C489" s="2"/>
      <c r="D489" s="2"/>
      <c r="E489" s="2"/>
      <c r="F489" s="2"/>
      <c r="G489" s="2"/>
      <c r="H489" s="2"/>
      <c r="I489" s="2"/>
      <c r="X489" s="17"/>
      <c r="Y489" s="17"/>
      <c r="Z489" s="17"/>
      <c r="AA489" s="17"/>
    </row>
    <row r="490" spans="1:48">
      <c r="A490" s="2"/>
      <c r="B490" s="2"/>
      <c r="C490" s="2"/>
      <c r="D490" s="2"/>
      <c r="E490" s="2"/>
      <c r="F490" s="2"/>
      <c r="G490" s="2"/>
      <c r="H490" s="2"/>
      <c r="I490" s="2"/>
      <c r="X490" s="17"/>
      <c r="Y490" s="17"/>
      <c r="Z490" s="17"/>
      <c r="AA490" s="17"/>
    </row>
    <row r="491" spans="1:48">
      <c r="A491" s="2"/>
      <c r="B491" s="2"/>
      <c r="C491" s="2"/>
      <c r="D491" s="2"/>
      <c r="E491" s="2"/>
      <c r="F491" s="2"/>
      <c r="G491" s="2"/>
      <c r="H491" s="2"/>
      <c r="I491" s="2"/>
      <c r="X491" s="17"/>
      <c r="Y491" s="17"/>
      <c r="Z491" s="17"/>
      <c r="AA491" s="17"/>
    </row>
    <row r="492" spans="1:48">
      <c r="A492" s="2"/>
      <c r="B492" s="2"/>
      <c r="C492" s="2"/>
      <c r="D492" s="2"/>
      <c r="E492" s="2"/>
      <c r="F492" s="2"/>
      <c r="G492" s="2"/>
      <c r="H492" s="2"/>
      <c r="I492" s="2"/>
      <c r="X492" s="17"/>
      <c r="Y492" s="17"/>
      <c r="Z492" s="17"/>
      <c r="AA492" s="17"/>
    </row>
    <row r="493" spans="1:48">
      <c r="A493" s="2"/>
      <c r="B493" s="2"/>
      <c r="C493" s="2"/>
      <c r="D493" s="2"/>
      <c r="E493" s="2"/>
      <c r="F493" s="2"/>
      <c r="G493" s="2"/>
      <c r="H493" s="2"/>
      <c r="I493" s="2"/>
      <c r="X493" s="17"/>
      <c r="Y493" s="17"/>
      <c r="Z493" s="17"/>
      <c r="AA493" s="17"/>
    </row>
    <row r="494" spans="1:48">
      <c r="A494" s="2"/>
      <c r="B494" s="2"/>
      <c r="C494" s="2"/>
      <c r="D494" s="2"/>
      <c r="E494" s="2"/>
      <c r="F494" s="2"/>
      <c r="G494" s="2"/>
      <c r="H494" s="2"/>
      <c r="I494" s="2"/>
      <c r="X494" s="17"/>
      <c r="Y494" s="17"/>
      <c r="Z494" s="17"/>
      <c r="AA494" s="17"/>
    </row>
    <row r="495" spans="1:48">
      <c r="A495" s="3" t="s">
        <v>0</v>
      </c>
      <c r="B495" s="3"/>
      <c r="C495" s="3"/>
      <c r="D495" s="3"/>
      <c r="E495" s="3"/>
      <c r="F495" s="3"/>
      <c r="G495" s="3"/>
      <c r="H495" s="3"/>
      <c r="I495" s="3"/>
      <c r="X495" s="17"/>
      <c r="Y495" s="17"/>
      <c r="Z495" s="17"/>
      <c r="AA495" s="17"/>
    </row>
    <row r="496" spans="1:48">
      <c r="X496" s="17"/>
      <c r="Y496" s="17"/>
      <c r="Z496" s="17"/>
      <c r="AA496" s="17"/>
    </row>
    <row r="497" spans="24:27">
      <c r="X497" s="17"/>
      <c r="Y497" s="17"/>
      <c r="Z497" s="17"/>
      <c r="AA497" s="17"/>
    </row>
    <row r="498" spans="24:27">
      <c r="X498" s="17"/>
      <c r="Y498" s="17"/>
      <c r="Z498" s="17"/>
      <c r="AA498" s="17"/>
    </row>
    <row r="499" spans="24:27">
      <c r="X499" s="17"/>
      <c r="Y499" s="17"/>
      <c r="Z499" s="17"/>
      <c r="AA499" s="17"/>
    </row>
    <row r="500" spans="24:27">
      <c r="X500" s="17"/>
      <c r="Y500" s="17"/>
      <c r="Z500" s="17"/>
      <c r="AA500" s="17"/>
    </row>
    <row r="501" spans="24:27">
      <c r="X501" s="17"/>
      <c r="Y501" s="17"/>
      <c r="Z501" s="17"/>
      <c r="AA501" s="17"/>
    </row>
    <row r="502" spans="24:27">
      <c r="X502" s="17"/>
      <c r="Y502" s="17"/>
      <c r="Z502" s="17"/>
      <c r="AA502" s="17"/>
    </row>
    <row r="503" spans="24:27">
      <c r="X503" s="17"/>
      <c r="Y503" s="17"/>
      <c r="Z503" s="17"/>
      <c r="AA503" s="17"/>
    </row>
    <row r="504" spans="24:27">
      <c r="X504" s="17"/>
      <c r="Y504" s="17"/>
      <c r="Z504" s="17"/>
      <c r="AA504" s="17"/>
    </row>
    <row r="505" spans="24:27">
      <c r="X505" s="17"/>
      <c r="Y505" s="17"/>
      <c r="Z505" s="17"/>
      <c r="AA505" s="17"/>
    </row>
    <row r="506" spans="24:27">
      <c r="X506" s="17"/>
      <c r="Y506" s="17"/>
      <c r="Z506" s="17"/>
      <c r="AA506" s="17"/>
    </row>
    <row r="507" spans="24:27">
      <c r="X507" s="17"/>
      <c r="Y507" s="17"/>
      <c r="Z507" s="17"/>
      <c r="AA507" s="17"/>
    </row>
    <row r="508" spans="24:27">
      <c r="X508" s="17"/>
      <c r="Y508" s="17"/>
      <c r="Z508" s="17"/>
      <c r="AA508" s="17"/>
    </row>
    <row r="509" spans="24:27">
      <c r="X509" s="17"/>
      <c r="Y509" s="17"/>
      <c r="Z509" s="17"/>
      <c r="AA509" s="17"/>
    </row>
    <row r="510" spans="24:27">
      <c r="X510" s="17"/>
      <c r="Y510" s="17"/>
      <c r="Z510" s="17"/>
      <c r="AA510" s="17"/>
    </row>
    <row r="511" spans="24:27">
      <c r="X511" s="17"/>
      <c r="Y511" s="17"/>
      <c r="Z511" s="17"/>
      <c r="AA511" s="17"/>
    </row>
    <row r="512" spans="24:27">
      <c r="X512" s="17"/>
      <c r="Y512" s="17"/>
      <c r="Z512" s="17"/>
      <c r="AA512" s="17"/>
    </row>
    <row r="513" spans="24:27">
      <c r="X513" s="17"/>
      <c r="Y513" s="17"/>
      <c r="Z513" s="17"/>
      <c r="AA513" s="17"/>
    </row>
    <row r="514" spans="24:27">
      <c r="X514" s="17"/>
      <c r="Y514" s="17"/>
      <c r="Z514" s="17"/>
      <c r="AA514" s="17"/>
    </row>
    <row r="515" spans="24:27">
      <c r="X515" s="17"/>
      <c r="Y515" s="17"/>
      <c r="Z515" s="17"/>
      <c r="AA515" s="17"/>
    </row>
    <row r="516" spans="24:27">
      <c r="X516" s="17"/>
      <c r="Y516" s="17"/>
      <c r="Z516" s="17"/>
      <c r="AA516" s="17"/>
    </row>
    <row r="517" spans="24:27">
      <c r="X517" s="17"/>
      <c r="Y517" s="17"/>
      <c r="Z517" s="17"/>
      <c r="AA517" s="17"/>
    </row>
    <row r="518" spans="24:27">
      <c r="X518" s="17"/>
      <c r="Y518" s="17"/>
      <c r="Z518" s="17"/>
      <c r="AA518" s="17"/>
    </row>
    <row r="519" spans="24:27">
      <c r="X519" s="17"/>
      <c r="Y519" s="17"/>
      <c r="Z519" s="17"/>
      <c r="AA519" s="17"/>
    </row>
    <row r="520" spans="24:27">
      <c r="X520" s="17"/>
      <c r="Y520" s="17"/>
      <c r="Z520" s="17"/>
      <c r="AA520" s="17"/>
    </row>
  </sheetData>
  <mergeCells count="10">
    <mergeCell ref="A1:A3"/>
    <mergeCell ref="B2:C2"/>
    <mergeCell ref="D2:E2"/>
    <mergeCell ref="F2:G2"/>
    <mergeCell ref="B1:I1"/>
    <mergeCell ref="B474:C474"/>
    <mergeCell ref="D474:E474"/>
    <mergeCell ref="F474:G474"/>
    <mergeCell ref="H2:I2"/>
    <mergeCell ref="H474:I474"/>
  </mergeCells>
  <pageMargins left="0.7" right="0.7" top="0.75" bottom="0.75" header="0.3" footer="0.3"/>
  <pageSetup paperSize="9" orientation="portrait" r:id="rId1"/>
  <ignoredErrors>
    <ignoredError sqref="D467 B445:C470 B381:C438 C442 B234:C236 B243:C368 B372 C240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448"/>
  <sheetViews>
    <sheetView zoomScaleNormal="100" workbookViewId="0">
      <pane xSplit="9" ySplit="3" topLeftCell="AA4" activePane="bottomRight" state="frozen"/>
      <selection pane="topRight" activeCell="J1" sqref="J1"/>
      <selection pane="bottomLeft" activeCell="A4" sqref="A4"/>
      <selection pane="bottomRight" activeCell="AF10" sqref="AF10"/>
    </sheetView>
  </sheetViews>
  <sheetFormatPr defaultColWidth="8.875" defaultRowHeight="14.3"/>
  <cols>
    <col min="1" max="1" width="44.5" bestFit="1" customWidth="1"/>
    <col min="2" max="9" width="5.625" customWidth="1"/>
    <col min="10" max="42" width="9.875" customWidth="1"/>
  </cols>
  <sheetData>
    <row r="1" spans="1:50" ht="17" thickBot="1">
      <c r="A1" s="873" t="s">
        <v>517</v>
      </c>
      <c r="B1" s="870" t="s">
        <v>347</v>
      </c>
      <c r="C1" s="871"/>
      <c r="D1" s="871"/>
      <c r="E1" s="871"/>
      <c r="F1" s="871"/>
      <c r="G1" s="871"/>
      <c r="H1" s="871"/>
      <c r="I1" s="872"/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534</v>
      </c>
      <c r="P1" s="22" t="s">
        <v>535</v>
      </c>
      <c r="Q1" s="22" t="s">
        <v>9</v>
      </c>
      <c r="R1" s="22" t="s">
        <v>9</v>
      </c>
      <c r="S1" s="22" t="s">
        <v>436</v>
      </c>
      <c r="T1" s="22" t="s">
        <v>536</v>
      </c>
      <c r="U1" s="22" t="s">
        <v>537</v>
      </c>
      <c r="V1" s="22" t="s">
        <v>474</v>
      </c>
      <c r="W1" s="1" t="s">
        <v>475</v>
      </c>
      <c r="X1" s="22" t="s">
        <v>538</v>
      </c>
      <c r="Y1" s="22" t="s">
        <v>539</v>
      </c>
      <c r="Z1" s="22" t="s">
        <v>540</v>
      </c>
      <c r="AA1" s="1" t="s">
        <v>472</v>
      </c>
      <c r="AB1" s="1" t="s">
        <v>473</v>
      </c>
      <c r="AC1" s="22" t="s">
        <v>541</v>
      </c>
      <c r="AD1" s="22" t="s">
        <v>542</v>
      </c>
      <c r="AE1" s="22" t="s">
        <v>543</v>
      </c>
      <c r="AF1" s="22" t="s">
        <v>544</v>
      </c>
      <c r="AG1" s="22" t="s">
        <v>9</v>
      </c>
      <c r="AH1" s="22" t="s">
        <v>545</v>
      </c>
      <c r="AI1" s="22" t="s">
        <v>9</v>
      </c>
      <c r="AJ1" s="22" t="s">
        <v>9</v>
      </c>
      <c r="AK1" s="22" t="s">
        <v>547</v>
      </c>
      <c r="AL1" s="22" t="s">
        <v>548</v>
      </c>
      <c r="AM1" s="1" t="s">
        <v>549</v>
      </c>
      <c r="AN1" s="1" t="s">
        <v>550</v>
      </c>
      <c r="AO1" s="22" t="s">
        <v>551</v>
      </c>
      <c r="AP1" s="22" t="s">
        <v>552</v>
      </c>
      <c r="AQ1" s="1" t="s">
        <v>553</v>
      </c>
      <c r="AR1" s="22" t="s">
        <v>554</v>
      </c>
      <c r="AS1" s="22" t="s">
        <v>555</v>
      </c>
      <c r="AT1" s="1" t="s">
        <v>556</v>
      </c>
      <c r="AU1" s="22" t="s">
        <v>557</v>
      </c>
      <c r="AV1" s="22" t="s">
        <v>558</v>
      </c>
      <c r="AW1" s="22" t="s">
        <v>559</v>
      </c>
      <c r="AX1" s="22" t="s">
        <v>560</v>
      </c>
    </row>
    <row r="2" spans="1:50">
      <c r="A2" s="874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868" t="s">
        <v>873</v>
      </c>
      <c r="I2" s="869"/>
      <c r="J2" s="42">
        <v>41518</v>
      </c>
      <c r="K2" s="42">
        <v>43709</v>
      </c>
      <c r="L2" s="4">
        <v>46266</v>
      </c>
      <c r="M2" s="4">
        <v>38261</v>
      </c>
      <c r="N2" s="5">
        <v>41183</v>
      </c>
      <c r="O2" s="5">
        <v>43374</v>
      </c>
      <c r="P2" s="5">
        <v>45566</v>
      </c>
      <c r="Q2" s="56">
        <v>37196</v>
      </c>
      <c r="R2" s="56">
        <v>39753</v>
      </c>
      <c r="S2" s="41">
        <v>42675</v>
      </c>
      <c r="T2" s="41">
        <v>44866</v>
      </c>
      <c r="U2" s="4">
        <v>47788</v>
      </c>
      <c r="V2" s="38">
        <v>39052</v>
      </c>
      <c r="W2" s="38">
        <v>41609</v>
      </c>
      <c r="X2" s="4">
        <v>44166</v>
      </c>
      <c r="Y2" s="4">
        <v>10197</v>
      </c>
      <c r="Z2" s="5">
        <v>37987</v>
      </c>
      <c r="AA2" s="38">
        <v>40544</v>
      </c>
      <c r="AB2" s="38">
        <v>43101</v>
      </c>
      <c r="AC2" s="4">
        <v>45292</v>
      </c>
      <c r="AD2" s="41">
        <v>47484</v>
      </c>
      <c r="AE2" s="41">
        <v>39114</v>
      </c>
      <c r="AF2" s="41">
        <v>41671</v>
      </c>
      <c r="AG2" s="56">
        <v>44228</v>
      </c>
      <c r="AH2" s="41">
        <v>46784</v>
      </c>
      <c r="AI2" s="56">
        <v>39508</v>
      </c>
      <c r="AJ2" s="56">
        <v>42064</v>
      </c>
      <c r="AK2" s="4">
        <v>44621</v>
      </c>
      <c r="AL2" s="4">
        <v>46813</v>
      </c>
      <c r="AM2" s="4">
        <v>38443</v>
      </c>
      <c r="AN2" s="4">
        <v>41000</v>
      </c>
      <c r="AO2" s="4">
        <v>43556</v>
      </c>
      <c r="AP2" s="4">
        <v>9588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875"/>
      <c r="B3" s="544" t="s">
        <v>361</v>
      </c>
      <c r="C3" s="64" t="s">
        <v>349</v>
      </c>
      <c r="D3" s="544" t="s">
        <v>361</v>
      </c>
      <c r="E3" s="61" t="s">
        <v>349</v>
      </c>
      <c r="F3" s="544" t="s">
        <v>361</v>
      </c>
      <c r="G3" s="70" t="s">
        <v>349</v>
      </c>
      <c r="H3" s="544" t="s">
        <v>361</v>
      </c>
      <c r="I3" s="681" t="s">
        <v>349</v>
      </c>
      <c r="J3" s="74" t="s">
        <v>403</v>
      </c>
      <c r="K3" s="23" t="s">
        <v>639</v>
      </c>
      <c r="L3" s="545" t="s">
        <v>593</v>
      </c>
      <c r="M3" s="73" t="s">
        <v>380</v>
      </c>
      <c r="N3" s="577" t="s">
        <v>395</v>
      </c>
      <c r="O3" s="24" t="s">
        <v>706</v>
      </c>
      <c r="P3" s="577" t="s">
        <v>694</v>
      </c>
      <c r="Q3" s="24"/>
      <c r="R3" s="7"/>
      <c r="S3" s="11" t="s">
        <v>395</v>
      </c>
      <c r="T3" s="9" t="s">
        <v>728</v>
      </c>
      <c r="U3" s="21" t="s">
        <v>687</v>
      </c>
      <c r="V3" s="9" t="s">
        <v>847</v>
      </c>
      <c r="W3" s="664" t="s">
        <v>871</v>
      </c>
      <c r="X3" s="21" t="s">
        <v>397</v>
      </c>
      <c r="Y3" s="11" t="s">
        <v>390</v>
      </c>
      <c r="Z3" s="10" t="s">
        <v>403</v>
      </c>
      <c r="AA3" s="9" t="s">
        <v>942</v>
      </c>
      <c r="AB3" s="11" t="s">
        <v>958</v>
      </c>
      <c r="AC3" s="9" t="s">
        <v>728</v>
      </c>
      <c r="AD3" s="11" t="s">
        <v>593</v>
      </c>
      <c r="AE3" s="21" t="s">
        <v>391</v>
      </c>
      <c r="AF3" s="21" t="s">
        <v>652</v>
      </c>
      <c r="AG3" s="9"/>
      <c r="AH3" s="10" t="s">
        <v>694</v>
      </c>
      <c r="AI3" s="9"/>
      <c r="AJ3" s="9"/>
      <c r="AK3" s="6"/>
      <c r="AL3" s="11"/>
      <c r="AM3" s="55"/>
      <c r="AN3" s="54"/>
      <c r="AO3" s="7"/>
      <c r="AP3" s="11"/>
      <c r="AQ3" s="55"/>
      <c r="AR3" s="9"/>
      <c r="AS3" s="9"/>
      <c r="AT3" s="465"/>
      <c r="AU3" s="11"/>
      <c r="AV3" s="9"/>
      <c r="AW3" s="785"/>
      <c r="AX3" s="465"/>
    </row>
    <row r="4" spans="1:50" ht="21.1">
      <c r="A4" s="86" t="s">
        <v>91</v>
      </c>
      <c r="B4" s="244"/>
      <c r="C4" s="214"/>
      <c r="D4" s="133"/>
      <c r="E4" s="134"/>
      <c r="F4" s="135"/>
      <c r="G4" s="136"/>
      <c r="H4" s="682"/>
      <c r="I4" s="676"/>
      <c r="J4" s="96" t="s">
        <v>501</v>
      </c>
      <c r="K4" s="96" t="s">
        <v>501</v>
      </c>
      <c r="L4" s="104" t="s">
        <v>501</v>
      </c>
      <c r="M4" s="75" t="s">
        <v>501</v>
      </c>
      <c r="N4" s="75" t="s">
        <v>339</v>
      </c>
      <c r="O4" s="75" t="s">
        <v>339</v>
      </c>
      <c r="P4" s="75" t="s">
        <v>339</v>
      </c>
      <c r="Q4" s="105"/>
      <c r="R4" s="105"/>
      <c r="S4" s="96" t="s">
        <v>820</v>
      </c>
      <c r="T4" s="109" t="s">
        <v>775</v>
      </c>
      <c r="U4" s="100">
        <v>15</v>
      </c>
      <c r="V4" s="110">
        <v>15</v>
      </c>
      <c r="W4" s="110">
        <v>15</v>
      </c>
      <c r="X4" s="102">
        <v>15</v>
      </c>
      <c r="Y4" s="102">
        <v>15</v>
      </c>
      <c r="Z4" s="102" t="s">
        <v>715</v>
      </c>
      <c r="AA4" s="101">
        <v>15</v>
      </c>
      <c r="AB4" s="101">
        <v>15</v>
      </c>
      <c r="AC4" s="102" t="s">
        <v>379</v>
      </c>
      <c r="AD4" s="99" t="s">
        <v>775</v>
      </c>
      <c r="AE4" s="99" t="s">
        <v>775</v>
      </c>
      <c r="AF4" s="99" t="s">
        <v>775</v>
      </c>
      <c r="AG4" s="98"/>
      <c r="AH4" s="99" t="s">
        <v>775</v>
      </c>
      <c r="AI4" s="98"/>
      <c r="AJ4" s="103"/>
      <c r="AK4" s="102"/>
      <c r="AL4" s="101"/>
      <c r="AM4" s="101"/>
      <c r="AN4" s="102"/>
      <c r="AO4" s="102"/>
      <c r="AP4" s="102"/>
      <c r="AQ4" s="102"/>
      <c r="AR4" s="102"/>
      <c r="AS4" s="102"/>
      <c r="AT4" s="102"/>
      <c r="AU4" s="103"/>
      <c r="AV4" s="103"/>
    </row>
    <row r="5" spans="1:50" ht="16.3">
      <c r="A5" s="246" t="s">
        <v>1</v>
      </c>
      <c r="B5" s="538">
        <f>SUM(L5+M5+N5+O5+P5+U5+X5+Y5+Z5+AC5+AK5+AL5+AK5+AO5+AR5+AS5+AU5+AV5+AW5+AX5+AP5)+56</f>
        <v>61</v>
      </c>
      <c r="C5" s="215">
        <f>SUM(L5+M5+N5+O5+P5+U5+Y5+Z5+X5+AC5+AL5+AK5+AL5+AP5+AS5+AO5+AV5+AW5+AX5+AY5+AR5+AU5)+183</f>
        <v>188</v>
      </c>
      <c r="D5" s="133"/>
      <c r="E5" s="134"/>
      <c r="F5" s="135"/>
      <c r="G5" s="136"/>
      <c r="H5" s="683"/>
      <c r="I5" s="676"/>
      <c r="J5" s="96"/>
      <c r="K5" s="96"/>
      <c r="L5" s="104"/>
      <c r="M5" s="75"/>
      <c r="N5" s="75"/>
      <c r="O5" s="75"/>
      <c r="P5" s="75"/>
      <c r="Q5" s="105"/>
      <c r="R5" s="105"/>
      <c r="S5" s="96"/>
      <c r="T5" s="109"/>
      <c r="U5" s="100">
        <v>1</v>
      </c>
      <c r="V5" s="110">
        <v>1</v>
      </c>
      <c r="W5" s="110">
        <v>1</v>
      </c>
      <c r="X5" s="100">
        <v>1</v>
      </c>
      <c r="Y5" s="100">
        <v>1</v>
      </c>
      <c r="Z5" s="75">
        <v>1</v>
      </c>
      <c r="AA5" s="106">
        <v>1</v>
      </c>
      <c r="AB5" s="106">
        <v>1</v>
      </c>
      <c r="AC5" s="75">
        <v>1</v>
      </c>
      <c r="AD5" s="96"/>
      <c r="AE5" s="96"/>
      <c r="AF5" s="96"/>
      <c r="AG5" s="105"/>
      <c r="AH5" s="96"/>
      <c r="AI5" s="105"/>
      <c r="AJ5" s="107"/>
      <c r="AK5" s="75"/>
      <c r="AL5" s="106"/>
      <c r="AM5" s="106"/>
      <c r="AN5" s="75"/>
      <c r="AO5" s="75"/>
      <c r="AP5" s="75"/>
      <c r="AQ5" s="75"/>
      <c r="AR5" s="75"/>
      <c r="AS5" s="75"/>
      <c r="AT5" s="75"/>
      <c r="AU5" s="107"/>
      <c r="AV5" s="107"/>
    </row>
    <row r="6" spans="1:50" ht="16.3">
      <c r="A6" s="246" t="s">
        <v>2</v>
      </c>
      <c r="B6" s="538">
        <f>SUM(L6+M6+N6+O6+P6+U6+X6+Y6+Z6+AC6+AK6+AL6+AK6+AO6+AR6+AS6+AU6+AV6+AW6+AX6+AP6)+3</f>
        <v>3</v>
      </c>
      <c r="C6" s="215">
        <f>SUM(L6+M6+N6+O6+P6+U6+Y6+Z6+X6+AC6+AL6+AK6+AL6+AP6+AS6+AO6+AV6+AW6+AX6+AY6+AR6+AU6)+13</f>
        <v>13</v>
      </c>
      <c r="D6" s="133"/>
      <c r="E6" s="134"/>
      <c r="F6" s="135"/>
      <c r="G6" s="136"/>
      <c r="H6" s="683"/>
      <c r="I6" s="676"/>
      <c r="J6" s="96"/>
      <c r="K6" s="96"/>
      <c r="L6" s="104"/>
      <c r="M6" s="75"/>
      <c r="N6" s="75"/>
      <c r="O6" s="75"/>
      <c r="P6" s="75"/>
      <c r="Q6" s="105"/>
      <c r="R6" s="105"/>
      <c r="S6" s="96"/>
      <c r="T6" s="109"/>
      <c r="U6" s="100"/>
      <c r="V6" s="110"/>
      <c r="W6" s="110"/>
      <c r="X6" s="100"/>
      <c r="Y6" s="100"/>
      <c r="Z6" s="100"/>
      <c r="AA6" s="110"/>
      <c r="AB6" s="110"/>
      <c r="AC6" s="100"/>
      <c r="AD6" s="109"/>
      <c r="AE6" s="109"/>
      <c r="AF6" s="109"/>
      <c r="AG6" s="108"/>
      <c r="AH6" s="109"/>
      <c r="AI6" s="108"/>
      <c r="AJ6" s="111"/>
      <c r="AK6" s="100"/>
      <c r="AL6" s="110"/>
      <c r="AM6" s="110"/>
      <c r="AN6" s="100"/>
      <c r="AO6" s="100"/>
      <c r="AP6" s="100"/>
      <c r="AQ6" s="100"/>
      <c r="AR6" s="100"/>
      <c r="AS6" s="100"/>
      <c r="AT6" s="100"/>
      <c r="AU6" s="111"/>
      <c r="AV6" s="111"/>
    </row>
    <row r="7" spans="1:50" ht="16.3">
      <c r="A7" s="83" t="s">
        <v>363</v>
      </c>
      <c r="B7" s="539">
        <f>SUM(B5+B6)</f>
        <v>64</v>
      </c>
      <c r="C7" s="214">
        <f>SUM(C5+C6)</f>
        <v>201</v>
      </c>
      <c r="D7" s="133"/>
      <c r="E7" s="134"/>
      <c r="F7" s="135"/>
      <c r="G7" s="136"/>
      <c r="H7" s="683"/>
      <c r="I7" s="676"/>
      <c r="J7" s="96"/>
      <c r="K7" s="96"/>
      <c r="L7" s="104"/>
      <c r="M7" s="75"/>
      <c r="N7" s="75"/>
      <c r="O7" s="75"/>
      <c r="P7" s="75"/>
      <c r="Q7" s="105"/>
      <c r="R7" s="105"/>
      <c r="S7" s="96"/>
      <c r="T7" s="109"/>
      <c r="U7" s="100"/>
      <c r="V7" s="110"/>
      <c r="W7" s="110"/>
      <c r="X7" s="100"/>
      <c r="Y7" s="100"/>
      <c r="Z7" s="100"/>
      <c r="AA7" s="110"/>
      <c r="AB7" s="110"/>
      <c r="AC7" s="100"/>
      <c r="AD7" s="109"/>
      <c r="AE7" s="109"/>
      <c r="AF7" s="109"/>
      <c r="AG7" s="108"/>
      <c r="AH7" s="109"/>
      <c r="AI7" s="108"/>
      <c r="AJ7" s="111"/>
      <c r="AK7" s="100"/>
      <c r="AL7" s="110"/>
      <c r="AM7" s="110"/>
      <c r="AN7" s="100"/>
      <c r="AO7" s="100"/>
      <c r="AP7" s="100"/>
      <c r="AQ7" s="100"/>
      <c r="AR7" s="100"/>
      <c r="AS7" s="100"/>
      <c r="AT7" s="100"/>
      <c r="AU7" s="111"/>
      <c r="AV7" s="111"/>
    </row>
    <row r="8" spans="1:50" ht="16.3">
      <c r="A8" s="246" t="s">
        <v>366</v>
      </c>
      <c r="B8" s="538">
        <f>SUM(L8+M8+N8+O8+P8+U8+X8+Y8+Z8+AC8+AK8+AL8+AK8+AO8+AR8+AS8+AU8+AV8+AW8+AX8+AP8)+1</f>
        <v>1</v>
      </c>
      <c r="C8" s="215">
        <f>SUM(L8+M8+N8+O8+P8+U8+Y8+Z8+X8+AC8+AL8+AK8+AL8+AP8+AS8+AO8+AV8+AW8+AX8+AY8+AR8+AU8)+4</f>
        <v>4</v>
      </c>
      <c r="D8" s="133"/>
      <c r="E8" s="134"/>
      <c r="F8" s="135"/>
      <c r="G8" s="136"/>
      <c r="H8" s="683"/>
      <c r="I8" s="676"/>
      <c r="J8" s="96"/>
      <c r="K8" s="96"/>
      <c r="L8" s="104"/>
      <c r="M8" s="75"/>
      <c r="N8" s="75"/>
      <c r="O8" s="75"/>
      <c r="P8" s="75"/>
      <c r="Q8" s="105"/>
      <c r="R8" s="105"/>
      <c r="S8" s="96"/>
      <c r="T8" s="109"/>
      <c r="U8" s="100"/>
      <c r="V8" s="110"/>
      <c r="W8" s="110"/>
      <c r="X8" s="100"/>
      <c r="Y8" s="100"/>
      <c r="Z8" s="100"/>
      <c r="AA8" s="110"/>
      <c r="AB8" s="110"/>
      <c r="AC8" s="100"/>
      <c r="AD8" s="109"/>
      <c r="AE8" s="109"/>
      <c r="AF8" s="109"/>
      <c r="AG8" s="108"/>
      <c r="AH8" s="109"/>
      <c r="AI8" s="108"/>
      <c r="AJ8" s="111"/>
      <c r="AK8" s="100"/>
      <c r="AL8" s="110"/>
      <c r="AM8" s="110"/>
      <c r="AN8" s="100"/>
      <c r="AO8" s="100"/>
      <c r="AP8" s="100"/>
      <c r="AQ8" s="100"/>
      <c r="AR8" s="100"/>
      <c r="AS8" s="100"/>
      <c r="AT8" s="100"/>
      <c r="AU8" s="111"/>
      <c r="AV8" s="111"/>
    </row>
    <row r="9" spans="1:50" ht="16.3">
      <c r="A9" s="246" t="s">
        <v>362</v>
      </c>
      <c r="B9" s="538">
        <f>SUM(L9+M9+N9+O9+P9+U9+X9+Y9+Z9+AC9+AK9+AL9+AK9+AO9+AR9+AS9+AU9+AV9+AW9+AX9+AP9)+2</f>
        <v>3</v>
      </c>
      <c r="C9" s="215">
        <f>SUM(L9+M9+N9+O9+P9+U9+Y9+Z9+X9+AC9+AL9+AK9+AL9+AP9+AS9+AO9+AV9+AW9+AX9+AY9+AR9+AU9)+4</f>
        <v>5</v>
      </c>
      <c r="D9" s="133"/>
      <c r="E9" s="134"/>
      <c r="F9" s="135"/>
      <c r="G9" s="136"/>
      <c r="H9" s="683"/>
      <c r="I9" s="676"/>
      <c r="J9" s="96"/>
      <c r="K9" s="96"/>
      <c r="L9" s="104"/>
      <c r="M9" s="75"/>
      <c r="N9" s="75"/>
      <c r="O9" s="75"/>
      <c r="P9" s="75"/>
      <c r="Q9" s="105"/>
      <c r="R9" s="105"/>
      <c r="S9" s="96"/>
      <c r="T9" s="109"/>
      <c r="U9" s="100"/>
      <c r="V9" s="110"/>
      <c r="W9" s="110"/>
      <c r="X9" s="100"/>
      <c r="Y9" s="100"/>
      <c r="Z9" s="100">
        <v>1</v>
      </c>
      <c r="AA9" s="110"/>
      <c r="AB9" s="110"/>
      <c r="AC9" s="100"/>
      <c r="AD9" s="109"/>
      <c r="AE9" s="109"/>
      <c r="AF9" s="109"/>
      <c r="AG9" s="108"/>
      <c r="AH9" s="109"/>
      <c r="AI9" s="108"/>
      <c r="AJ9" s="111"/>
      <c r="AK9" s="100"/>
      <c r="AL9" s="110"/>
      <c r="AM9" s="110"/>
      <c r="AN9" s="100"/>
      <c r="AO9" s="100"/>
      <c r="AP9" s="100"/>
      <c r="AQ9" s="100"/>
      <c r="AR9" s="100"/>
      <c r="AS9" s="100"/>
      <c r="AT9" s="100"/>
      <c r="AU9" s="111"/>
      <c r="AV9" s="111"/>
    </row>
    <row r="10" spans="1:50" ht="16.3">
      <c r="A10" s="246" t="s">
        <v>5</v>
      </c>
      <c r="B10" s="538">
        <f>SUM(L10+M10+N10+O10+P10+U10+X10+Y10+Z10+AC10+AK10+AL10+AK10+AO10+AR10+AS10+AU10+AV10+AW10+AX10+AP10)+23</f>
        <v>23</v>
      </c>
      <c r="C10" s="215">
        <f>SUM(L10+M10+N10+O10+P10+U10+Y10+Z10+X10+AC10+AL10+AK10+AL10+AP10+AS10+AO10+AV10+AW10+AX10+AY10+AR10+AU10)+65</f>
        <v>65</v>
      </c>
      <c r="D10" s="133"/>
      <c r="E10" s="134"/>
      <c r="F10" s="135"/>
      <c r="G10" s="136"/>
      <c r="H10" s="683"/>
      <c r="I10" s="676"/>
      <c r="J10" s="96"/>
      <c r="K10" s="96"/>
      <c r="L10" s="104"/>
      <c r="M10" s="75"/>
      <c r="N10" s="75"/>
      <c r="O10" s="75"/>
      <c r="P10" s="75"/>
      <c r="Q10" s="105"/>
      <c r="R10" s="105"/>
      <c r="S10" s="96"/>
      <c r="T10" s="109"/>
      <c r="U10" s="100">
        <v>0</v>
      </c>
      <c r="V10" s="110"/>
      <c r="W10" s="110"/>
      <c r="X10" s="100"/>
      <c r="Y10" s="100"/>
      <c r="Z10" s="100"/>
      <c r="AA10" s="110"/>
      <c r="AB10" s="110"/>
      <c r="AC10" s="100"/>
      <c r="AD10" s="109"/>
      <c r="AE10" s="109"/>
      <c r="AF10" s="109"/>
      <c r="AG10" s="108"/>
      <c r="AH10" s="109"/>
      <c r="AI10" s="108"/>
      <c r="AJ10" s="111"/>
      <c r="AK10" s="100"/>
      <c r="AL10" s="110"/>
      <c r="AM10" s="110"/>
      <c r="AN10" s="100"/>
      <c r="AO10" s="100"/>
      <c r="AP10" s="100"/>
      <c r="AQ10" s="100"/>
      <c r="AR10" s="100"/>
      <c r="AS10" s="100"/>
      <c r="AT10" s="100"/>
      <c r="AU10" s="111"/>
      <c r="AV10" s="111"/>
    </row>
    <row r="11" spans="1:50" ht="16.3">
      <c r="A11" s="246" t="s">
        <v>6</v>
      </c>
      <c r="B11" s="538">
        <f>SUM(L11+M11+N11+O11+P11+U11+X11+Y11+Z11+AC11+AK11+AL11+AK11+AO11+AR11+AS11+AU11+AV11+AW11+AX11+AP11)+29</f>
        <v>30</v>
      </c>
      <c r="C11" s="215">
        <f>SUM(L11+M11+N11+O11+P11+U11+Y11+Z11+X11+AC11+AL11+AK11+AL11+AP11+AS11+AO11+AV11+AW11+AX11+AY11+AR11+AU11)+105</f>
        <v>106</v>
      </c>
      <c r="D11" s="133"/>
      <c r="E11" s="134"/>
      <c r="F11" s="135"/>
      <c r="G11" s="136"/>
      <c r="H11" s="683"/>
      <c r="I11" s="676"/>
      <c r="J11" s="96"/>
      <c r="K11" s="96"/>
      <c r="L11" s="104"/>
      <c r="M11" s="75"/>
      <c r="N11" s="75"/>
      <c r="O11" s="75"/>
      <c r="P11" s="75"/>
      <c r="Q11" s="105"/>
      <c r="R11" s="105"/>
      <c r="S11" s="96"/>
      <c r="T11" s="109"/>
      <c r="U11" s="100">
        <v>1</v>
      </c>
      <c r="V11" s="110"/>
      <c r="W11" s="110"/>
      <c r="X11" s="100"/>
      <c r="Y11" s="100"/>
      <c r="Z11" s="100"/>
      <c r="AA11" s="110"/>
      <c r="AB11" s="110"/>
      <c r="AC11" s="100"/>
      <c r="AD11" s="109"/>
      <c r="AE11" s="109"/>
      <c r="AF11" s="109"/>
      <c r="AG11" s="108"/>
      <c r="AH11" s="109"/>
      <c r="AI11" s="108"/>
      <c r="AJ11" s="111"/>
      <c r="AK11" s="100"/>
      <c r="AL11" s="110"/>
      <c r="AM11" s="110"/>
      <c r="AN11" s="100"/>
      <c r="AO11" s="100"/>
      <c r="AP11" s="100"/>
      <c r="AQ11" s="100"/>
      <c r="AR11" s="100"/>
      <c r="AS11" s="100"/>
      <c r="AT11" s="100"/>
      <c r="AU11" s="111"/>
      <c r="AV11" s="111"/>
    </row>
    <row r="12" spans="1:50" ht="16.3">
      <c r="A12" s="246" t="s">
        <v>368</v>
      </c>
      <c r="B12" s="540">
        <f>SUM(B10/B11)*100</f>
        <v>76.666666666666671</v>
      </c>
      <c r="C12" s="216">
        <f>SUM(C10/C11)*100</f>
        <v>61.320754716981128</v>
      </c>
      <c r="D12" s="133"/>
      <c r="E12" s="134"/>
      <c r="F12" s="135"/>
      <c r="G12" s="136"/>
      <c r="H12" s="683"/>
      <c r="I12" s="676"/>
      <c r="J12" s="96"/>
      <c r="K12" s="96"/>
      <c r="L12" s="104"/>
      <c r="M12" s="75"/>
      <c r="N12" s="75"/>
      <c r="O12" s="75"/>
      <c r="P12" s="75"/>
      <c r="Q12" s="105"/>
      <c r="R12" s="105"/>
      <c r="S12" s="96"/>
      <c r="T12" s="109"/>
      <c r="U12" s="100">
        <v>0</v>
      </c>
      <c r="V12" s="110"/>
      <c r="W12" s="110"/>
      <c r="X12" s="100"/>
      <c r="Y12" s="100"/>
      <c r="Z12" s="100"/>
      <c r="AA12" s="110"/>
      <c r="AB12" s="110"/>
      <c r="AC12" s="100"/>
      <c r="AD12" s="109"/>
      <c r="AE12" s="109"/>
      <c r="AF12" s="109"/>
      <c r="AG12" s="108"/>
      <c r="AH12" s="109"/>
      <c r="AI12" s="108"/>
      <c r="AJ12" s="111"/>
      <c r="AK12" s="100"/>
      <c r="AL12" s="110"/>
      <c r="AM12" s="110"/>
      <c r="AN12" s="100"/>
      <c r="AO12" s="100"/>
      <c r="AP12" s="100"/>
      <c r="AQ12" s="100"/>
      <c r="AR12" s="100"/>
      <c r="AS12" s="100"/>
      <c r="AT12" s="100"/>
      <c r="AU12" s="111"/>
      <c r="AV12" s="111"/>
    </row>
    <row r="13" spans="1:50" ht="16.3">
      <c r="A13" s="83" t="s">
        <v>3</v>
      </c>
      <c r="B13" s="539">
        <f>SUM(L13+M13+N13+O13+P13+U13+X13+Y13+Z13+AC13+AK13+AL13+AK13+AO13+AR13+AS13+AU13+AV13+AW13+AX13+AP13)+15</f>
        <v>15</v>
      </c>
      <c r="C13" s="214">
        <f>SUM(L13+M13+N13+O13+P13+U13+Y13+Z13+X13+AC13+AL13+AK13+AL13+AP13+AS13+AO13+AV13+AW13+AX13+AY13+AR13+AU13)+44</f>
        <v>44</v>
      </c>
      <c r="D13" s="133"/>
      <c r="E13" s="134"/>
      <c r="F13" s="135"/>
      <c r="G13" s="136"/>
      <c r="H13" s="683"/>
      <c r="I13" s="676"/>
      <c r="J13" s="96"/>
      <c r="K13" s="96"/>
      <c r="L13" s="104"/>
      <c r="M13" s="75"/>
      <c r="N13" s="75"/>
      <c r="O13" s="75"/>
      <c r="P13" s="75"/>
      <c r="Q13" s="105"/>
      <c r="R13" s="105"/>
      <c r="S13" s="96"/>
      <c r="T13" s="109"/>
      <c r="U13" s="100"/>
      <c r="V13" s="110"/>
      <c r="W13" s="110"/>
      <c r="X13" s="100"/>
      <c r="Y13" s="100"/>
      <c r="Z13" s="100"/>
      <c r="AA13" s="110"/>
      <c r="AB13" s="110"/>
      <c r="AC13" s="100"/>
      <c r="AD13" s="109"/>
      <c r="AE13" s="109"/>
      <c r="AF13" s="109"/>
      <c r="AG13" s="108"/>
      <c r="AH13" s="109"/>
      <c r="AI13" s="108"/>
      <c r="AJ13" s="111"/>
      <c r="AK13" s="100"/>
      <c r="AL13" s="110"/>
      <c r="AM13" s="110"/>
      <c r="AN13" s="100"/>
      <c r="AO13" s="100"/>
      <c r="AP13" s="100"/>
      <c r="AQ13" s="100"/>
      <c r="AR13" s="100"/>
      <c r="AS13" s="100"/>
      <c r="AT13" s="100"/>
      <c r="AU13" s="111"/>
      <c r="AV13" s="111"/>
    </row>
    <row r="14" spans="1:50" ht="17" thickBot="1">
      <c r="A14" s="85" t="s">
        <v>4</v>
      </c>
      <c r="B14" s="541">
        <f>SUM(L14+M14+N14+O14+P14+U14+X14+Y14+Z14+AC14+AK14+AL14+AK14+AO14+AR14+AS14+AU14+AV14+AW14+AX14+AP14)+137</f>
        <v>137</v>
      </c>
      <c r="C14" s="217">
        <f>SUM(L14+M14+N14+O14+P14+U14+Y14+Z14+X14+AC14+AL14+AK14+AL14+AP14+AS14+AO14+AV14+AW14+AX14+AY14+AR14+AU14)+405</f>
        <v>405</v>
      </c>
      <c r="D14" s="144"/>
      <c r="E14" s="145"/>
      <c r="F14" s="146"/>
      <c r="G14" s="147"/>
      <c r="H14" s="684"/>
      <c r="I14" s="677"/>
      <c r="J14" s="114"/>
      <c r="K14" s="114"/>
      <c r="L14" s="113"/>
      <c r="M14" s="112"/>
      <c r="N14" s="112"/>
      <c r="O14" s="112"/>
      <c r="P14" s="112"/>
      <c r="Q14" s="127"/>
      <c r="R14" s="127"/>
      <c r="S14" s="114"/>
      <c r="T14" s="118"/>
      <c r="U14" s="116">
        <v>0</v>
      </c>
      <c r="V14" s="119"/>
      <c r="W14" s="120"/>
      <c r="X14" s="116"/>
      <c r="Y14" s="116"/>
      <c r="Z14" s="116"/>
      <c r="AA14" s="120"/>
      <c r="AB14" s="120"/>
      <c r="AC14" s="116"/>
      <c r="AD14" s="118"/>
      <c r="AE14" s="118"/>
      <c r="AF14" s="118"/>
      <c r="AG14" s="117"/>
      <c r="AH14" s="118"/>
      <c r="AI14" s="117"/>
      <c r="AJ14" s="121"/>
      <c r="AK14" s="116"/>
      <c r="AL14" s="120"/>
      <c r="AM14" s="120"/>
      <c r="AN14" s="116"/>
      <c r="AO14" s="116"/>
      <c r="AP14" s="116"/>
      <c r="AQ14" s="116"/>
      <c r="AR14" s="116"/>
      <c r="AS14" s="116"/>
      <c r="AT14" s="116"/>
      <c r="AU14" s="121"/>
      <c r="AV14" s="121"/>
    </row>
    <row r="15" spans="1:50" ht="21.1">
      <c r="A15" s="82" t="s">
        <v>274</v>
      </c>
      <c r="B15" s="539"/>
      <c r="C15" s="214"/>
      <c r="D15" s="133"/>
      <c r="E15" s="134"/>
      <c r="F15" s="135"/>
      <c r="G15" s="136"/>
      <c r="H15" s="683"/>
      <c r="I15" s="676"/>
      <c r="J15" s="96" t="s">
        <v>379</v>
      </c>
      <c r="K15" s="96" t="s">
        <v>640</v>
      </c>
      <c r="L15" s="104">
        <v>15</v>
      </c>
      <c r="M15" s="75" t="s">
        <v>379</v>
      </c>
      <c r="N15" s="75">
        <v>15</v>
      </c>
      <c r="O15" s="75" t="s">
        <v>379</v>
      </c>
      <c r="P15" s="75">
        <v>15</v>
      </c>
      <c r="Q15" s="105"/>
      <c r="R15" s="105"/>
      <c r="S15" s="96" t="s">
        <v>379</v>
      </c>
      <c r="T15" s="109"/>
      <c r="U15" s="100">
        <v>11</v>
      </c>
      <c r="V15" s="110">
        <v>11</v>
      </c>
      <c r="W15" s="110"/>
      <c r="X15" s="100">
        <v>11</v>
      </c>
      <c r="Y15" s="100">
        <v>11</v>
      </c>
      <c r="Z15" s="100">
        <v>11</v>
      </c>
      <c r="AA15" s="110" t="s">
        <v>375</v>
      </c>
      <c r="AB15" s="110" t="s">
        <v>383</v>
      </c>
      <c r="AC15" s="100" t="s">
        <v>375</v>
      </c>
      <c r="AD15" s="109"/>
      <c r="AE15" s="109"/>
      <c r="AF15" s="109"/>
      <c r="AG15" s="108"/>
      <c r="AH15" s="109"/>
      <c r="AI15" s="108"/>
      <c r="AJ15" s="111"/>
      <c r="AK15" s="100"/>
      <c r="AL15" s="110"/>
      <c r="AM15" s="110"/>
      <c r="AN15" s="100"/>
      <c r="AO15" s="100"/>
      <c r="AP15" s="100"/>
      <c r="AQ15" s="100"/>
      <c r="AR15" s="100"/>
      <c r="AS15" s="100"/>
      <c r="AT15" s="100"/>
      <c r="AU15" s="111"/>
      <c r="AV15" s="111"/>
    </row>
    <row r="16" spans="1:50" ht="16.3">
      <c r="A16" s="246" t="s">
        <v>1</v>
      </c>
      <c r="B16" s="538">
        <f>SUM(L16+M16+N16+O16+P16+U16+X16+Y16+Z16+AC16+AK16+AL16+AK16+AO16+AR16+AS16+AU16+AV16+AW16+AX16+AP16)+39</f>
        <v>48</v>
      </c>
      <c r="C16" s="215">
        <f>SUM(L16+M16+N16+O16+P16+U16+Y16+Z16+X16+AC16+AL16+AK16+AL16+AP16+AS16+AO16+AV16+AW16+AX16+AY16+AR16+AU16)+64</f>
        <v>73</v>
      </c>
      <c r="D16" s="133"/>
      <c r="E16" s="134"/>
      <c r="F16" s="135"/>
      <c r="G16" s="136"/>
      <c r="H16" s="683"/>
      <c r="I16" s="676"/>
      <c r="J16" s="96">
        <v>1</v>
      </c>
      <c r="K16" s="96">
        <v>1</v>
      </c>
      <c r="L16" s="104">
        <v>1</v>
      </c>
      <c r="M16" s="75">
        <v>1</v>
      </c>
      <c r="N16" s="75">
        <v>1</v>
      </c>
      <c r="O16" s="75">
        <v>1</v>
      </c>
      <c r="P16" s="75">
        <v>1</v>
      </c>
      <c r="Q16" s="105"/>
      <c r="R16" s="105"/>
      <c r="S16" s="96">
        <v>1</v>
      </c>
      <c r="T16" s="109"/>
      <c r="U16" s="100">
        <v>1</v>
      </c>
      <c r="V16" s="110">
        <v>1</v>
      </c>
      <c r="W16" s="110"/>
      <c r="X16" s="100">
        <v>1</v>
      </c>
      <c r="Y16" s="100">
        <v>1</v>
      </c>
      <c r="Z16" s="100">
        <v>1</v>
      </c>
      <c r="AA16" s="110"/>
      <c r="AB16" s="110">
        <v>1</v>
      </c>
      <c r="AC16" s="100"/>
      <c r="AD16" s="109"/>
      <c r="AE16" s="109"/>
      <c r="AF16" s="109"/>
      <c r="AG16" s="108"/>
      <c r="AH16" s="109"/>
      <c r="AI16" s="108"/>
      <c r="AJ16" s="111"/>
      <c r="AK16" s="100"/>
      <c r="AL16" s="110"/>
      <c r="AM16" s="110"/>
      <c r="AN16" s="100"/>
      <c r="AO16" s="100"/>
      <c r="AP16" s="100"/>
      <c r="AQ16" s="100"/>
      <c r="AR16" s="100"/>
      <c r="AS16" s="100"/>
      <c r="AT16" s="100"/>
      <c r="AU16" s="111"/>
      <c r="AV16" s="111"/>
    </row>
    <row r="17" spans="1:48" ht="16.3">
      <c r="A17" s="246" t="s">
        <v>2</v>
      </c>
      <c r="B17" s="538">
        <f>SUM(L17+M17+N17+O17+P17+U17+X17+Y17+Z17+AC17+AK17+AL17+AK17+AO17+AR17+AS17+AU17+AV17+AW17+AX17+AP17)+12</f>
        <v>13</v>
      </c>
      <c r="C17" s="215">
        <f>SUM(L17+M17+N17+O17+P17+U17+Y17+Z17+X17+AC17+AL17+AK17+AL17+AP17+AS17+AO17+AV17+AW17+AX17+AY17+AR17+AU17)+15</f>
        <v>16</v>
      </c>
      <c r="D17" s="133"/>
      <c r="E17" s="134"/>
      <c r="F17" s="135"/>
      <c r="G17" s="136"/>
      <c r="H17" s="683"/>
      <c r="I17" s="676"/>
      <c r="J17" s="96"/>
      <c r="K17" s="96"/>
      <c r="L17" s="104"/>
      <c r="M17" s="75"/>
      <c r="N17" s="75"/>
      <c r="O17" s="75"/>
      <c r="P17" s="75"/>
      <c r="Q17" s="105"/>
      <c r="R17" s="105"/>
      <c r="S17" s="96"/>
      <c r="T17" s="109"/>
      <c r="U17" s="100"/>
      <c r="V17" s="110"/>
      <c r="W17" s="110"/>
      <c r="X17" s="100"/>
      <c r="Y17" s="100"/>
      <c r="Z17" s="100"/>
      <c r="AA17" s="110">
        <v>1</v>
      </c>
      <c r="AB17" s="110"/>
      <c r="AC17" s="100">
        <v>1</v>
      </c>
      <c r="AD17" s="109"/>
      <c r="AE17" s="109"/>
      <c r="AF17" s="109"/>
      <c r="AG17" s="108"/>
      <c r="AH17" s="109"/>
      <c r="AI17" s="108"/>
      <c r="AJ17" s="111"/>
      <c r="AK17" s="100"/>
      <c r="AL17" s="110"/>
      <c r="AM17" s="110"/>
      <c r="AN17" s="100"/>
      <c r="AO17" s="100"/>
      <c r="AP17" s="100"/>
      <c r="AQ17" s="100"/>
      <c r="AR17" s="100"/>
      <c r="AS17" s="100"/>
      <c r="AT17" s="100"/>
      <c r="AU17" s="111"/>
      <c r="AV17" s="111"/>
    </row>
    <row r="18" spans="1:48" ht="16.3">
      <c r="A18" s="83" t="s">
        <v>363</v>
      </c>
      <c r="B18" s="539">
        <f>SUM(B16+B17)</f>
        <v>61</v>
      </c>
      <c r="C18" s="214">
        <f>SUM(C16+C17)</f>
        <v>89</v>
      </c>
      <c r="D18" s="133"/>
      <c r="E18" s="134"/>
      <c r="F18" s="135"/>
      <c r="G18" s="136"/>
      <c r="H18" s="683"/>
      <c r="I18" s="676"/>
      <c r="J18" s="96"/>
      <c r="K18" s="96"/>
      <c r="L18" s="104"/>
      <c r="M18" s="75"/>
      <c r="N18" s="75"/>
      <c r="O18" s="75"/>
      <c r="P18" s="75"/>
      <c r="Q18" s="105"/>
      <c r="R18" s="105"/>
      <c r="S18" s="96"/>
      <c r="T18" s="109"/>
      <c r="U18" s="100"/>
      <c r="V18" s="110"/>
      <c r="W18" s="110"/>
      <c r="X18" s="100"/>
      <c r="Y18" s="100"/>
      <c r="Z18" s="100"/>
      <c r="AA18" s="110"/>
      <c r="AB18" s="110"/>
      <c r="AC18" s="100"/>
      <c r="AD18" s="109"/>
      <c r="AE18" s="109"/>
      <c r="AF18" s="109"/>
      <c r="AG18" s="108"/>
      <c r="AH18" s="109"/>
      <c r="AI18" s="108"/>
      <c r="AJ18" s="111"/>
      <c r="AK18" s="100"/>
      <c r="AL18" s="110"/>
      <c r="AM18" s="110"/>
      <c r="AN18" s="100"/>
      <c r="AO18" s="100"/>
      <c r="AP18" s="100"/>
      <c r="AQ18" s="100"/>
      <c r="AR18" s="100"/>
      <c r="AS18" s="100"/>
      <c r="AT18" s="100"/>
      <c r="AU18" s="111"/>
      <c r="AV18" s="111"/>
    </row>
    <row r="19" spans="1:48" ht="16.3">
      <c r="A19" s="246" t="s">
        <v>366</v>
      </c>
      <c r="B19" s="538">
        <f>SUM(L19+M19+N19+O19+P19+U19+X19+Y19+Z19+AC19+AK19+AL19+AK19+AO19+AR19+AS19+AU19+AV19+AW19+AX19+AP19)</f>
        <v>0</v>
      </c>
      <c r="C19" s="215">
        <f>SUM(L19+M19+N19+O19+P19+U19+Y19+Z19+X19+AC19+AL19+AK19+AL19+AP19+AS19+AO19+AV19+AW19+AX19+AY19+AR19+AU19)</f>
        <v>0</v>
      </c>
      <c r="D19" s="133"/>
      <c r="E19" s="134"/>
      <c r="F19" s="135"/>
      <c r="G19" s="136"/>
      <c r="H19" s="683"/>
      <c r="I19" s="676"/>
      <c r="J19" s="96"/>
      <c r="K19" s="96">
        <v>1</v>
      </c>
      <c r="L19" s="104"/>
      <c r="M19" s="75"/>
      <c r="N19" s="75"/>
      <c r="O19" s="75"/>
      <c r="P19" s="75"/>
      <c r="Q19" s="105"/>
      <c r="R19" s="105"/>
      <c r="S19" s="96"/>
      <c r="T19" s="109"/>
      <c r="U19" s="100"/>
      <c r="V19" s="110"/>
      <c r="W19" s="110"/>
      <c r="X19" s="100"/>
      <c r="Y19" s="100"/>
      <c r="Z19" s="100"/>
      <c r="AA19" s="110"/>
      <c r="AB19" s="110"/>
      <c r="AC19" s="100"/>
      <c r="AD19" s="109"/>
      <c r="AE19" s="109"/>
      <c r="AF19" s="109"/>
      <c r="AG19" s="108"/>
      <c r="AH19" s="109"/>
      <c r="AI19" s="108"/>
      <c r="AJ19" s="111"/>
      <c r="AK19" s="100"/>
      <c r="AL19" s="110"/>
      <c r="AM19" s="110"/>
      <c r="AN19" s="100"/>
      <c r="AO19" s="100"/>
      <c r="AP19" s="100"/>
      <c r="AQ19" s="100"/>
      <c r="AR19" s="100"/>
      <c r="AS19" s="100"/>
      <c r="AT19" s="100"/>
      <c r="AU19" s="111"/>
      <c r="AV19" s="111"/>
    </row>
    <row r="20" spans="1:48" ht="16.3">
      <c r="A20" s="246" t="s">
        <v>362</v>
      </c>
      <c r="B20" s="538">
        <f>SUM(L20+M20+N20+O20+P20+U20+X20+Y20+Z20+AC20+AK20+AL20+AK20+AO20+AR20+AS20+AU20+AV20+AW20+AX20+AP20)+1</f>
        <v>1</v>
      </c>
      <c r="C20" s="215">
        <f>SUM(L20+M20+N20+O20+P20+U20+Y20+Z20+X20+AC20+AL20+AK20+AL20+AP20+AS20+AO20+AV20+AW20+AX20+AY20+AR20+AU20)+1</f>
        <v>1</v>
      </c>
      <c r="D20" s="133"/>
      <c r="E20" s="134"/>
      <c r="F20" s="135"/>
      <c r="G20" s="136"/>
      <c r="H20" s="683"/>
      <c r="I20" s="676"/>
      <c r="J20" s="96"/>
      <c r="K20" s="96"/>
      <c r="L20" s="104"/>
      <c r="M20" s="75"/>
      <c r="N20" s="75"/>
      <c r="O20" s="75"/>
      <c r="P20" s="75"/>
      <c r="Q20" s="105"/>
      <c r="R20" s="105"/>
      <c r="S20" s="96"/>
      <c r="T20" s="109"/>
      <c r="U20" s="100"/>
      <c r="V20" s="110"/>
      <c r="W20" s="110"/>
      <c r="X20" s="100"/>
      <c r="Y20" s="100"/>
      <c r="Z20" s="100"/>
      <c r="AA20" s="110"/>
      <c r="AB20" s="110"/>
      <c r="AC20" s="100"/>
      <c r="AD20" s="109"/>
      <c r="AE20" s="109"/>
      <c r="AF20" s="109"/>
      <c r="AG20" s="108"/>
      <c r="AH20" s="109"/>
      <c r="AI20" s="108"/>
      <c r="AJ20" s="111"/>
      <c r="AK20" s="100"/>
      <c r="AL20" s="110"/>
      <c r="AM20" s="110"/>
      <c r="AN20" s="100"/>
      <c r="AO20" s="100"/>
      <c r="AP20" s="100"/>
      <c r="AQ20" s="100"/>
      <c r="AR20" s="100"/>
      <c r="AS20" s="100"/>
      <c r="AT20" s="100"/>
      <c r="AU20" s="111"/>
      <c r="AV20" s="111"/>
    </row>
    <row r="21" spans="1:48" ht="16.3">
      <c r="A21" s="246" t="s">
        <v>5</v>
      </c>
      <c r="B21" s="538">
        <f>SUM(L21+M21+N21+O21+P21+U21+X21+Y21+Z21+AC21+AK21+AL21+AK21+AO21+AR21+AS21+AU21+AV21+AW21+AX21+AP21)+1</f>
        <v>1</v>
      </c>
      <c r="C21" s="215">
        <f>SUM(L21+M21+N21+O21+P21+U21+Y21+Z21+X21+AC21+AL21+AK21+AL21+AP21+AS21+AO21+AV21+AW21+AX21+AY21+AR21+AU21)+9</f>
        <v>9</v>
      </c>
      <c r="D21" s="133"/>
      <c r="E21" s="134"/>
      <c r="F21" s="135"/>
      <c r="G21" s="136"/>
      <c r="H21" s="683"/>
      <c r="I21" s="676"/>
      <c r="J21" s="96"/>
      <c r="K21" s="96"/>
      <c r="L21" s="104"/>
      <c r="M21" s="75"/>
      <c r="N21" s="75"/>
      <c r="O21" s="75"/>
      <c r="P21" s="75"/>
      <c r="Q21" s="105"/>
      <c r="R21" s="105"/>
      <c r="S21" s="96"/>
      <c r="T21" s="109"/>
      <c r="U21" s="100"/>
      <c r="V21" s="110"/>
      <c r="W21" s="110"/>
      <c r="X21" s="100"/>
      <c r="Y21" s="100"/>
      <c r="Z21" s="100"/>
      <c r="AA21" s="110"/>
      <c r="AB21" s="110"/>
      <c r="AC21" s="100"/>
      <c r="AD21" s="109"/>
      <c r="AE21" s="109"/>
      <c r="AF21" s="109"/>
      <c r="AG21" s="108"/>
      <c r="AH21" s="109"/>
      <c r="AI21" s="108"/>
      <c r="AJ21" s="111"/>
      <c r="AK21" s="100"/>
      <c r="AL21" s="110"/>
      <c r="AM21" s="110"/>
      <c r="AN21" s="100"/>
      <c r="AO21" s="100"/>
      <c r="AP21" s="100"/>
      <c r="AQ21" s="100"/>
      <c r="AR21" s="100"/>
      <c r="AS21" s="100"/>
      <c r="AT21" s="100"/>
      <c r="AU21" s="111"/>
      <c r="AV21" s="111"/>
    </row>
    <row r="22" spans="1:48" ht="16.3">
      <c r="A22" s="246" t="s">
        <v>6</v>
      </c>
      <c r="B22" s="538">
        <f>SUM(L22+M22+N22+O22+P22+U22+X22+Y22+Z22+AC22+AK22+AL22+AK22+AO22+AR22+AS22+AU22+AV22+AW22+AX22+AP22)+2</f>
        <v>2</v>
      </c>
      <c r="C22" s="215">
        <f>SUM(L22+M22+N22+O22+P22+U22+Y22+Z22+X22+AC22+AL22+AK22+AL22+AP22+AS22+AO22+AV22+AW22+AX22+AY22+AR22+AU22)+12</f>
        <v>12</v>
      </c>
      <c r="D22" s="133"/>
      <c r="E22" s="134"/>
      <c r="F22" s="135"/>
      <c r="G22" s="136"/>
      <c r="H22" s="683"/>
      <c r="I22" s="676"/>
      <c r="J22" s="96"/>
      <c r="K22" s="96"/>
      <c r="L22" s="104"/>
      <c r="M22" s="75"/>
      <c r="N22" s="75"/>
      <c r="O22" s="75"/>
      <c r="P22" s="75"/>
      <c r="Q22" s="105"/>
      <c r="R22" s="105"/>
      <c r="S22" s="96"/>
      <c r="T22" s="109"/>
      <c r="U22" s="100"/>
      <c r="V22" s="110"/>
      <c r="W22" s="110"/>
      <c r="X22" s="100"/>
      <c r="Y22" s="100"/>
      <c r="Z22" s="100"/>
      <c r="AA22" s="110"/>
      <c r="AB22" s="110"/>
      <c r="AC22" s="100"/>
      <c r="AD22" s="109"/>
      <c r="AE22" s="109"/>
      <c r="AF22" s="109"/>
      <c r="AG22" s="108"/>
      <c r="AH22" s="109"/>
      <c r="AI22" s="108"/>
      <c r="AJ22" s="111"/>
      <c r="AK22" s="100"/>
      <c r="AL22" s="110"/>
      <c r="AM22" s="110"/>
      <c r="AN22" s="100"/>
      <c r="AO22" s="100"/>
      <c r="AP22" s="100"/>
      <c r="AQ22" s="100"/>
      <c r="AR22" s="100"/>
      <c r="AS22" s="100"/>
      <c r="AT22" s="100"/>
      <c r="AU22" s="111"/>
      <c r="AV22" s="111"/>
    </row>
    <row r="23" spans="1:48" ht="16.3">
      <c r="A23" s="246" t="s">
        <v>368</v>
      </c>
      <c r="B23" s="540">
        <f>SUM(B21/B22)*100</f>
        <v>50</v>
      </c>
      <c r="C23" s="216">
        <f>SUM(C21/C22)*100</f>
        <v>75</v>
      </c>
      <c r="D23" s="133"/>
      <c r="E23" s="134"/>
      <c r="F23" s="135"/>
      <c r="G23" s="136"/>
      <c r="H23" s="683"/>
      <c r="I23" s="676"/>
      <c r="J23" s="96"/>
      <c r="K23" s="96"/>
      <c r="L23" s="104"/>
      <c r="M23" s="75"/>
      <c r="N23" s="75"/>
      <c r="O23" s="75"/>
      <c r="P23" s="75"/>
      <c r="Q23" s="105"/>
      <c r="R23" s="105"/>
      <c r="S23" s="96"/>
      <c r="T23" s="109"/>
      <c r="U23" s="100"/>
      <c r="V23" s="110"/>
      <c r="W23" s="110"/>
      <c r="X23" s="100"/>
      <c r="Y23" s="100"/>
      <c r="Z23" s="100"/>
      <c r="AA23" s="110"/>
      <c r="AB23" s="110"/>
      <c r="AC23" s="100"/>
      <c r="AD23" s="109"/>
      <c r="AE23" s="109"/>
      <c r="AF23" s="109"/>
      <c r="AG23" s="108"/>
      <c r="AH23" s="109"/>
      <c r="AI23" s="108"/>
      <c r="AJ23" s="111"/>
      <c r="AK23" s="100"/>
      <c r="AL23" s="110"/>
      <c r="AM23" s="110"/>
      <c r="AN23" s="100"/>
      <c r="AO23" s="100"/>
      <c r="AP23" s="100"/>
      <c r="AQ23" s="100"/>
      <c r="AR23" s="100"/>
      <c r="AS23" s="100"/>
      <c r="AT23" s="100"/>
      <c r="AU23" s="111"/>
      <c r="AV23" s="111"/>
    </row>
    <row r="24" spans="1:48" ht="16.3">
      <c r="A24" s="83" t="s">
        <v>3</v>
      </c>
      <c r="B24" s="539">
        <f>SUM(L24+M24+N24+O24+P24+U24+X24+Y24+Z24+AC24+AK24+AL24+AK24+AO24+AR24+AS24+AU24+AV24+AW24+AX24+AP24)+33</f>
        <v>38</v>
      </c>
      <c r="C24" s="214">
        <f>SUM(L24+M24+N24+O24+P24+U24+Y24+Z24+X24+AC24+AL24+AK24+AL24+AP24+AS24+AO24+AV24+AW24+AX24+AY24+AR24+AU24)+56</f>
        <v>61</v>
      </c>
      <c r="D24" s="133"/>
      <c r="E24" s="134"/>
      <c r="F24" s="135"/>
      <c r="G24" s="136"/>
      <c r="H24" s="683"/>
      <c r="I24" s="676"/>
      <c r="J24" s="96"/>
      <c r="K24" s="96">
        <v>1</v>
      </c>
      <c r="L24" s="104"/>
      <c r="M24" s="75">
        <v>1</v>
      </c>
      <c r="N24" s="75"/>
      <c r="O24" s="75"/>
      <c r="P24" s="75">
        <v>1</v>
      </c>
      <c r="Q24" s="105"/>
      <c r="R24" s="105"/>
      <c r="S24" s="96"/>
      <c r="T24" s="109"/>
      <c r="U24" s="100">
        <v>2</v>
      </c>
      <c r="V24" s="110">
        <v>1</v>
      </c>
      <c r="W24" s="110"/>
      <c r="X24" s="100">
        <v>1</v>
      </c>
      <c r="Y24" s="100"/>
      <c r="Z24" s="100"/>
      <c r="AA24" s="110"/>
      <c r="AB24" s="110"/>
      <c r="AC24" s="100"/>
      <c r="AD24" s="109"/>
      <c r="AE24" s="109"/>
      <c r="AF24" s="109"/>
      <c r="AG24" s="108"/>
      <c r="AH24" s="109"/>
      <c r="AI24" s="108"/>
      <c r="AJ24" s="111"/>
      <c r="AK24" s="100"/>
      <c r="AL24" s="110"/>
      <c r="AM24" s="110"/>
      <c r="AN24" s="100"/>
      <c r="AO24" s="100"/>
      <c r="AP24" s="100"/>
      <c r="AQ24" s="100"/>
      <c r="AR24" s="100"/>
      <c r="AS24" s="100"/>
      <c r="AT24" s="100"/>
      <c r="AU24" s="111"/>
      <c r="AV24" s="111"/>
    </row>
    <row r="25" spans="1:48" ht="17" thickBot="1">
      <c r="A25" s="85" t="s">
        <v>4</v>
      </c>
      <c r="B25" s="541">
        <f>SUM(L25+M25+N25+O25+P25+U25+X25+Y25+Z25+AC25+AK25+AL25+AK25+AO25+AR25+AS25+AU25+AV25+AW25+AX25+AP25)+167</f>
        <v>192</v>
      </c>
      <c r="C25" s="217">
        <f>SUM(L25+M25+N25+O25+P25+U25+Y25+Z25+X25+AC25+AL25+AK25+AL25+AP25+AS25+AO25+AV25+AW25+AX25+AY25+AR25+AU25)+299</f>
        <v>324</v>
      </c>
      <c r="D25" s="144"/>
      <c r="E25" s="145"/>
      <c r="F25" s="146"/>
      <c r="G25" s="147"/>
      <c r="H25" s="684"/>
      <c r="I25" s="677"/>
      <c r="J25" s="114"/>
      <c r="K25" s="114">
        <v>5</v>
      </c>
      <c r="L25" s="113"/>
      <c r="M25" s="112">
        <v>5</v>
      </c>
      <c r="N25" s="112"/>
      <c r="O25" s="112"/>
      <c r="P25" s="112">
        <v>5</v>
      </c>
      <c r="Q25" s="127"/>
      <c r="R25" s="127"/>
      <c r="S25" s="114"/>
      <c r="T25" s="118"/>
      <c r="U25" s="116">
        <v>10</v>
      </c>
      <c r="V25" s="119">
        <v>5</v>
      </c>
      <c r="W25" s="119"/>
      <c r="X25" s="112">
        <v>5</v>
      </c>
      <c r="Y25" s="100"/>
      <c r="Z25" s="100"/>
      <c r="AA25" s="110"/>
      <c r="AB25" s="110"/>
      <c r="AC25" s="100"/>
      <c r="AD25" s="109"/>
      <c r="AE25" s="109"/>
      <c r="AF25" s="109"/>
      <c r="AG25" s="108"/>
      <c r="AH25" s="109"/>
      <c r="AI25" s="108"/>
      <c r="AJ25" s="111"/>
      <c r="AK25" s="100"/>
      <c r="AL25" s="110"/>
      <c r="AM25" s="110"/>
      <c r="AN25" s="100"/>
      <c r="AO25" s="100"/>
      <c r="AP25" s="100"/>
      <c r="AQ25" s="100"/>
      <c r="AR25" s="100"/>
      <c r="AS25" s="100"/>
      <c r="AT25" s="100"/>
      <c r="AU25" s="111"/>
      <c r="AV25" s="111"/>
    </row>
    <row r="26" spans="1:48" ht="21.1">
      <c r="A26" s="82" t="s">
        <v>221</v>
      </c>
      <c r="B26" s="539"/>
      <c r="C26" s="214"/>
      <c r="D26" s="133"/>
      <c r="E26" s="134"/>
      <c r="F26" s="135"/>
      <c r="G26" s="136"/>
      <c r="H26" s="683"/>
      <c r="I26" s="676"/>
      <c r="J26" s="96" t="s">
        <v>375</v>
      </c>
      <c r="K26" s="96">
        <v>11</v>
      </c>
      <c r="L26" s="104">
        <v>11</v>
      </c>
      <c r="M26" s="75" t="s">
        <v>367</v>
      </c>
      <c r="N26" s="75" t="s">
        <v>339</v>
      </c>
      <c r="O26" s="75" t="s">
        <v>339</v>
      </c>
      <c r="P26" s="75" t="s">
        <v>339</v>
      </c>
      <c r="Q26" s="105"/>
      <c r="R26" s="105"/>
      <c r="S26" s="96" t="s">
        <v>339</v>
      </c>
      <c r="T26" s="109" t="s">
        <v>339</v>
      </c>
      <c r="U26" s="100" t="s">
        <v>339</v>
      </c>
      <c r="V26" s="110" t="s">
        <v>375</v>
      </c>
      <c r="W26" s="110" t="s">
        <v>383</v>
      </c>
      <c r="X26" s="100" t="s">
        <v>375</v>
      </c>
      <c r="Y26" s="102">
        <v>14</v>
      </c>
      <c r="Z26" s="102">
        <v>14</v>
      </c>
      <c r="AA26" s="101" t="s">
        <v>367</v>
      </c>
      <c r="AB26" s="101">
        <v>11</v>
      </c>
      <c r="AC26" s="102" t="s">
        <v>367</v>
      </c>
      <c r="AD26" s="99"/>
      <c r="AE26" s="99"/>
      <c r="AF26" s="99">
        <v>11</v>
      </c>
      <c r="AG26" s="98"/>
      <c r="AH26" s="99"/>
      <c r="AI26" s="98"/>
      <c r="AJ26" s="103"/>
      <c r="AK26" s="102"/>
      <c r="AL26" s="101"/>
      <c r="AM26" s="101"/>
      <c r="AN26" s="102"/>
      <c r="AO26" s="102"/>
      <c r="AP26" s="102"/>
      <c r="AQ26" s="102"/>
      <c r="AR26" s="102"/>
      <c r="AS26" s="102"/>
      <c r="AT26" s="102"/>
      <c r="AU26" s="103"/>
      <c r="AV26" s="103"/>
    </row>
    <row r="27" spans="1:48" ht="16.3">
      <c r="A27" s="234" t="s">
        <v>1</v>
      </c>
      <c r="B27" s="538">
        <f>SUM(L27+M27+N27+O27+P27+U27+X27+Y27+Z27+AC27+AK27+AL27+AK27+AO27+AR27+AS27+AU27+AV27+AW27+AX27+AP27)+50</f>
        <v>55</v>
      </c>
      <c r="C27" s="215">
        <f>SUM(L27+M27+N27+O27+P27+U27+Y27+Z27+X27+AC27+AL27+AK27+AL27+AP27+AS27+AO27+AV27+AW27+AX27+AY27+AR27+AU27)+50</f>
        <v>55</v>
      </c>
      <c r="D27" s="133"/>
      <c r="E27" s="134"/>
      <c r="F27" s="135"/>
      <c r="G27" s="136"/>
      <c r="H27" s="683"/>
      <c r="I27" s="676"/>
      <c r="J27" s="96"/>
      <c r="K27" s="96">
        <v>1</v>
      </c>
      <c r="L27" s="104">
        <v>1</v>
      </c>
      <c r="M27" s="75">
        <v>1</v>
      </c>
      <c r="N27" s="75"/>
      <c r="O27" s="75"/>
      <c r="P27" s="75"/>
      <c r="Q27" s="105"/>
      <c r="R27" s="105"/>
      <c r="S27" s="96"/>
      <c r="T27" s="109"/>
      <c r="U27" s="100"/>
      <c r="V27" s="110"/>
      <c r="W27" s="110">
        <v>1</v>
      </c>
      <c r="X27" s="100"/>
      <c r="Y27" s="100">
        <v>1</v>
      </c>
      <c r="Z27" s="100">
        <v>1</v>
      </c>
      <c r="AA27" s="110">
        <v>1</v>
      </c>
      <c r="AB27" s="110">
        <v>1</v>
      </c>
      <c r="AC27" s="100">
        <v>1</v>
      </c>
      <c r="AD27" s="109"/>
      <c r="AE27" s="109"/>
      <c r="AF27" s="109">
        <v>1</v>
      </c>
      <c r="AG27" s="108"/>
      <c r="AH27" s="109"/>
      <c r="AI27" s="108"/>
      <c r="AJ27" s="111"/>
      <c r="AK27" s="100"/>
      <c r="AL27" s="110"/>
      <c r="AM27" s="110"/>
      <c r="AN27" s="100"/>
      <c r="AO27" s="100"/>
      <c r="AP27" s="100"/>
      <c r="AQ27" s="100"/>
      <c r="AR27" s="100"/>
      <c r="AS27" s="100"/>
      <c r="AT27" s="100"/>
      <c r="AU27" s="111"/>
      <c r="AV27" s="111"/>
    </row>
    <row r="28" spans="1:48" ht="16.3">
      <c r="A28" s="234" t="s">
        <v>2</v>
      </c>
      <c r="B28" s="538">
        <f>SUM(L28+M28+N28+O28+P28+U28+X28+Y28+Z28+AC28+AK28+AL28+AK28+AO28+AR28+AS28+AU28+AV28+AW28+AX28+AP28)+11</f>
        <v>12</v>
      </c>
      <c r="C28" s="215">
        <f>SUM(L28+M28+N28+O28+P28+U28+Y28+Z28+X28+AC28+AL28+AK28+AL28+AP28+AS28+AO28+AV28+AW28+AX28+AY28+AR28+AU28)+11</f>
        <v>12</v>
      </c>
      <c r="D28" s="133"/>
      <c r="E28" s="134"/>
      <c r="F28" s="135"/>
      <c r="G28" s="136"/>
      <c r="H28" s="683"/>
      <c r="I28" s="676"/>
      <c r="J28" s="96">
        <v>1</v>
      </c>
      <c r="K28" s="96"/>
      <c r="L28" s="104"/>
      <c r="M28" s="75"/>
      <c r="N28" s="75"/>
      <c r="O28" s="75"/>
      <c r="P28" s="75"/>
      <c r="Q28" s="105"/>
      <c r="R28" s="105"/>
      <c r="S28" s="96"/>
      <c r="T28" s="109"/>
      <c r="U28" s="100"/>
      <c r="V28" s="110">
        <v>1</v>
      </c>
      <c r="W28" s="110"/>
      <c r="X28" s="100">
        <v>1</v>
      </c>
      <c r="Y28" s="100"/>
      <c r="Z28" s="100"/>
      <c r="AA28" s="110"/>
      <c r="AB28" s="110"/>
      <c r="AC28" s="100"/>
      <c r="AD28" s="109"/>
      <c r="AE28" s="109"/>
      <c r="AF28" s="109"/>
      <c r="AG28" s="108"/>
      <c r="AH28" s="109"/>
      <c r="AI28" s="108"/>
      <c r="AJ28" s="111"/>
      <c r="AK28" s="100"/>
      <c r="AL28" s="110"/>
      <c r="AM28" s="110"/>
      <c r="AN28" s="100"/>
      <c r="AO28" s="100"/>
      <c r="AP28" s="100"/>
      <c r="AQ28" s="100"/>
      <c r="AR28" s="100"/>
      <c r="AS28" s="100"/>
      <c r="AT28" s="100"/>
      <c r="AU28" s="111"/>
      <c r="AV28" s="111"/>
    </row>
    <row r="29" spans="1:48" ht="16.3">
      <c r="A29" s="87" t="s">
        <v>363</v>
      </c>
      <c r="B29" s="539">
        <f>SUM(B27+B28)</f>
        <v>67</v>
      </c>
      <c r="C29" s="214">
        <f>SUM(C27+C28)</f>
        <v>67</v>
      </c>
      <c r="D29" s="133"/>
      <c r="E29" s="134"/>
      <c r="F29" s="135"/>
      <c r="G29" s="136"/>
      <c r="H29" s="683"/>
      <c r="I29" s="676"/>
      <c r="J29" s="96"/>
      <c r="K29" s="96"/>
      <c r="L29" s="104"/>
      <c r="M29" s="75"/>
      <c r="N29" s="75"/>
      <c r="O29" s="75"/>
      <c r="P29" s="75"/>
      <c r="Q29" s="105"/>
      <c r="R29" s="105"/>
      <c r="S29" s="96"/>
      <c r="T29" s="109"/>
      <c r="U29" s="100"/>
      <c r="V29" s="110"/>
      <c r="W29" s="110"/>
      <c r="X29" s="100"/>
      <c r="Y29" s="100"/>
      <c r="Z29" s="100"/>
      <c r="AA29" s="110"/>
      <c r="AB29" s="110"/>
      <c r="AC29" s="100"/>
      <c r="AD29" s="109"/>
      <c r="AE29" s="109"/>
      <c r="AF29" s="109"/>
      <c r="AG29" s="108"/>
      <c r="AH29" s="109"/>
      <c r="AI29" s="108"/>
      <c r="AJ29" s="111"/>
      <c r="AK29" s="100"/>
      <c r="AL29" s="110"/>
      <c r="AM29" s="110"/>
      <c r="AN29" s="100"/>
      <c r="AO29" s="100"/>
      <c r="AP29" s="100"/>
      <c r="AQ29" s="100"/>
      <c r="AR29" s="100"/>
      <c r="AS29" s="100"/>
      <c r="AT29" s="100"/>
      <c r="AU29" s="111"/>
      <c r="AV29" s="111"/>
    </row>
    <row r="30" spans="1:48" ht="16.3">
      <c r="A30" s="234" t="s">
        <v>362</v>
      </c>
      <c r="B30" s="538">
        <f>SUM(L30+M30+N30+O30+P30+U30+X30+Y30+Z30+AC30+AK30+AL30+AK30+AO30+AR30+AS30+AU30+AV30+AW30+AX30+AP30)+1</f>
        <v>1</v>
      </c>
      <c r="C30" s="215">
        <f>SUM(L30+M30+N30+O30+P30+U30+Y30+Z30+X30+AC30+AL30+AK30+AL30+AP30+AS30+AO30+AV30+AW30+AX30+AY30+AR30+AU30)+1</f>
        <v>1</v>
      </c>
      <c r="D30" s="133"/>
      <c r="E30" s="134"/>
      <c r="F30" s="135"/>
      <c r="G30" s="136"/>
      <c r="H30" s="683"/>
      <c r="I30" s="676"/>
      <c r="J30" s="96"/>
      <c r="K30" s="96"/>
      <c r="L30" s="104"/>
      <c r="M30" s="75"/>
      <c r="N30" s="75"/>
      <c r="O30" s="75"/>
      <c r="P30" s="75"/>
      <c r="Q30" s="105"/>
      <c r="R30" s="105"/>
      <c r="S30" s="96"/>
      <c r="T30" s="109"/>
      <c r="U30" s="100"/>
      <c r="V30" s="110"/>
      <c r="W30" s="110"/>
      <c r="X30" s="100"/>
      <c r="Y30" s="100"/>
      <c r="Z30" s="100"/>
      <c r="AA30" s="110"/>
      <c r="AB30" s="110"/>
      <c r="AC30" s="100"/>
      <c r="AD30" s="109"/>
      <c r="AE30" s="109"/>
      <c r="AF30" s="109"/>
      <c r="AG30" s="108"/>
      <c r="AH30" s="109"/>
      <c r="AI30" s="108"/>
      <c r="AJ30" s="111"/>
      <c r="AK30" s="100"/>
      <c r="AL30" s="110"/>
      <c r="AM30" s="110"/>
      <c r="AN30" s="100"/>
      <c r="AO30" s="100"/>
      <c r="AP30" s="100"/>
      <c r="AQ30" s="100"/>
      <c r="AR30" s="100"/>
      <c r="AS30" s="100"/>
      <c r="AT30" s="100"/>
      <c r="AU30" s="111"/>
      <c r="AV30" s="111"/>
    </row>
    <row r="31" spans="1:48" ht="16.3">
      <c r="A31" s="87" t="s">
        <v>3</v>
      </c>
      <c r="B31" s="539">
        <f>SUM(L31+M31+N31+O31+P31+U31+X31+Y31+Z31+AC31+AK31+AL31+AK31+AO31+AR31+AS31+AU31+AV31+AW31+AX31+AP31)+25</f>
        <v>26</v>
      </c>
      <c r="C31" s="214">
        <f>SUM(L31+M31+N31+O31+P31+U31+Y31+Z31+X31+AC31+AL31+AK31+AL31+AP31+AS31+AO31+AV31+AW31+AX31+AY31+AR31+AU31)+25</f>
        <v>26</v>
      </c>
      <c r="D31" s="133"/>
      <c r="E31" s="134"/>
      <c r="F31" s="135"/>
      <c r="G31" s="136"/>
      <c r="H31" s="683"/>
      <c r="I31" s="676"/>
      <c r="J31" s="96"/>
      <c r="K31" s="96">
        <v>2</v>
      </c>
      <c r="L31" s="104"/>
      <c r="M31" s="75"/>
      <c r="N31" s="75"/>
      <c r="O31" s="75"/>
      <c r="P31" s="75"/>
      <c r="Q31" s="105"/>
      <c r="R31" s="105"/>
      <c r="S31" s="96"/>
      <c r="T31" s="109"/>
      <c r="U31" s="100"/>
      <c r="V31" s="110"/>
      <c r="W31" s="110"/>
      <c r="X31" s="100"/>
      <c r="Y31" s="100"/>
      <c r="Z31" s="100"/>
      <c r="AA31" s="110">
        <v>2</v>
      </c>
      <c r="AB31" s="110"/>
      <c r="AC31" s="100">
        <v>1</v>
      </c>
      <c r="AD31" s="109"/>
      <c r="AE31" s="109"/>
      <c r="AF31" s="109">
        <v>2</v>
      </c>
      <c r="AG31" s="108"/>
      <c r="AH31" s="109"/>
      <c r="AI31" s="108"/>
      <c r="AJ31" s="111"/>
      <c r="AK31" s="100"/>
      <c r="AL31" s="110"/>
      <c r="AM31" s="110"/>
      <c r="AN31" s="100"/>
      <c r="AO31" s="100"/>
      <c r="AP31" s="100"/>
      <c r="AQ31" s="100"/>
      <c r="AR31" s="100"/>
      <c r="AS31" s="100"/>
      <c r="AT31" s="100"/>
      <c r="AU31" s="111"/>
      <c r="AV31" s="111"/>
    </row>
    <row r="32" spans="1:48" ht="17" thickBot="1">
      <c r="A32" s="88" t="s">
        <v>4</v>
      </c>
      <c r="B32" s="541">
        <f>SUM(L32+M32+N32+O32+P32+U32+X32+Y32+Z32+AC32+AK32+AL32+AK32+AO32+AR32+AS32+AU32+AV32+AW32+AX32+AP32)+125</f>
        <v>130</v>
      </c>
      <c r="C32" s="217">
        <f>SUM(L32+M32+N32+O32+P32+U32+Y32+Z32+X32+AC32+AL32+AK32+AL32+AP32+AS32+AO32+AV32+AW32+AX32+AY32+AR32+AU32)+125</f>
        <v>130</v>
      </c>
      <c r="D32" s="144"/>
      <c r="E32" s="145"/>
      <c r="F32" s="146"/>
      <c r="G32" s="147"/>
      <c r="H32" s="684"/>
      <c r="I32" s="677"/>
      <c r="J32" s="114"/>
      <c r="K32" s="114">
        <v>10</v>
      </c>
      <c r="L32" s="113"/>
      <c r="M32" s="112"/>
      <c r="N32" s="112"/>
      <c r="O32" s="112"/>
      <c r="P32" s="112"/>
      <c r="Q32" s="127"/>
      <c r="R32" s="127"/>
      <c r="S32" s="114"/>
      <c r="T32" s="118"/>
      <c r="U32" s="116"/>
      <c r="V32" s="119"/>
      <c r="W32" s="120"/>
      <c r="X32" s="116"/>
      <c r="Y32" s="116"/>
      <c r="Z32" s="116"/>
      <c r="AA32" s="120">
        <v>10</v>
      </c>
      <c r="AB32" s="120"/>
      <c r="AC32" s="116">
        <v>5</v>
      </c>
      <c r="AD32" s="118"/>
      <c r="AE32" s="118"/>
      <c r="AF32" s="118">
        <v>10</v>
      </c>
      <c r="AG32" s="117"/>
      <c r="AH32" s="118"/>
      <c r="AI32" s="117"/>
      <c r="AJ32" s="121"/>
      <c r="AK32" s="116"/>
      <c r="AL32" s="120"/>
      <c r="AM32" s="120"/>
      <c r="AN32" s="116"/>
      <c r="AO32" s="116"/>
      <c r="AP32" s="116"/>
      <c r="AQ32" s="116"/>
      <c r="AR32" s="116"/>
      <c r="AS32" s="116"/>
      <c r="AT32" s="116"/>
      <c r="AU32" s="121"/>
      <c r="AV32" s="121"/>
    </row>
    <row r="33" spans="1:48" ht="21.1">
      <c r="A33" s="82" t="s">
        <v>606</v>
      </c>
      <c r="B33" s="539"/>
      <c r="C33" s="214"/>
      <c r="D33" s="133"/>
      <c r="E33" s="134"/>
      <c r="F33" s="135"/>
      <c r="G33" s="136"/>
      <c r="H33" s="683"/>
      <c r="I33" s="676"/>
      <c r="J33" s="96" t="s">
        <v>438</v>
      </c>
      <c r="K33" s="96"/>
      <c r="L33" s="104" t="s">
        <v>375</v>
      </c>
      <c r="M33" s="75" t="s">
        <v>375</v>
      </c>
      <c r="N33" s="75"/>
      <c r="O33" s="75" t="s">
        <v>695</v>
      </c>
      <c r="P33" s="75" t="s">
        <v>383</v>
      </c>
      <c r="Q33" s="105"/>
      <c r="R33" s="105"/>
      <c r="S33" s="96" t="s">
        <v>816</v>
      </c>
      <c r="T33" s="109" t="s">
        <v>375</v>
      </c>
      <c r="U33" s="100" t="s">
        <v>383</v>
      </c>
      <c r="V33" s="110" t="s">
        <v>383</v>
      </c>
      <c r="W33" s="110"/>
      <c r="X33" s="100" t="s">
        <v>383</v>
      </c>
      <c r="Y33" s="100"/>
      <c r="Z33" s="100"/>
      <c r="AA33" s="110">
        <v>14</v>
      </c>
      <c r="AB33" s="110" t="s">
        <v>441</v>
      </c>
      <c r="AC33" s="100" t="s">
        <v>695</v>
      </c>
      <c r="AD33" s="109"/>
      <c r="AE33" s="109" t="s">
        <v>984</v>
      </c>
      <c r="AF33" s="109"/>
      <c r="AG33" s="108"/>
      <c r="AH33" s="109"/>
      <c r="AI33" s="108"/>
      <c r="AJ33" s="111"/>
      <c r="AK33" s="100"/>
      <c r="AL33" s="110"/>
      <c r="AM33" s="110"/>
      <c r="AN33" s="100"/>
      <c r="AO33" s="100"/>
      <c r="AP33" s="100"/>
      <c r="AQ33" s="100"/>
      <c r="AR33" s="100"/>
      <c r="AS33" s="100"/>
      <c r="AT33" s="100"/>
      <c r="AU33" s="111"/>
      <c r="AV33" s="111"/>
    </row>
    <row r="34" spans="1:48" ht="16.3">
      <c r="A34" s="234" t="s">
        <v>1</v>
      </c>
      <c r="B34" s="538">
        <f>SUM(L34+M34+N34+O34+P34+U34+X34+Y34+Z34+AC34+AK34+AL34+AK34+AO34+AR34+AS34+AU34+AV34+AW34+AX34+AP34)</f>
        <v>5</v>
      </c>
      <c r="C34" s="215">
        <f>SUM(L34+M34+N34+O34+P34+U34+Y34+Z34+X34+AC34+AL34+AK34+AL34+AP34+AS34+AO34+AV34+AW34+AX34+AY34+AR34+AU34)</f>
        <v>5</v>
      </c>
      <c r="D34" s="133"/>
      <c r="E34" s="134"/>
      <c r="F34" s="135"/>
      <c r="G34" s="136"/>
      <c r="H34" s="683"/>
      <c r="I34" s="676"/>
      <c r="J34" s="96">
        <v>1</v>
      </c>
      <c r="K34" s="96"/>
      <c r="L34" s="104"/>
      <c r="M34" s="75"/>
      <c r="N34" s="75"/>
      <c r="O34" s="75">
        <v>1</v>
      </c>
      <c r="P34" s="75">
        <v>1</v>
      </c>
      <c r="Q34" s="105"/>
      <c r="R34" s="105"/>
      <c r="S34" s="96"/>
      <c r="T34" s="109"/>
      <c r="U34" s="100">
        <v>1</v>
      </c>
      <c r="V34" s="110">
        <v>1</v>
      </c>
      <c r="W34" s="110"/>
      <c r="X34" s="100">
        <v>1</v>
      </c>
      <c r="Y34" s="100"/>
      <c r="Z34" s="100"/>
      <c r="AA34" s="110">
        <v>1</v>
      </c>
      <c r="AB34" s="110"/>
      <c r="AC34" s="100">
        <v>1</v>
      </c>
      <c r="AD34" s="109"/>
      <c r="AE34" s="109"/>
      <c r="AF34" s="109"/>
      <c r="AG34" s="108"/>
      <c r="AH34" s="109"/>
      <c r="AI34" s="108"/>
      <c r="AJ34" s="111"/>
      <c r="AK34" s="100"/>
      <c r="AL34" s="110"/>
      <c r="AM34" s="110"/>
      <c r="AN34" s="100"/>
      <c r="AO34" s="100"/>
      <c r="AP34" s="100"/>
      <c r="AQ34" s="100"/>
      <c r="AR34" s="100"/>
      <c r="AS34" s="100"/>
      <c r="AT34" s="100"/>
      <c r="AU34" s="111"/>
      <c r="AV34" s="111"/>
    </row>
    <row r="35" spans="1:48" ht="16.3">
      <c r="A35" s="234" t="s">
        <v>2</v>
      </c>
      <c r="B35" s="538">
        <f>SUM(L35+M35+N35+O35+P35+U35+X35+Y35+Z35+AC35+AK35+AL35+AK35+AO35+AR35+AS35+AU35+AV35+AW35+AX35+AP35)</f>
        <v>2</v>
      </c>
      <c r="C35" s="215">
        <f>SUM(L35+M35+N35+O35+P35+U35+Y35+Z35+X35+AC35+AL35+AK35+AL35+AP35+AS35+AO35+AV35+AW35+AX35+AY35+AR35+AU35)</f>
        <v>2</v>
      </c>
      <c r="D35" s="133"/>
      <c r="E35" s="134"/>
      <c r="F35" s="135"/>
      <c r="G35" s="136"/>
      <c r="H35" s="683"/>
      <c r="I35" s="676"/>
      <c r="J35" s="96"/>
      <c r="K35" s="96"/>
      <c r="L35" s="104">
        <v>1</v>
      </c>
      <c r="M35" s="75">
        <v>1</v>
      </c>
      <c r="N35" s="75"/>
      <c r="O35" s="75"/>
      <c r="P35" s="75"/>
      <c r="Q35" s="105"/>
      <c r="R35" s="105"/>
      <c r="S35" s="96"/>
      <c r="T35" s="109">
        <v>1</v>
      </c>
      <c r="U35" s="100"/>
      <c r="V35" s="110"/>
      <c r="W35" s="110"/>
      <c r="X35" s="100"/>
      <c r="Y35" s="100"/>
      <c r="Z35" s="100"/>
      <c r="AA35" s="110"/>
      <c r="AB35" s="110">
        <v>1</v>
      </c>
      <c r="AC35" s="100"/>
      <c r="AD35" s="109"/>
      <c r="AE35" s="109"/>
      <c r="AF35" s="109"/>
      <c r="AG35" s="108"/>
      <c r="AH35" s="109"/>
      <c r="AI35" s="108"/>
      <c r="AJ35" s="111"/>
      <c r="AK35" s="100"/>
      <c r="AL35" s="110"/>
      <c r="AM35" s="110"/>
      <c r="AN35" s="100"/>
      <c r="AO35" s="100"/>
      <c r="AP35" s="100"/>
      <c r="AQ35" s="100"/>
      <c r="AR35" s="100"/>
      <c r="AS35" s="100"/>
      <c r="AT35" s="100"/>
      <c r="AU35" s="111"/>
      <c r="AV35" s="111"/>
    </row>
    <row r="36" spans="1:48" ht="16.3">
      <c r="A36" s="87" t="s">
        <v>363</v>
      </c>
      <c r="B36" s="539">
        <f>SUM(B34+B35)</f>
        <v>7</v>
      </c>
      <c r="C36" s="214">
        <f>SUM(C34+C35)</f>
        <v>7</v>
      </c>
      <c r="D36" s="133"/>
      <c r="E36" s="134"/>
      <c r="F36" s="135"/>
      <c r="G36" s="136"/>
      <c r="H36" s="683"/>
      <c r="I36" s="676"/>
      <c r="J36" s="96"/>
      <c r="K36" s="96"/>
      <c r="L36" s="104"/>
      <c r="M36" s="75"/>
      <c r="N36" s="75"/>
      <c r="O36" s="75"/>
      <c r="P36" s="75"/>
      <c r="Q36" s="105"/>
      <c r="R36" s="105"/>
      <c r="S36" s="96"/>
      <c r="T36" s="109"/>
      <c r="U36" s="100"/>
      <c r="V36" s="110"/>
      <c r="W36" s="110"/>
      <c r="X36" s="100"/>
      <c r="Y36" s="100"/>
      <c r="Z36" s="100"/>
      <c r="AA36" s="110"/>
      <c r="AB36" s="110"/>
      <c r="AC36" s="100"/>
      <c r="AD36" s="109"/>
      <c r="AE36" s="109"/>
      <c r="AF36" s="109"/>
      <c r="AG36" s="108"/>
      <c r="AH36" s="109"/>
      <c r="AI36" s="108"/>
      <c r="AJ36" s="111"/>
      <c r="AK36" s="100"/>
      <c r="AL36" s="110"/>
      <c r="AM36" s="110"/>
      <c r="AN36" s="100"/>
      <c r="AO36" s="100"/>
      <c r="AP36" s="100"/>
      <c r="AQ36" s="100"/>
      <c r="AR36" s="100"/>
      <c r="AS36" s="100"/>
      <c r="AT36" s="100"/>
      <c r="AU36" s="111"/>
      <c r="AV36" s="111"/>
    </row>
    <row r="37" spans="1:48" ht="16.3">
      <c r="A37" s="234" t="s">
        <v>362</v>
      </c>
      <c r="B37" s="538">
        <f>SUM(L37+M37+N37+O37+P37+U37+X37+Y37+Z37+AC37+AK37+AL37+AK37+AO37+AR37+AS37+AU37+AV37+AW37+AX37+AP37)</f>
        <v>0</v>
      </c>
      <c r="C37" s="215">
        <f>SUM(L37+M37+N37+O37+P37+U37+Y37+Z37+X37+AC37+AL37+AK37+AL37+AP37+AS37+AO37+AV37+AW37+AX37+AY37+AR37+AU37)</f>
        <v>0</v>
      </c>
      <c r="D37" s="133"/>
      <c r="E37" s="134"/>
      <c r="F37" s="135"/>
      <c r="G37" s="136"/>
      <c r="H37" s="683"/>
      <c r="I37" s="676"/>
      <c r="J37" s="96"/>
      <c r="K37" s="96"/>
      <c r="L37" s="104"/>
      <c r="M37" s="75"/>
      <c r="N37" s="75"/>
      <c r="O37" s="75"/>
      <c r="P37" s="75"/>
      <c r="Q37" s="105"/>
      <c r="R37" s="105"/>
      <c r="S37" s="96"/>
      <c r="T37" s="109"/>
      <c r="U37" s="100"/>
      <c r="V37" s="110"/>
      <c r="W37" s="110"/>
      <c r="X37" s="100"/>
      <c r="Y37" s="100"/>
      <c r="Z37" s="100"/>
      <c r="AA37" s="110"/>
      <c r="AB37" s="110">
        <v>1</v>
      </c>
      <c r="AC37" s="100"/>
      <c r="AD37" s="109"/>
      <c r="AE37" s="109"/>
      <c r="AF37" s="109"/>
      <c r="AG37" s="108"/>
      <c r="AH37" s="109"/>
      <c r="AI37" s="108"/>
      <c r="AJ37" s="111"/>
      <c r="AK37" s="100"/>
      <c r="AL37" s="110"/>
      <c r="AM37" s="110"/>
      <c r="AN37" s="100"/>
      <c r="AO37" s="100"/>
      <c r="AP37" s="100"/>
      <c r="AQ37" s="100"/>
      <c r="AR37" s="100"/>
      <c r="AS37" s="100"/>
      <c r="AT37" s="100"/>
      <c r="AU37" s="111"/>
      <c r="AV37" s="111"/>
    </row>
    <row r="38" spans="1:48" ht="16.3">
      <c r="A38" s="87" t="s">
        <v>3</v>
      </c>
      <c r="B38" s="539">
        <f>SUM(L38+M38+N38+O38+P38+U38+X38+Y38+Z38+AC38+AK38+AL38+AK38+AO38+AR38+AS38+AU38+AV38+AW38+AX38+AP38)</f>
        <v>12</v>
      </c>
      <c r="C38" s="214">
        <f>SUM(L38+M38+N38+O38+P38+U38+Y38+Z38+X38+AC38+AL38+AK38+AL38+AP38+AS38+AO38+AV38+AW38+AX38+AY38+AR38+AU38)</f>
        <v>12</v>
      </c>
      <c r="D38" s="133"/>
      <c r="E38" s="134"/>
      <c r="F38" s="135"/>
      <c r="G38" s="136"/>
      <c r="H38" s="683"/>
      <c r="I38" s="676"/>
      <c r="J38" s="96"/>
      <c r="K38" s="96"/>
      <c r="L38" s="104">
        <v>1</v>
      </c>
      <c r="M38" s="75"/>
      <c r="N38" s="75"/>
      <c r="O38" s="168">
        <v>5</v>
      </c>
      <c r="P38" s="75"/>
      <c r="Q38" s="105"/>
      <c r="R38" s="105"/>
      <c r="S38" s="96"/>
      <c r="T38" s="109"/>
      <c r="U38" s="100"/>
      <c r="V38" s="110">
        <v>1</v>
      </c>
      <c r="W38" s="110"/>
      <c r="X38" s="100">
        <v>2</v>
      </c>
      <c r="Y38" s="100"/>
      <c r="Z38" s="100"/>
      <c r="AA38" s="110"/>
      <c r="AB38" s="110"/>
      <c r="AC38" s="100">
        <v>4</v>
      </c>
      <c r="AD38" s="109"/>
      <c r="AE38" s="109"/>
      <c r="AF38" s="109"/>
      <c r="AG38" s="108"/>
      <c r="AH38" s="109"/>
      <c r="AI38" s="108"/>
      <c r="AJ38" s="111"/>
      <c r="AK38" s="100"/>
      <c r="AL38" s="110"/>
      <c r="AM38" s="110"/>
      <c r="AN38" s="100"/>
      <c r="AO38" s="100"/>
      <c r="AP38" s="100"/>
      <c r="AQ38" s="100"/>
      <c r="AR38" s="100"/>
      <c r="AS38" s="100"/>
      <c r="AT38" s="100"/>
      <c r="AU38" s="111"/>
      <c r="AV38" s="111"/>
    </row>
    <row r="39" spans="1:48" ht="17" thickBot="1">
      <c r="A39" s="88" t="s">
        <v>4</v>
      </c>
      <c r="B39" s="541">
        <f>SUM(L39+M39+N39+O39+P39+U39+X39+Y39+Z39+AC39+AK39+AL39+AK39+AO39+AR39+AS39+AU39+AV39+AW39+AX39+AP39)</f>
        <v>60</v>
      </c>
      <c r="C39" s="217">
        <f>SUM(L39+M39+N39+O39+P39+U39+Y39+Z39+X39+AC39+AL39+AK39+AL39+AP39+AS39+AO39+AV39+AW39+AX39+AY39+AR39+AU39)</f>
        <v>60</v>
      </c>
      <c r="D39" s="144"/>
      <c r="E39" s="145"/>
      <c r="F39" s="146"/>
      <c r="G39" s="147"/>
      <c r="H39" s="684"/>
      <c r="I39" s="677"/>
      <c r="J39" s="114"/>
      <c r="K39" s="114"/>
      <c r="L39" s="113">
        <v>5</v>
      </c>
      <c r="M39" s="112"/>
      <c r="N39" s="112"/>
      <c r="O39" s="183">
        <v>25</v>
      </c>
      <c r="P39" s="112"/>
      <c r="Q39" s="127"/>
      <c r="R39" s="127"/>
      <c r="S39" s="114"/>
      <c r="T39" s="118"/>
      <c r="U39" s="116"/>
      <c r="V39" s="120">
        <v>5</v>
      </c>
      <c r="W39" s="120"/>
      <c r="X39" s="116">
        <v>10</v>
      </c>
      <c r="Y39" s="116"/>
      <c r="Z39" s="116"/>
      <c r="AA39" s="120"/>
      <c r="AB39" s="120"/>
      <c r="AC39" s="116">
        <v>20</v>
      </c>
      <c r="AD39" s="118"/>
      <c r="AE39" s="118"/>
      <c r="AF39" s="118"/>
      <c r="AG39" s="117"/>
      <c r="AH39" s="118"/>
      <c r="AI39" s="117"/>
      <c r="AJ39" s="121"/>
      <c r="AK39" s="116"/>
      <c r="AL39" s="120"/>
      <c r="AM39" s="120"/>
      <c r="AN39" s="116"/>
      <c r="AO39" s="116"/>
      <c r="AP39" s="116"/>
      <c r="AQ39" s="116"/>
      <c r="AR39" s="116"/>
      <c r="AS39" s="116"/>
      <c r="AT39" s="116"/>
      <c r="AU39" s="121"/>
      <c r="AV39" s="121"/>
    </row>
    <row r="40" spans="1:48" ht="21.1">
      <c r="A40" s="82" t="s">
        <v>204</v>
      </c>
      <c r="B40" s="539"/>
      <c r="C40" s="214"/>
      <c r="D40" s="133"/>
      <c r="E40" s="134"/>
      <c r="F40" s="135"/>
      <c r="G40" s="136"/>
      <c r="H40" s="683"/>
      <c r="I40" s="676"/>
      <c r="J40" s="96" t="s">
        <v>339</v>
      </c>
      <c r="K40" s="96" t="s">
        <v>339</v>
      </c>
      <c r="L40" s="104" t="s">
        <v>339</v>
      </c>
      <c r="M40" s="75" t="s">
        <v>339</v>
      </c>
      <c r="N40" s="75" t="s">
        <v>339</v>
      </c>
      <c r="O40" s="75" t="s">
        <v>339</v>
      </c>
      <c r="P40" s="75" t="s">
        <v>339</v>
      </c>
      <c r="Q40" s="105"/>
      <c r="R40" s="105"/>
      <c r="S40" s="96" t="s">
        <v>339</v>
      </c>
      <c r="T40" s="109" t="s">
        <v>339</v>
      </c>
      <c r="U40" s="100" t="s">
        <v>339</v>
      </c>
      <c r="V40" s="110" t="s">
        <v>339</v>
      </c>
      <c r="W40" s="110" t="s">
        <v>339</v>
      </c>
      <c r="X40" s="100" t="s">
        <v>339</v>
      </c>
      <c r="Y40" s="100" t="s">
        <v>339</v>
      </c>
      <c r="Z40" s="100" t="s">
        <v>339</v>
      </c>
      <c r="AA40" s="110" t="s">
        <v>339</v>
      </c>
      <c r="AB40" s="110" t="s">
        <v>339</v>
      </c>
      <c r="AC40" s="100" t="s">
        <v>339</v>
      </c>
      <c r="AD40" s="109" t="s">
        <v>339</v>
      </c>
      <c r="AE40" s="109" t="s">
        <v>339</v>
      </c>
      <c r="AF40" s="109" t="s">
        <v>339</v>
      </c>
      <c r="AG40" s="108"/>
      <c r="AH40" s="109" t="s">
        <v>383</v>
      </c>
      <c r="AI40" s="108"/>
      <c r="AJ40" s="111"/>
      <c r="AK40" s="100"/>
      <c r="AL40" s="110"/>
      <c r="AM40" s="110"/>
      <c r="AN40" s="100"/>
      <c r="AO40" s="100"/>
      <c r="AP40" s="100"/>
      <c r="AQ40" s="100"/>
      <c r="AR40" s="100"/>
      <c r="AS40" s="100"/>
      <c r="AT40" s="100"/>
      <c r="AU40" s="111"/>
      <c r="AV40" s="111"/>
    </row>
    <row r="41" spans="1:48" ht="16.3">
      <c r="A41" s="246" t="s">
        <v>1</v>
      </c>
      <c r="B41" s="538">
        <f>SUM(L41+M41+N41+O41+P41+U41+X41+Y41+Z41+AC41+AK41+AL41+AK41+AO41+AR41+AS41+AU41+AV41+AW41+AX41+AP41)+16</f>
        <v>16</v>
      </c>
      <c r="C41" s="215">
        <f>SUM(L41+M41+N41+O41+P41+U41+Y41+Z41+X41+AC41+AL41+AK41+AL41+AP41+AS41+AO41+AV41+AW41+AX41+AY41+AR41+AU41)+16</f>
        <v>16</v>
      </c>
      <c r="D41" s="133"/>
      <c r="E41" s="134"/>
      <c r="F41" s="135"/>
      <c r="G41" s="136"/>
      <c r="H41" s="683"/>
      <c r="I41" s="676"/>
      <c r="J41" s="96"/>
      <c r="K41" s="96"/>
      <c r="L41" s="104"/>
      <c r="M41" s="75"/>
      <c r="N41" s="75"/>
      <c r="O41" s="75"/>
      <c r="P41" s="75"/>
      <c r="Q41" s="105"/>
      <c r="R41" s="105"/>
      <c r="S41" s="96"/>
      <c r="T41" s="109"/>
      <c r="U41" s="100"/>
      <c r="V41" s="110"/>
      <c r="W41" s="110"/>
      <c r="X41" s="100"/>
      <c r="Y41" s="100"/>
      <c r="Z41" s="100"/>
      <c r="AA41" s="110"/>
      <c r="AB41" s="110"/>
      <c r="AC41" s="100"/>
      <c r="AD41" s="109"/>
      <c r="AE41" s="109"/>
      <c r="AF41" s="109"/>
      <c r="AG41" s="108"/>
      <c r="AH41" s="109">
        <v>1</v>
      </c>
      <c r="AI41" s="108"/>
      <c r="AJ41" s="111"/>
      <c r="AK41" s="100"/>
      <c r="AL41" s="110"/>
      <c r="AM41" s="110"/>
      <c r="AN41" s="100"/>
      <c r="AO41" s="100"/>
      <c r="AP41" s="100"/>
      <c r="AQ41" s="100"/>
      <c r="AR41" s="100"/>
      <c r="AS41" s="100"/>
      <c r="AT41" s="100"/>
      <c r="AU41" s="111"/>
      <c r="AV41" s="111"/>
    </row>
    <row r="42" spans="1:48" ht="16.3">
      <c r="A42" s="246" t="s">
        <v>2</v>
      </c>
      <c r="B42" s="538">
        <f>SUM(L42+M42+N42+O42+P42+U42+X42+Y42+Z42+AC42+AK42+AL42+AK42+AO42+AR42+AS42+AU42+AV42+AW42+AX42+AP42)+1</f>
        <v>1</v>
      </c>
      <c r="C42" s="215">
        <f>SUM(L42+M42+N42+O42+P42+U42+Y42+Z42+X42+AC42+AL42+AK42+AL42+AP42+AS42+AO42+AV42+AW42+AX42+AY42+AR42+AU42)+1</f>
        <v>1</v>
      </c>
      <c r="D42" s="133"/>
      <c r="E42" s="134"/>
      <c r="F42" s="135"/>
      <c r="G42" s="136"/>
      <c r="H42" s="683"/>
      <c r="I42" s="676"/>
      <c r="J42" s="96"/>
      <c r="K42" s="96"/>
      <c r="L42" s="104"/>
      <c r="M42" s="75"/>
      <c r="N42" s="75"/>
      <c r="O42" s="75"/>
      <c r="P42" s="75"/>
      <c r="Q42" s="105"/>
      <c r="R42" s="105"/>
      <c r="S42" s="96"/>
      <c r="T42" s="109"/>
      <c r="U42" s="100"/>
      <c r="V42" s="110"/>
      <c r="W42" s="110"/>
      <c r="X42" s="100"/>
      <c r="Y42" s="100"/>
      <c r="Z42" s="100"/>
      <c r="AA42" s="110"/>
      <c r="AB42" s="110"/>
      <c r="AC42" s="100"/>
      <c r="AD42" s="109"/>
      <c r="AE42" s="109"/>
      <c r="AF42" s="109"/>
      <c r="AG42" s="108"/>
      <c r="AH42" s="109"/>
      <c r="AI42" s="108"/>
      <c r="AJ42" s="111"/>
      <c r="AK42" s="100"/>
      <c r="AL42" s="110"/>
      <c r="AM42" s="110"/>
      <c r="AN42" s="100"/>
      <c r="AO42" s="100"/>
      <c r="AP42" s="100"/>
      <c r="AQ42" s="100"/>
      <c r="AR42" s="100"/>
      <c r="AS42" s="100"/>
      <c r="AT42" s="100"/>
      <c r="AU42" s="111"/>
      <c r="AV42" s="111"/>
    </row>
    <row r="43" spans="1:48" ht="16.3">
      <c r="A43" s="83" t="s">
        <v>363</v>
      </c>
      <c r="B43" s="539">
        <f>SUM(B41+B42)</f>
        <v>17</v>
      </c>
      <c r="C43" s="214">
        <f>SUM(C41+C42)</f>
        <v>17</v>
      </c>
      <c r="D43" s="133"/>
      <c r="E43" s="134"/>
      <c r="F43" s="135"/>
      <c r="G43" s="136"/>
      <c r="H43" s="683"/>
      <c r="I43" s="676"/>
      <c r="J43" s="96"/>
      <c r="K43" s="96"/>
      <c r="L43" s="104"/>
      <c r="M43" s="75"/>
      <c r="N43" s="75"/>
      <c r="O43" s="75"/>
      <c r="P43" s="75"/>
      <c r="Q43" s="105"/>
      <c r="R43" s="105"/>
      <c r="S43" s="96"/>
      <c r="T43" s="109"/>
      <c r="U43" s="100"/>
      <c r="V43" s="110"/>
      <c r="W43" s="110"/>
      <c r="X43" s="100"/>
      <c r="Y43" s="100"/>
      <c r="Z43" s="100"/>
      <c r="AA43" s="110"/>
      <c r="AB43" s="110"/>
      <c r="AC43" s="100"/>
      <c r="AD43" s="109"/>
      <c r="AE43" s="109"/>
      <c r="AF43" s="109"/>
      <c r="AG43" s="108"/>
      <c r="AH43" s="109"/>
      <c r="AI43" s="108"/>
      <c r="AJ43" s="111"/>
      <c r="AK43" s="100"/>
      <c r="AL43" s="110"/>
      <c r="AM43" s="110"/>
      <c r="AN43" s="100"/>
      <c r="AO43" s="100"/>
      <c r="AP43" s="100"/>
      <c r="AQ43" s="100"/>
      <c r="AR43" s="100"/>
      <c r="AS43" s="100"/>
      <c r="AT43" s="100"/>
      <c r="AU43" s="111"/>
      <c r="AV43" s="111"/>
    </row>
    <row r="44" spans="1:48" ht="16.3">
      <c r="A44" s="83" t="s">
        <v>3</v>
      </c>
      <c r="B44" s="539">
        <f>SUM(L44+M44+N44+O44+P44+U44+X44+Y44+Z44+AC44+AK44+AL44+AK44+AO44+AR44+AS44+AU44+AV44+AW44+AX44+AP44)+7</f>
        <v>7</v>
      </c>
      <c r="C44" s="214">
        <f>SUM(L44+M44+N44+O44+P44+U44+Y44+Z44+X44+AC44+AL44+AK44+AL44+AP44+AS44+AO44+AV44+AW44+AX44+AY44+AR44+AU44)+7</f>
        <v>7</v>
      </c>
      <c r="D44" s="133"/>
      <c r="E44" s="134"/>
      <c r="F44" s="135"/>
      <c r="G44" s="136"/>
      <c r="H44" s="683"/>
      <c r="I44" s="676"/>
      <c r="J44" s="96"/>
      <c r="K44" s="96"/>
      <c r="L44" s="104"/>
      <c r="M44" s="75"/>
      <c r="N44" s="75"/>
      <c r="O44" s="75"/>
      <c r="P44" s="75"/>
      <c r="Q44" s="105"/>
      <c r="R44" s="105"/>
      <c r="S44" s="96"/>
      <c r="T44" s="109"/>
      <c r="U44" s="100"/>
      <c r="V44" s="110"/>
      <c r="W44" s="110"/>
      <c r="X44" s="100"/>
      <c r="Y44" s="100"/>
      <c r="Z44" s="100"/>
      <c r="AA44" s="110"/>
      <c r="AB44" s="110"/>
      <c r="AC44" s="100"/>
      <c r="AD44" s="109"/>
      <c r="AE44" s="109"/>
      <c r="AF44" s="109"/>
      <c r="AG44" s="108"/>
      <c r="AH44" s="109"/>
      <c r="AI44" s="108"/>
      <c r="AJ44" s="111"/>
      <c r="AK44" s="100"/>
      <c r="AL44" s="110"/>
      <c r="AM44" s="110"/>
      <c r="AN44" s="100"/>
      <c r="AO44" s="100"/>
      <c r="AP44" s="100"/>
      <c r="AQ44" s="100"/>
      <c r="AR44" s="100"/>
      <c r="AS44" s="100"/>
      <c r="AT44" s="100"/>
      <c r="AU44" s="111"/>
      <c r="AV44" s="111"/>
    </row>
    <row r="45" spans="1:48" ht="17" thickBot="1">
      <c r="A45" s="85" t="s">
        <v>4</v>
      </c>
      <c r="B45" s="541">
        <f>SUM(L45+M45+N45+O45+P45+U45+X45+Y45+Z45+AC45+AK45+AL45+AK45+AO45+AR45+AS45+AU45+AV45+AW45+AX45+AP45)+35</f>
        <v>35</v>
      </c>
      <c r="C45" s="217">
        <f>SUM(L45+M45+N45+O45+P45+U45+Y45+Z45+X45+AC45+AL45+AK45+AL45+AP45+AS45+AO45+AV45+AW45+AX45+AY45+AR45+AU45)+35</f>
        <v>35</v>
      </c>
      <c r="D45" s="144"/>
      <c r="E45" s="145"/>
      <c r="F45" s="146"/>
      <c r="G45" s="147"/>
      <c r="H45" s="684"/>
      <c r="I45" s="677"/>
      <c r="J45" s="114"/>
      <c r="K45" s="114"/>
      <c r="L45" s="113"/>
      <c r="M45" s="112"/>
      <c r="N45" s="112"/>
      <c r="O45" s="112"/>
      <c r="P45" s="112"/>
      <c r="Q45" s="127"/>
      <c r="R45" s="127"/>
      <c r="S45" s="114"/>
      <c r="T45" s="118"/>
      <c r="U45" s="116"/>
      <c r="V45" s="120"/>
      <c r="W45" s="120"/>
      <c r="X45" s="116"/>
      <c r="Y45" s="112"/>
      <c r="Z45" s="116"/>
      <c r="AA45" s="120"/>
      <c r="AB45" s="120"/>
      <c r="AC45" s="116"/>
      <c r="AD45" s="118"/>
      <c r="AE45" s="118"/>
      <c r="AF45" s="118"/>
      <c r="AG45" s="117"/>
      <c r="AH45" s="118"/>
      <c r="AI45" s="117"/>
      <c r="AJ45" s="121"/>
      <c r="AK45" s="116"/>
      <c r="AL45" s="120"/>
      <c r="AM45" s="120"/>
      <c r="AN45" s="116"/>
      <c r="AO45" s="116"/>
      <c r="AP45" s="116"/>
      <c r="AQ45" s="116"/>
      <c r="AR45" s="116"/>
      <c r="AS45" s="116"/>
      <c r="AT45" s="116"/>
      <c r="AU45" s="121"/>
      <c r="AV45" s="121"/>
    </row>
    <row r="46" spans="1:48" ht="21.1">
      <c r="A46" s="86" t="s">
        <v>205</v>
      </c>
      <c r="B46" s="539"/>
      <c r="C46" s="214"/>
      <c r="D46" s="133"/>
      <c r="E46" s="134"/>
      <c r="F46" s="135"/>
      <c r="G46" s="136"/>
      <c r="H46" s="683"/>
      <c r="I46" s="676"/>
      <c r="J46" s="96" t="s">
        <v>375</v>
      </c>
      <c r="K46" s="96" t="s">
        <v>375</v>
      </c>
      <c r="L46" s="104" t="s">
        <v>383</v>
      </c>
      <c r="M46" s="75"/>
      <c r="N46" s="75" t="s">
        <v>375</v>
      </c>
      <c r="O46" s="75"/>
      <c r="P46" s="75"/>
      <c r="Q46" s="105"/>
      <c r="R46" s="105"/>
      <c r="S46" s="96">
        <v>11</v>
      </c>
      <c r="T46" s="109">
        <v>11</v>
      </c>
      <c r="U46" s="100"/>
      <c r="V46" s="110"/>
      <c r="W46" s="110"/>
      <c r="X46" s="100"/>
      <c r="Y46" s="100"/>
      <c r="Z46" s="100"/>
      <c r="AA46" s="110"/>
      <c r="AB46" s="110"/>
      <c r="AC46" s="100"/>
      <c r="AD46" s="109">
        <v>11</v>
      </c>
      <c r="AE46" s="109">
        <v>11</v>
      </c>
      <c r="AF46" s="109">
        <v>14</v>
      </c>
      <c r="AG46" s="108"/>
      <c r="AH46" s="109">
        <v>11</v>
      </c>
      <c r="AI46" s="108"/>
      <c r="AJ46" s="111"/>
      <c r="AK46" s="100"/>
      <c r="AL46" s="110"/>
      <c r="AM46" s="110"/>
      <c r="AN46" s="100"/>
      <c r="AO46" s="100"/>
      <c r="AP46" s="100"/>
      <c r="AQ46" s="100"/>
      <c r="AR46" s="100"/>
      <c r="AS46" s="100"/>
      <c r="AT46" s="100"/>
      <c r="AU46" s="111"/>
      <c r="AV46" s="111"/>
    </row>
    <row r="47" spans="1:48" ht="16.3">
      <c r="A47" s="246" t="s">
        <v>1</v>
      </c>
      <c r="B47" s="538">
        <f>SUM(L47+M47+N47+O47+P47+U47+X47+Y47+Z47+AC47+AK47+AL47+AK47+AO47+AR47+AS47+AU47+AV47+AW47+AX47+AP47)+2</f>
        <v>3</v>
      </c>
      <c r="C47" s="215">
        <f>SUM(L47+M47+N47+O47+P47+U47+Y47+Z47+X47+AC47+AL47+AK47+AL47+AP47+AS47+AO47+AV47+AW47+AX47+AY47+AR47+AU47)+2</f>
        <v>3</v>
      </c>
      <c r="D47" s="133"/>
      <c r="E47" s="134"/>
      <c r="F47" s="135"/>
      <c r="G47" s="136"/>
      <c r="H47" s="683"/>
      <c r="I47" s="676"/>
      <c r="J47" s="96"/>
      <c r="K47" s="96"/>
      <c r="L47" s="104">
        <v>1</v>
      </c>
      <c r="M47" s="75"/>
      <c r="N47" s="75"/>
      <c r="O47" s="75"/>
      <c r="P47" s="75"/>
      <c r="Q47" s="105"/>
      <c r="R47" s="105"/>
      <c r="S47" s="96">
        <v>1</v>
      </c>
      <c r="T47" s="109">
        <v>1</v>
      </c>
      <c r="U47" s="100"/>
      <c r="V47" s="110"/>
      <c r="W47" s="110"/>
      <c r="X47" s="100"/>
      <c r="Y47" s="100"/>
      <c r="Z47" s="100"/>
      <c r="AA47" s="110"/>
      <c r="AB47" s="110"/>
      <c r="AC47" s="100"/>
      <c r="AD47" s="109">
        <v>1</v>
      </c>
      <c r="AE47" s="109">
        <v>1</v>
      </c>
      <c r="AF47" s="109">
        <v>1</v>
      </c>
      <c r="AG47" s="108"/>
      <c r="AH47" s="109">
        <v>1</v>
      </c>
      <c r="AI47" s="108"/>
      <c r="AJ47" s="111"/>
      <c r="AK47" s="100"/>
      <c r="AL47" s="110"/>
      <c r="AM47" s="110"/>
      <c r="AN47" s="100"/>
      <c r="AO47" s="100"/>
      <c r="AP47" s="100"/>
      <c r="AQ47" s="100"/>
      <c r="AR47" s="100"/>
      <c r="AS47" s="100"/>
      <c r="AT47" s="100"/>
      <c r="AU47" s="111"/>
      <c r="AV47" s="111"/>
    </row>
    <row r="48" spans="1:48" ht="16.3">
      <c r="A48" s="246" t="s">
        <v>2</v>
      </c>
      <c r="B48" s="538">
        <f>SUM(L48+M48+N48+O48+P48+U48+X48+Y48+Z48+AC48+AK48+AL48+AK48+AO48+AR48+AS48+AU48+AV48+AW48+AX48+AP48)+4</f>
        <v>5</v>
      </c>
      <c r="C48" s="215">
        <f>SUM(L48+M48+N48+O48+P48+U48+Y48+Z48+X48+AC48+AL48+AK48+AL48+AP48+AS48+AO48+AV48+AW48+AX48+AY48+AR48+AU48)+4</f>
        <v>5</v>
      </c>
      <c r="D48" s="133"/>
      <c r="E48" s="134"/>
      <c r="F48" s="135"/>
      <c r="G48" s="136"/>
      <c r="H48" s="683"/>
      <c r="I48" s="676"/>
      <c r="J48" s="96">
        <v>1</v>
      </c>
      <c r="K48" s="96">
        <v>1</v>
      </c>
      <c r="L48" s="104"/>
      <c r="M48" s="75"/>
      <c r="N48" s="75">
        <v>1</v>
      </c>
      <c r="O48" s="75"/>
      <c r="P48" s="75"/>
      <c r="Q48" s="105"/>
      <c r="R48" s="105"/>
      <c r="S48" s="96"/>
      <c r="T48" s="109"/>
      <c r="U48" s="100"/>
      <c r="V48" s="110"/>
      <c r="W48" s="110"/>
      <c r="X48" s="100"/>
      <c r="Y48" s="100"/>
      <c r="Z48" s="100"/>
      <c r="AA48" s="110"/>
      <c r="AB48" s="110"/>
      <c r="AC48" s="100"/>
      <c r="AD48" s="109"/>
      <c r="AE48" s="109"/>
      <c r="AF48" s="109"/>
      <c r="AG48" s="108"/>
      <c r="AH48" s="109"/>
      <c r="AI48" s="108"/>
      <c r="AJ48" s="111"/>
      <c r="AK48" s="100"/>
      <c r="AL48" s="110"/>
      <c r="AM48" s="110"/>
      <c r="AN48" s="100"/>
      <c r="AO48" s="100"/>
      <c r="AP48" s="100"/>
      <c r="AQ48" s="100"/>
      <c r="AR48" s="100"/>
      <c r="AS48" s="100"/>
      <c r="AT48" s="100"/>
      <c r="AU48" s="111"/>
      <c r="AV48" s="111"/>
    </row>
    <row r="49" spans="1:48" ht="16.3">
      <c r="A49" s="83" t="s">
        <v>363</v>
      </c>
      <c r="B49" s="539">
        <f t="shared" ref="B49:C49" si="0">SUM(B47+B48)</f>
        <v>8</v>
      </c>
      <c r="C49" s="214">
        <f t="shared" si="0"/>
        <v>8</v>
      </c>
      <c r="D49" s="133"/>
      <c r="E49" s="134"/>
      <c r="F49" s="135"/>
      <c r="G49" s="136"/>
      <c r="H49" s="683"/>
      <c r="I49" s="676"/>
      <c r="J49" s="96"/>
      <c r="K49" s="96"/>
      <c r="L49" s="104"/>
      <c r="M49" s="75"/>
      <c r="N49" s="75"/>
      <c r="O49" s="75"/>
      <c r="P49" s="75"/>
      <c r="Q49" s="105"/>
      <c r="R49" s="105"/>
      <c r="S49" s="96"/>
      <c r="T49" s="109"/>
      <c r="U49" s="100"/>
      <c r="V49" s="110"/>
      <c r="W49" s="110"/>
      <c r="X49" s="100"/>
      <c r="Y49" s="100"/>
      <c r="Z49" s="100"/>
      <c r="AA49" s="110"/>
      <c r="AB49" s="110"/>
      <c r="AC49" s="100"/>
      <c r="AD49" s="109"/>
      <c r="AE49" s="109"/>
      <c r="AF49" s="109"/>
      <c r="AG49" s="108"/>
      <c r="AH49" s="109"/>
      <c r="AI49" s="108"/>
      <c r="AJ49" s="111"/>
      <c r="AK49" s="100"/>
      <c r="AL49" s="110"/>
      <c r="AM49" s="110"/>
      <c r="AN49" s="100"/>
      <c r="AO49" s="100"/>
      <c r="AP49" s="100"/>
      <c r="AQ49" s="100"/>
      <c r="AR49" s="100"/>
      <c r="AS49" s="100"/>
      <c r="AT49" s="100"/>
      <c r="AU49" s="111"/>
      <c r="AV49" s="111"/>
    </row>
    <row r="50" spans="1:48" ht="16.3">
      <c r="A50" s="83" t="s">
        <v>3</v>
      </c>
      <c r="B50" s="539">
        <f>SUM(L50+M50+N50+O50+P50+U50+X50+Y50+Z50+AC50+AK50+AL50+AK50+AO50+AR50+AS50+AU50+AV50+AW50+AX50+AP50)</f>
        <v>1</v>
      </c>
      <c r="C50" s="214">
        <f>SUM(L50+M50+N50+O50+P50+U50+Y50+Z50+X50+AC50+AL50+AK50+AL50+AP50+AS50+AO50+AV50+AW50+AX50+AY50+AR50+AU50)</f>
        <v>1</v>
      </c>
      <c r="D50" s="133"/>
      <c r="E50" s="134"/>
      <c r="F50" s="135"/>
      <c r="G50" s="136"/>
      <c r="H50" s="683"/>
      <c r="I50" s="676"/>
      <c r="J50" s="96"/>
      <c r="K50" s="96"/>
      <c r="L50" s="104">
        <v>1</v>
      </c>
      <c r="M50" s="75"/>
      <c r="N50" s="75"/>
      <c r="O50" s="75"/>
      <c r="P50" s="75"/>
      <c r="Q50" s="105"/>
      <c r="R50" s="105"/>
      <c r="S50" s="96">
        <v>2</v>
      </c>
      <c r="T50" s="109">
        <v>1</v>
      </c>
      <c r="U50" s="100"/>
      <c r="V50" s="110"/>
      <c r="W50" s="110"/>
      <c r="X50" s="100"/>
      <c r="Y50" s="100"/>
      <c r="Z50" s="100"/>
      <c r="AA50" s="110"/>
      <c r="AB50" s="110"/>
      <c r="AC50" s="100"/>
      <c r="AD50" s="109"/>
      <c r="AE50" s="109">
        <v>1</v>
      </c>
      <c r="AF50" s="109"/>
      <c r="AG50" s="108"/>
      <c r="AH50" s="109">
        <v>1</v>
      </c>
      <c r="AI50" s="108"/>
      <c r="AJ50" s="111"/>
      <c r="AK50" s="100"/>
      <c r="AL50" s="110"/>
      <c r="AM50" s="110"/>
      <c r="AN50" s="100"/>
      <c r="AO50" s="100"/>
      <c r="AP50" s="100"/>
      <c r="AQ50" s="100"/>
      <c r="AR50" s="100"/>
      <c r="AS50" s="100"/>
      <c r="AT50" s="100"/>
      <c r="AU50" s="111"/>
      <c r="AV50" s="111"/>
    </row>
    <row r="51" spans="1:48" ht="17" thickBot="1">
      <c r="A51" s="85" t="s">
        <v>4</v>
      </c>
      <c r="B51" s="541">
        <f>SUM(L51+M51+N51+O51+P51+U51+X51+Y51+Z51+AC51+AK51+AL51+AK51+AO51+AR51+AS51+AU51+AV51+AW51+AX51+AP51)</f>
        <v>5</v>
      </c>
      <c r="C51" s="217">
        <f>SUM(L51+M51+N51+O51+P51+U51+Y51+Z51+X51+AC51+AL51+AK51+AL51+AP51+AS51+AO51+AV51+AW51+AX51+AY51+AR51+AU51)</f>
        <v>5</v>
      </c>
      <c r="D51" s="144"/>
      <c r="E51" s="145"/>
      <c r="F51" s="146"/>
      <c r="G51" s="147"/>
      <c r="H51" s="684"/>
      <c r="I51" s="677"/>
      <c r="J51" s="114"/>
      <c r="K51" s="114"/>
      <c r="L51" s="113">
        <v>5</v>
      </c>
      <c r="M51" s="112"/>
      <c r="N51" s="112"/>
      <c r="O51" s="112"/>
      <c r="P51" s="112"/>
      <c r="Q51" s="127"/>
      <c r="R51" s="127"/>
      <c r="S51" s="114">
        <v>10</v>
      </c>
      <c r="T51" s="118">
        <v>5</v>
      </c>
      <c r="U51" s="116"/>
      <c r="V51" s="120"/>
      <c r="W51" s="120"/>
      <c r="X51" s="116"/>
      <c r="Y51" s="116"/>
      <c r="Z51" s="116"/>
      <c r="AA51" s="120"/>
      <c r="AB51" s="120"/>
      <c r="AC51" s="116"/>
      <c r="AD51" s="118"/>
      <c r="AE51" s="118">
        <v>5</v>
      </c>
      <c r="AF51" s="118"/>
      <c r="AG51" s="117"/>
      <c r="AH51" s="118">
        <v>5</v>
      </c>
      <c r="AI51" s="117"/>
      <c r="AJ51" s="121"/>
      <c r="AK51" s="116"/>
      <c r="AL51" s="120"/>
      <c r="AM51" s="120"/>
      <c r="AN51" s="116"/>
      <c r="AO51" s="116"/>
      <c r="AP51" s="116"/>
      <c r="AQ51" s="116"/>
      <c r="AR51" s="116"/>
      <c r="AS51" s="116"/>
      <c r="AT51" s="116"/>
      <c r="AU51" s="121"/>
      <c r="AV51" s="121"/>
    </row>
    <row r="52" spans="1:48" ht="21.1">
      <c r="A52" s="82" t="s">
        <v>427</v>
      </c>
      <c r="B52" s="539"/>
      <c r="C52" s="214"/>
      <c r="D52" s="133"/>
      <c r="E52" s="134"/>
      <c r="F52" s="135"/>
      <c r="G52" s="136"/>
      <c r="H52" s="683"/>
      <c r="I52" s="676"/>
      <c r="J52" s="96"/>
      <c r="K52" s="96"/>
      <c r="L52" s="104"/>
      <c r="M52" s="75"/>
      <c r="N52" s="75"/>
      <c r="O52" s="75"/>
      <c r="P52" s="75" t="s">
        <v>375</v>
      </c>
      <c r="Q52" s="105"/>
      <c r="R52" s="105"/>
      <c r="S52" s="96"/>
      <c r="T52" s="109">
        <v>14</v>
      </c>
      <c r="U52" s="100" t="s">
        <v>375</v>
      </c>
      <c r="V52" s="110"/>
      <c r="W52" s="110">
        <v>11</v>
      </c>
      <c r="X52" s="100"/>
      <c r="Y52" s="100"/>
      <c r="Z52" s="100"/>
      <c r="AA52" s="110"/>
      <c r="AB52" s="110"/>
      <c r="AC52" s="100"/>
      <c r="AD52" s="109">
        <v>15</v>
      </c>
      <c r="AE52" s="109" t="s">
        <v>379</v>
      </c>
      <c r="AF52" s="109"/>
      <c r="AG52" s="108"/>
      <c r="AH52" s="109"/>
      <c r="AI52" s="108"/>
      <c r="AJ52" s="111"/>
      <c r="AK52" s="100"/>
      <c r="AL52" s="110"/>
      <c r="AM52" s="110"/>
      <c r="AN52" s="100"/>
      <c r="AO52" s="100"/>
      <c r="AP52" s="100"/>
      <c r="AQ52" s="100"/>
      <c r="AR52" s="100"/>
      <c r="AS52" s="100"/>
      <c r="AT52" s="100"/>
      <c r="AU52" s="111"/>
      <c r="AV52" s="111"/>
    </row>
    <row r="53" spans="1:48" ht="16.3">
      <c r="A53" s="246" t="s">
        <v>1</v>
      </c>
      <c r="B53" s="538">
        <f>SUM(L53+M53+N53+O53+P53+U53+X53+Y53+Z53+AC53+AK53+AL53+AK53+AO53+AR53+AS53+AU53+AV53+AW53+AX53+AP53)+2</f>
        <v>2</v>
      </c>
      <c r="C53" s="215">
        <f>SUM(L53+M53+N53+O53+P53+U53+Y53+Z53+X53+AC53+AL53+AK53+AL53+AP53+AS53+AO53+AV53+AW53+AX53+AY53+AR53+AU53)+2</f>
        <v>2</v>
      </c>
      <c r="D53" s="133"/>
      <c r="E53" s="134"/>
      <c r="F53" s="135"/>
      <c r="G53" s="136"/>
      <c r="H53" s="683"/>
      <c r="I53" s="676"/>
      <c r="J53" s="96"/>
      <c r="K53" s="96"/>
      <c r="L53" s="104"/>
      <c r="M53" s="75"/>
      <c r="N53" s="75"/>
      <c r="O53" s="75"/>
      <c r="P53" s="75"/>
      <c r="Q53" s="105"/>
      <c r="R53" s="105"/>
      <c r="S53" s="96"/>
      <c r="T53" s="109">
        <v>1</v>
      </c>
      <c r="U53" s="100"/>
      <c r="V53" s="110"/>
      <c r="W53" s="110">
        <v>1</v>
      </c>
      <c r="X53" s="100"/>
      <c r="Y53" s="100"/>
      <c r="Z53" s="100"/>
      <c r="AA53" s="110"/>
      <c r="AB53" s="110"/>
      <c r="AC53" s="100"/>
      <c r="AD53" s="109">
        <v>1</v>
      </c>
      <c r="AE53" s="109">
        <v>1</v>
      </c>
      <c r="AF53" s="109"/>
      <c r="AG53" s="108"/>
      <c r="AH53" s="109"/>
      <c r="AI53" s="108"/>
      <c r="AJ53" s="111"/>
      <c r="AK53" s="100"/>
      <c r="AL53" s="110"/>
      <c r="AM53" s="110"/>
      <c r="AN53" s="100"/>
      <c r="AO53" s="100"/>
      <c r="AP53" s="100"/>
      <c r="AQ53" s="100"/>
      <c r="AR53" s="100"/>
      <c r="AS53" s="100"/>
      <c r="AT53" s="100"/>
      <c r="AU53" s="111"/>
      <c r="AV53" s="111"/>
    </row>
    <row r="54" spans="1:48" ht="16.3">
      <c r="A54" s="246" t="s">
        <v>2</v>
      </c>
      <c r="B54" s="538">
        <f>SUM(L54+M54+N54+O54+P54+U54+X54+Y54+Z54+AC54+AK54+AL54+AK54+AO54+AR54+AS54+AU54+AV54+AW54+AX54+AP54)+5</f>
        <v>7</v>
      </c>
      <c r="C54" s="215">
        <f>SUM(L54+M54+N54+O54+P54+U54+Y54+Z54+X54+AC54+AL54+AK54+AL54+AP54+AS54+AO54+AV54+AW54+AX54+AY54+AR54+AU54)+5</f>
        <v>7</v>
      </c>
      <c r="D54" s="133"/>
      <c r="E54" s="134"/>
      <c r="F54" s="135"/>
      <c r="G54" s="136"/>
      <c r="H54" s="683"/>
      <c r="I54" s="676"/>
      <c r="J54" s="96"/>
      <c r="K54" s="96"/>
      <c r="L54" s="104"/>
      <c r="M54" s="75"/>
      <c r="N54" s="75"/>
      <c r="O54" s="75"/>
      <c r="P54" s="75">
        <v>1</v>
      </c>
      <c r="Q54" s="105"/>
      <c r="R54" s="105"/>
      <c r="S54" s="96"/>
      <c r="T54" s="109"/>
      <c r="U54" s="100">
        <v>1</v>
      </c>
      <c r="V54" s="110"/>
      <c r="W54" s="110"/>
      <c r="X54" s="100"/>
      <c r="Y54" s="100"/>
      <c r="Z54" s="100"/>
      <c r="AA54" s="110"/>
      <c r="AB54" s="110"/>
      <c r="AC54" s="100"/>
      <c r="AD54" s="109"/>
      <c r="AE54" s="109"/>
      <c r="AF54" s="109"/>
      <c r="AG54" s="108"/>
      <c r="AH54" s="109"/>
      <c r="AI54" s="108"/>
      <c r="AJ54" s="111"/>
      <c r="AK54" s="100"/>
      <c r="AL54" s="110"/>
      <c r="AM54" s="110"/>
      <c r="AN54" s="100"/>
      <c r="AO54" s="100"/>
      <c r="AP54" s="100"/>
      <c r="AQ54" s="100"/>
      <c r="AR54" s="100"/>
      <c r="AS54" s="100"/>
      <c r="AT54" s="100"/>
      <c r="AU54" s="111"/>
      <c r="AV54" s="111"/>
    </row>
    <row r="55" spans="1:48" ht="16.3">
      <c r="A55" s="83" t="s">
        <v>363</v>
      </c>
      <c r="B55" s="539">
        <f t="shared" ref="B55:C55" si="1">SUM(B53+B54)</f>
        <v>9</v>
      </c>
      <c r="C55" s="214">
        <f t="shared" si="1"/>
        <v>9</v>
      </c>
      <c r="D55" s="133"/>
      <c r="E55" s="134"/>
      <c r="F55" s="135"/>
      <c r="G55" s="136"/>
      <c r="H55" s="683"/>
      <c r="I55" s="676"/>
      <c r="J55" s="96"/>
      <c r="K55" s="96"/>
      <c r="L55" s="104"/>
      <c r="M55" s="75"/>
      <c r="N55" s="75"/>
      <c r="O55" s="75"/>
      <c r="P55" s="75"/>
      <c r="Q55" s="105"/>
      <c r="R55" s="105"/>
      <c r="S55" s="96"/>
      <c r="T55" s="109"/>
      <c r="U55" s="100"/>
      <c r="V55" s="110"/>
      <c r="W55" s="110"/>
      <c r="X55" s="100"/>
      <c r="Y55" s="100"/>
      <c r="Z55" s="100"/>
      <c r="AA55" s="110"/>
      <c r="AB55" s="110"/>
      <c r="AC55" s="100"/>
      <c r="AD55" s="109"/>
      <c r="AE55" s="109"/>
      <c r="AF55" s="109"/>
      <c r="AG55" s="108"/>
      <c r="AH55" s="109"/>
      <c r="AI55" s="108"/>
      <c r="AJ55" s="111"/>
      <c r="AK55" s="100"/>
      <c r="AL55" s="110"/>
      <c r="AM55" s="110"/>
      <c r="AN55" s="100"/>
      <c r="AO55" s="100"/>
      <c r="AP55" s="100"/>
      <c r="AQ55" s="100"/>
      <c r="AR55" s="100"/>
      <c r="AS55" s="100"/>
      <c r="AT55" s="100"/>
      <c r="AU55" s="111"/>
      <c r="AV55" s="111"/>
    </row>
    <row r="56" spans="1:48" ht="16.3">
      <c r="A56" s="83" t="s">
        <v>3</v>
      </c>
      <c r="B56" s="539">
        <f>SUM(L56+M56+N56+O56+P56+U56+X56+Y56+Z56+AC56+AK56+AL56+AK56+AO56+AR56+AS56+AU56+AV56+AW56+AX56+AP56)+2</f>
        <v>2</v>
      </c>
      <c r="C56" s="214">
        <f>SUM(L56+M56+N56+O56+P56+U56+Y56+Z56+X56+AC56+AL56+AK56+AL56+AP56+AS56+AO56+AV56+AW56+AX56+AY56+AR56+AU56)+2</f>
        <v>2</v>
      </c>
      <c r="D56" s="133"/>
      <c r="E56" s="134"/>
      <c r="F56" s="135"/>
      <c r="G56" s="136"/>
      <c r="H56" s="683"/>
      <c r="I56" s="676"/>
      <c r="J56" s="96"/>
      <c r="K56" s="96"/>
      <c r="L56" s="104"/>
      <c r="M56" s="75"/>
      <c r="N56" s="75"/>
      <c r="O56" s="75"/>
      <c r="P56" s="75"/>
      <c r="Q56" s="105"/>
      <c r="R56" s="105"/>
      <c r="S56" s="96"/>
      <c r="T56" s="109">
        <v>1</v>
      </c>
      <c r="U56" s="100"/>
      <c r="V56" s="110"/>
      <c r="W56" s="110"/>
      <c r="X56" s="100"/>
      <c r="Y56" s="100"/>
      <c r="Z56" s="100"/>
      <c r="AA56" s="110"/>
      <c r="AB56" s="110"/>
      <c r="AC56" s="100"/>
      <c r="AD56" s="109">
        <v>1</v>
      </c>
      <c r="AE56" s="109"/>
      <c r="AF56" s="109"/>
      <c r="AG56" s="108"/>
      <c r="AH56" s="109"/>
      <c r="AI56" s="108"/>
      <c r="AJ56" s="111"/>
      <c r="AK56" s="100"/>
      <c r="AL56" s="110"/>
      <c r="AM56" s="110"/>
      <c r="AN56" s="100"/>
      <c r="AO56" s="100"/>
      <c r="AP56" s="100"/>
      <c r="AQ56" s="100"/>
      <c r="AR56" s="100"/>
      <c r="AS56" s="100"/>
      <c r="AT56" s="100"/>
      <c r="AU56" s="111"/>
      <c r="AV56" s="111"/>
    </row>
    <row r="57" spans="1:48" ht="17" thickBot="1">
      <c r="A57" s="85" t="s">
        <v>4</v>
      </c>
      <c r="B57" s="541">
        <f>SUM(L57+M57+N57+O57+P57+U57+X57+Y57+Z57+AC57+AK57+AL57+AK57+AO57+AR57+AS57+AU57+AV57+AW57+AX57+AP57)+10</f>
        <v>10</v>
      </c>
      <c r="C57" s="217">
        <f>SUM(L57+M57+N57+O57+P57+U57+Y57+Z57+X57+AC57+AL57+AK57+AL57+AP57+AS57+AO57+AV57+AW57+AX57+AY57+AR57+AU57)+10</f>
        <v>10</v>
      </c>
      <c r="D57" s="144"/>
      <c r="E57" s="145"/>
      <c r="F57" s="146"/>
      <c r="G57" s="147"/>
      <c r="H57" s="684"/>
      <c r="I57" s="677"/>
      <c r="J57" s="114"/>
      <c r="K57" s="114"/>
      <c r="L57" s="113"/>
      <c r="M57" s="112"/>
      <c r="N57" s="112"/>
      <c r="O57" s="112"/>
      <c r="P57" s="112"/>
      <c r="Q57" s="127"/>
      <c r="R57" s="127"/>
      <c r="S57" s="114"/>
      <c r="T57" s="118">
        <v>5</v>
      </c>
      <c r="U57" s="116"/>
      <c r="V57" s="120"/>
      <c r="W57" s="120"/>
      <c r="X57" s="112"/>
      <c r="Y57" s="116"/>
      <c r="Z57" s="116"/>
      <c r="AA57" s="120"/>
      <c r="AB57" s="120"/>
      <c r="AC57" s="116"/>
      <c r="AD57" s="118">
        <v>5</v>
      </c>
      <c r="AE57" s="118"/>
      <c r="AF57" s="118"/>
      <c r="AG57" s="117"/>
      <c r="AH57" s="118"/>
      <c r="AI57" s="117"/>
      <c r="AJ57" s="121"/>
      <c r="AK57" s="116"/>
      <c r="AL57" s="120"/>
      <c r="AM57" s="120"/>
      <c r="AN57" s="116"/>
      <c r="AO57" s="116"/>
      <c r="AP57" s="116"/>
      <c r="AQ57" s="116"/>
      <c r="AR57" s="116"/>
      <c r="AS57" s="116"/>
      <c r="AT57" s="116"/>
      <c r="AU57" s="121"/>
      <c r="AV57" s="121"/>
    </row>
    <row r="58" spans="1:48" ht="21.1">
      <c r="A58" s="82" t="s">
        <v>431</v>
      </c>
      <c r="B58" s="539"/>
      <c r="C58" s="214"/>
      <c r="D58" s="133"/>
      <c r="E58" s="134"/>
      <c r="F58" s="135"/>
      <c r="G58" s="136"/>
      <c r="H58" s="683"/>
      <c r="I58" s="676"/>
      <c r="J58" s="96">
        <v>14</v>
      </c>
      <c r="K58" s="96">
        <v>14</v>
      </c>
      <c r="L58" s="104"/>
      <c r="M58" s="75" t="s">
        <v>695</v>
      </c>
      <c r="N58" s="75">
        <v>14</v>
      </c>
      <c r="O58" s="75" t="s">
        <v>375</v>
      </c>
      <c r="P58" s="75">
        <v>11</v>
      </c>
      <c r="Q58" s="105"/>
      <c r="R58" s="105"/>
      <c r="S58" s="96" t="s">
        <v>383</v>
      </c>
      <c r="T58" s="109" t="s">
        <v>339</v>
      </c>
      <c r="U58" s="100" t="s">
        <v>339</v>
      </c>
      <c r="V58" s="110" t="s">
        <v>339</v>
      </c>
      <c r="W58" s="110" t="s">
        <v>339</v>
      </c>
      <c r="X58" s="100" t="s">
        <v>339</v>
      </c>
      <c r="Y58" s="100" t="s">
        <v>339</v>
      </c>
      <c r="Z58" s="100" t="s">
        <v>339</v>
      </c>
      <c r="AA58" s="110" t="s">
        <v>339</v>
      </c>
      <c r="AB58" s="110" t="s">
        <v>339</v>
      </c>
      <c r="AC58" s="100" t="s">
        <v>339</v>
      </c>
      <c r="AD58" s="109" t="s">
        <v>339</v>
      </c>
      <c r="AE58" s="109" t="s">
        <v>339</v>
      </c>
      <c r="AF58" s="109" t="s">
        <v>339</v>
      </c>
      <c r="AG58" s="108"/>
      <c r="AH58" s="109" t="s">
        <v>339</v>
      </c>
      <c r="AI58" s="108"/>
      <c r="AJ58" s="111"/>
      <c r="AK58" s="100"/>
      <c r="AL58" s="110"/>
      <c r="AM58" s="110"/>
      <c r="AN58" s="100"/>
      <c r="AO58" s="100"/>
      <c r="AP58" s="100"/>
      <c r="AQ58" s="100"/>
      <c r="AR58" s="100"/>
      <c r="AS58" s="100"/>
      <c r="AT58" s="100"/>
      <c r="AU58" s="111"/>
      <c r="AV58" s="111"/>
    </row>
    <row r="59" spans="1:48" ht="16.3">
      <c r="A59" s="246" t="s">
        <v>1</v>
      </c>
      <c r="B59" s="538">
        <f>SUM(L59+M59+N59+O59+P59+U59+X59+Y59+Z59+AC59+AK59+AL59+AK59+AO59+AR59+AS59+AU59+AV59+AW59+AX59+AP59)</f>
        <v>3</v>
      </c>
      <c r="C59" s="215">
        <f>SUM(L59+M59+N59+O59+P59+U59+Y59+Z59+X59+AC59+AL59+AK59+AL59+AP59+AS59+AO59+AV59+AW59+AX59+AY59+AR59+AU59)</f>
        <v>3</v>
      </c>
      <c r="D59" s="133"/>
      <c r="E59" s="134"/>
      <c r="F59" s="135"/>
      <c r="G59" s="136"/>
      <c r="H59" s="683"/>
      <c r="I59" s="676"/>
      <c r="J59" s="96">
        <v>1</v>
      </c>
      <c r="K59" s="96">
        <v>1</v>
      </c>
      <c r="L59" s="104"/>
      <c r="M59" s="75">
        <v>1</v>
      </c>
      <c r="N59" s="75">
        <v>1</v>
      </c>
      <c r="O59" s="75"/>
      <c r="P59" s="75">
        <v>1</v>
      </c>
      <c r="Q59" s="105"/>
      <c r="R59" s="105"/>
      <c r="S59" s="96">
        <v>1</v>
      </c>
      <c r="T59" s="109"/>
      <c r="U59" s="100"/>
      <c r="V59" s="110"/>
      <c r="W59" s="110"/>
      <c r="X59" s="100"/>
      <c r="Y59" s="100"/>
      <c r="Z59" s="100"/>
      <c r="AA59" s="110"/>
      <c r="AB59" s="110"/>
      <c r="AC59" s="100"/>
      <c r="AD59" s="109"/>
      <c r="AE59" s="109"/>
      <c r="AF59" s="109"/>
      <c r="AG59" s="108"/>
      <c r="AH59" s="109"/>
      <c r="AI59" s="108"/>
      <c r="AJ59" s="111"/>
      <c r="AK59" s="100"/>
      <c r="AL59" s="110"/>
      <c r="AM59" s="110"/>
      <c r="AN59" s="100"/>
      <c r="AO59" s="100"/>
      <c r="AP59" s="100"/>
      <c r="AQ59" s="100"/>
      <c r="AR59" s="100"/>
      <c r="AS59" s="100"/>
      <c r="AT59" s="100"/>
      <c r="AU59" s="111"/>
      <c r="AV59" s="111"/>
    </row>
    <row r="60" spans="1:48" ht="16.3">
      <c r="A60" s="246" t="s">
        <v>2</v>
      </c>
      <c r="B60" s="538">
        <f>SUM(L60+M60+N60+O60+P60+U60+X60+Y60+Z60+AC60+AK60+AL60+AK60+AO60+AR60+AS60+AU60+AV60+AW60+AX60+AP60)</f>
        <v>1</v>
      </c>
      <c r="C60" s="215">
        <f>SUM(L60+M60+N60+O60+P60+U60+Y60+Z60+X60+AC60+AL60+AK60+AL60+AP60+AS60+AO60+AV60+AW60+AX60+AY60+AR60+AU60)</f>
        <v>1</v>
      </c>
      <c r="D60" s="133"/>
      <c r="E60" s="134"/>
      <c r="F60" s="135"/>
      <c r="G60" s="136"/>
      <c r="H60" s="683"/>
      <c r="I60" s="676"/>
      <c r="J60" s="96"/>
      <c r="K60" s="96"/>
      <c r="L60" s="104"/>
      <c r="M60" s="75"/>
      <c r="N60" s="75"/>
      <c r="O60" s="75">
        <v>1</v>
      </c>
      <c r="P60" s="75"/>
      <c r="Q60" s="105"/>
      <c r="R60" s="105"/>
      <c r="S60" s="96"/>
      <c r="T60" s="109"/>
      <c r="U60" s="100"/>
      <c r="V60" s="110"/>
      <c r="W60" s="110"/>
      <c r="X60" s="100"/>
      <c r="Y60" s="100"/>
      <c r="Z60" s="100"/>
      <c r="AA60" s="110"/>
      <c r="AB60" s="110"/>
      <c r="AC60" s="100"/>
      <c r="AD60" s="109"/>
      <c r="AE60" s="109"/>
      <c r="AF60" s="109"/>
      <c r="AG60" s="108"/>
      <c r="AH60" s="109"/>
      <c r="AI60" s="108"/>
      <c r="AJ60" s="111"/>
      <c r="AK60" s="100"/>
      <c r="AL60" s="110"/>
      <c r="AM60" s="110"/>
      <c r="AN60" s="100"/>
      <c r="AO60" s="100"/>
      <c r="AP60" s="100"/>
      <c r="AQ60" s="100"/>
      <c r="AR60" s="100"/>
      <c r="AS60" s="100"/>
      <c r="AT60" s="100"/>
      <c r="AU60" s="111"/>
      <c r="AV60" s="111"/>
    </row>
    <row r="61" spans="1:48" ht="16.3">
      <c r="A61" s="83" t="s">
        <v>363</v>
      </c>
      <c r="B61" s="539">
        <f>SUM(B59+B60)</f>
        <v>4</v>
      </c>
      <c r="C61" s="214">
        <f>SUM(C59+C60)</f>
        <v>4</v>
      </c>
      <c r="D61" s="133"/>
      <c r="E61" s="134"/>
      <c r="F61" s="135"/>
      <c r="G61" s="136"/>
      <c r="H61" s="683"/>
      <c r="I61" s="676"/>
      <c r="J61" s="96"/>
      <c r="K61" s="96"/>
      <c r="L61" s="104"/>
      <c r="M61" s="75"/>
      <c r="N61" s="75"/>
      <c r="O61" s="75"/>
      <c r="P61" s="75"/>
      <c r="Q61" s="105"/>
      <c r="R61" s="105"/>
      <c r="S61" s="96"/>
      <c r="T61" s="109"/>
      <c r="U61" s="100"/>
      <c r="V61" s="110"/>
      <c r="W61" s="110"/>
      <c r="X61" s="100"/>
      <c r="Y61" s="100"/>
      <c r="Z61" s="100"/>
      <c r="AA61" s="110"/>
      <c r="AB61" s="110"/>
      <c r="AC61" s="100"/>
      <c r="AD61" s="109"/>
      <c r="AE61" s="109"/>
      <c r="AF61" s="109"/>
      <c r="AG61" s="108"/>
      <c r="AH61" s="109"/>
      <c r="AI61" s="108"/>
      <c r="AJ61" s="111"/>
      <c r="AK61" s="100"/>
      <c r="AL61" s="110"/>
      <c r="AM61" s="110"/>
      <c r="AN61" s="100"/>
      <c r="AO61" s="100"/>
      <c r="AP61" s="100"/>
      <c r="AQ61" s="100"/>
      <c r="AR61" s="100"/>
      <c r="AS61" s="100"/>
      <c r="AT61" s="100"/>
      <c r="AU61" s="111"/>
      <c r="AV61" s="111"/>
    </row>
    <row r="62" spans="1:48" ht="16.3">
      <c r="A62" s="83" t="s">
        <v>3</v>
      </c>
      <c r="B62" s="539">
        <f>SUM(L62+M62+N62+O62+P62+U62+X62+Y62+Z62+AC62+AK62+AL62+AK62+AO62+AR62+AS62+AU62+AV62+AW62+AX62+AP62)</f>
        <v>3</v>
      </c>
      <c r="C62" s="214">
        <f>SUM(L62+M62+N62+O62+P62+U62+Y62+Z62+X62+AC62+AL62+AK62+AL62+AP62+AS62+AO62+AV62+AW62+AX62+AY62+AR62+AU62)</f>
        <v>3</v>
      </c>
      <c r="D62" s="133"/>
      <c r="E62" s="134"/>
      <c r="F62" s="135"/>
      <c r="G62" s="136"/>
      <c r="H62" s="683"/>
      <c r="I62" s="676"/>
      <c r="J62" s="96"/>
      <c r="K62" s="96">
        <v>2</v>
      </c>
      <c r="L62" s="104"/>
      <c r="M62" s="75">
        <v>2</v>
      </c>
      <c r="N62" s="75"/>
      <c r="O62" s="75"/>
      <c r="P62" s="75">
        <v>1</v>
      </c>
      <c r="Q62" s="105"/>
      <c r="R62" s="105"/>
      <c r="S62" s="96">
        <v>2</v>
      </c>
      <c r="T62" s="109"/>
      <c r="U62" s="100"/>
      <c r="V62" s="110"/>
      <c r="W62" s="110"/>
      <c r="X62" s="100"/>
      <c r="Y62" s="100"/>
      <c r="Z62" s="100"/>
      <c r="AA62" s="110"/>
      <c r="AB62" s="110"/>
      <c r="AC62" s="100"/>
      <c r="AD62" s="109"/>
      <c r="AE62" s="109"/>
      <c r="AF62" s="109"/>
      <c r="AG62" s="108"/>
      <c r="AH62" s="109"/>
      <c r="AI62" s="108"/>
      <c r="AJ62" s="111"/>
      <c r="AK62" s="100"/>
      <c r="AL62" s="110"/>
      <c r="AM62" s="110"/>
      <c r="AN62" s="100"/>
      <c r="AO62" s="100"/>
      <c r="AP62" s="100"/>
      <c r="AQ62" s="100"/>
      <c r="AR62" s="100"/>
      <c r="AS62" s="100"/>
      <c r="AT62" s="100"/>
      <c r="AU62" s="111"/>
      <c r="AV62" s="111"/>
    </row>
    <row r="63" spans="1:48" ht="17" thickBot="1">
      <c r="A63" s="85" t="s">
        <v>4</v>
      </c>
      <c r="B63" s="541">
        <f>SUM(L63+M63+N63+O63+P63+U63+X63+Y63+Z63+AC63+AK63+AL63+AK63+AO63+AR63+AS63+AU63+AV63+AW63+AX63+AP63)</f>
        <v>15</v>
      </c>
      <c r="C63" s="217">
        <f>SUM(L63+M63+N63+O63+P63+U63+Y63+Z63+X63+AC63+AL63+AK63+AL63+AP63+AS63+AO63+AV63+AW63+AX63+AY63+AR63+AU63)</f>
        <v>15</v>
      </c>
      <c r="D63" s="144"/>
      <c r="E63" s="145"/>
      <c r="F63" s="146"/>
      <c r="G63" s="147"/>
      <c r="H63" s="684"/>
      <c r="I63" s="677"/>
      <c r="J63" s="114"/>
      <c r="K63" s="114">
        <v>10</v>
      </c>
      <c r="L63" s="113"/>
      <c r="M63" s="112">
        <v>10</v>
      </c>
      <c r="N63" s="112"/>
      <c r="O63" s="112"/>
      <c r="P63" s="112">
        <v>5</v>
      </c>
      <c r="Q63" s="127"/>
      <c r="R63" s="127"/>
      <c r="S63" s="114">
        <v>10</v>
      </c>
      <c r="T63" s="118"/>
      <c r="U63" s="116"/>
      <c r="V63" s="120"/>
      <c r="W63" s="120"/>
      <c r="X63" s="116"/>
      <c r="Y63" s="112"/>
      <c r="Z63" s="116"/>
      <c r="AA63" s="120"/>
      <c r="AB63" s="120"/>
      <c r="AC63" s="116"/>
      <c r="AD63" s="118"/>
      <c r="AE63" s="118"/>
      <c r="AF63" s="118"/>
      <c r="AG63" s="117"/>
      <c r="AH63" s="118"/>
      <c r="AI63" s="117"/>
      <c r="AJ63" s="121"/>
      <c r="AK63" s="116"/>
      <c r="AL63" s="120"/>
      <c r="AM63" s="120"/>
      <c r="AN63" s="116"/>
      <c r="AO63" s="116"/>
      <c r="AP63" s="116"/>
      <c r="AQ63" s="116"/>
      <c r="AR63" s="116"/>
      <c r="AS63" s="116"/>
      <c r="AT63" s="116"/>
      <c r="AU63" s="121"/>
      <c r="AV63" s="121"/>
    </row>
    <row r="64" spans="1:48" ht="21.1">
      <c r="A64" s="82" t="s">
        <v>487</v>
      </c>
      <c r="B64" s="539"/>
      <c r="C64" s="214"/>
      <c r="D64" s="133"/>
      <c r="E64" s="134"/>
      <c r="F64" s="135"/>
      <c r="G64" s="136"/>
      <c r="H64" s="683"/>
      <c r="I64" s="676"/>
      <c r="J64" s="96"/>
      <c r="K64" s="96"/>
      <c r="L64" s="104"/>
      <c r="M64" s="75"/>
      <c r="N64" s="75"/>
      <c r="O64" s="75"/>
      <c r="P64" s="75"/>
      <c r="Q64" s="105"/>
      <c r="R64" s="105"/>
      <c r="S64" s="96"/>
      <c r="T64" s="109"/>
      <c r="U64" s="100"/>
      <c r="V64" s="110"/>
      <c r="W64" s="110"/>
      <c r="X64" s="100"/>
      <c r="Y64" s="100"/>
      <c r="Z64" s="100"/>
      <c r="AA64" s="110"/>
      <c r="AB64" s="110"/>
      <c r="AC64" s="100"/>
      <c r="AD64" s="109"/>
      <c r="AE64" s="109"/>
      <c r="AF64" s="109"/>
      <c r="AG64" s="108"/>
      <c r="AH64" s="109"/>
      <c r="AI64" s="108"/>
      <c r="AJ64" s="111"/>
      <c r="AK64" s="100"/>
      <c r="AL64" s="110"/>
      <c r="AM64" s="110"/>
      <c r="AN64" s="100"/>
      <c r="AO64" s="100"/>
      <c r="AP64" s="100"/>
      <c r="AQ64" s="100"/>
      <c r="AR64" s="100"/>
      <c r="AS64" s="100"/>
      <c r="AT64" s="100"/>
      <c r="AU64" s="111"/>
      <c r="AV64" s="111"/>
    </row>
    <row r="65" spans="1:48" ht="16.3">
      <c r="A65" s="246" t="s">
        <v>1</v>
      </c>
      <c r="B65" s="538">
        <f>SUM(L65+M65+N65+O65+P65+U65+X65+Y65+Z65+AC65+AK65+AL65+AK65+AO65+AR65+AS65+AU65+AV65+AW65+AX65+AP65)</f>
        <v>0</v>
      </c>
      <c r="C65" s="215">
        <f>SUM(L65+M65+N65+O65+P65+U65+Y65+Z65+X65+AC65+AL65+AK65+AL65+AP65+AS65+AO65+AV65+AW65+AX65+AY65+AR65+AU65)</f>
        <v>0</v>
      </c>
      <c r="D65" s="133"/>
      <c r="E65" s="134"/>
      <c r="F65" s="135"/>
      <c r="G65" s="136"/>
      <c r="H65" s="683"/>
      <c r="I65" s="676"/>
      <c r="J65" s="96"/>
      <c r="K65" s="96"/>
      <c r="L65" s="104"/>
      <c r="M65" s="75"/>
      <c r="N65" s="75"/>
      <c r="O65" s="75"/>
      <c r="P65" s="75"/>
      <c r="Q65" s="105"/>
      <c r="R65" s="105"/>
      <c r="S65" s="96"/>
      <c r="T65" s="109"/>
      <c r="U65" s="100"/>
      <c r="V65" s="110"/>
      <c r="W65" s="110"/>
      <c r="X65" s="100"/>
      <c r="Y65" s="100"/>
      <c r="Z65" s="100"/>
      <c r="AA65" s="110"/>
      <c r="AB65" s="110"/>
      <c r="AC65" s="100"/>
      <c r="AD65" s="109"/>
      <c r="AE65" s="109"/>
      <c r="AF65" s="109"/>
      <c r="AG65" s="108"/>
      <c r="AH65" s="109"/>
      <c r="AI65" s="108"/>
      <c r="AJ65" s="111"/>
      <c r="AK65" s="100"/>
      <c r="AL65" s="110"/>
      <c r="AM65" s="110"/>
      <c r="AN65" s="100"/>
      <c r="AO65" s="100"/>
      <c r="AP65" s="100"/>
      <c r="AQ65" s="100"/>
      <c r="AR65" s="100"/>
      <c r="AS65" s="100"/>
      <c r="AT65" s="100"/>
      <c r="AU65" s="111"/>
      <c r="AV65" s="111"/>
    </row>
    <row r="66" spans="1:48" ht="16.3">
      <c r="A66" s="246" t="s">
        <v>2</v>
      </c>
      <c r="B66" s="538">
        <f>SUM(L66+M66+N66+O66+P66+U66+X66+Y66+Z66+AC66+AK66+AL66+AK66+AO66+AR66+AS66+AU66+AV66+AW66+AX66+AP66)</f>
        <v>0</v>
      </c>
      <c r="C66" s="215">
        <f>SUM(L66+M66+N66+O66+P66+U66+Y66+Z66+X66+AC66+AL66+AK66+AL66+AP66+AS66+AO66+AV66+AW66+AX66+AY66+AR66+AU66)</f>
        <v>0</v>
      </c>
      <c r="D66" s="133"/>
      <c r="E66" s="134"/>
      <c r="F66" s="135"/>
      <c r="G66" s="136"/>
      <c r="H66" s="683"/>
      <c r="I66" s="676"/>
      <c r="J66" s="96"/>
      <c r="K66" s="96"/>
      <c r="L66" s="104"/>
      <c r="M66" s="75"/>
      <c r="N66" s="75"/>
      <c r="O66" s="75"/>
      <c r="P66" s="75"/>
      <c r="Q66" s="105"/>
      <c r="R66" s="105"/>
      <c r="S66" s="96"/>
      <c r="T66" s="109"/>
      <c r="U66" s="100"/>
      <c r="V66" s="110"/>
      <c r="W66" s="110"/>
      <c r="X66" s="100"/>
      <c r="Y66" s="100"/>
      <c r="Z66" s="100"/>
      <c r="AA66" s="110"/>
      <c r="AB66" s="110"/>
      <c r="AC66" s="100"/>
      <c r="AD66" s="109"/>
      <c r="AE66" s="109"/>
      <c r="AF66" s="109"/>
      <c r="AG66" s="108"/>
      <c r="AH66" s="109"/>
      <c r="AI66" s="108"/>
      <c r="AJ66" s="111"/>
      <c r="AK66" s="100"/>
      <c r="AL66" s="110"/>
      <c r="AM66" s="110"/>
      <c r="AN66" s="100"/>
      <c r="AO66" s="100"/>
      <c r="AP66" s="100"/>
      <c r="AQ66" s="100"/>
      <c r="AR66" s="100"/>
      <c r="AS66" s="100"/>
      <c r="AT66" s="100"/>
      <c r="AU66" s="111"/>
      <c r="AV66" s="111"/>
    </row>
    <row r="67" spans="1:48" ht="16.3">
      <c r="A67" s="83" t="s">
        <v>363</v>
      </c>
      <c r="B67" s="539">
        <f t="shared" ref="B67:C67" si="2">SUM(B65+B66)</f>
        <v>0</v>
      </c>
      <c r="C67" s="214">
        <f t="shared" si="2"/>
        <v>0</v>
      </c>
      <c r="D67" s="133"/>
      <c r="E67" s="134"/>
      <c r="F67" s="135"/>
      <c r="G67" s="136"/>
      <c r="H67" s="683"/>
      <c r="I67" s="676"/>
      <c r="J67" s="96"/>
      <c r="K67" s="96"/>
      <c r="L67" s="104"/>
      <c r="M67" s="75"/>
      <c r="N67" s="75"/>
      <c r="O67" s="75"/>
      <c r="P67" s="75"/>
      <c r="Q67" s="105"/>
      <c r="R67" s="105"/>
      <c r="S67" s="96"/>
      <c r="T67" s="109"/>
      <c r="U67" s="100"/>
      <c r="V67" s="110"/>
      <c r="W67" s="110"/>
      <c r="X67" s="100"/>
      <c r="Y67" s="100"/>
      <c r="Z67" s="100"/>
      <c r="AA67" s="110"/>
      <c r="AB67" s="110"/>
      <c r="AC67" s="100"/>
      <c r="AD67" s="109"/>
      <c r="AE67" s="109"/>
      <c r="AF67" s="109"/>
      <c r="AG67" s="108"/>
      <c r="AH67" s="109"/>
      <c r="AI67" s="108"/>
      <c r="AJ67" s="111"/>
      <c r="AK67" s="100"/>
      <c r="AL67" s="110"/>
      <c r="AM67" s="110"/>
      <c r="AN67" s="100"/>
      <c r="AO67" s="100"/>
      <c r="AP67" s="100"/>
      <c r="AQ67" s="100"/>
      <c r="AR67" s="100"/>
      <c r="AS67" s="100"/>
      <c r="AT67" s="100"/>
      <c r="AU67" s="111"/>
      <c r="AV67" s="111"/>
    </row>
    <row r="68" spans="1:48" ht="16.3">
      <c r="A68" s="83" t="s">
        <v>3</v>
      </c>
      <c r="B68" s="539">
        <f>SUM(L68+M68+N68+O68+P68+U68+X68+Y68+Z68+AC68+AK68+AL68+AK68+AO68+AR68+AS68+AU68+AV68+AW68+AX68+AP68)</f>
        <v>0</v>
      </c>
      <c r="C68" s="214">
        <f>SUM(L68+M68+N68+O68+P68+U68+Y68+Z68+X68+AC68+AL68+AK68+AL68+AP68+AS68+AO68+AV68+AW68+AX68+AY68+AR68+AU68)</f>
        <v>0</v>
      </c>
      <c r="D68" s="133"/>
      <c r="E68" s="134"/>
      <c r="F68" s="135"/>
      <c r="G68" s="136"/>
      <c r="H68" s="683"/>
      <c r="I68" s="676"/>
      <c r="J68" s="96"/>
      <c r="K68" s="96"/>
      <c r="L68" s="104"/>
      <c r="M68" s="75"/>
      <c r="N68" s="75"/>
      <c r="O68" s="75"/>
      <c r="P68" s="75"/>
      <c r="Q68" s="105"/>
      <c r="R68" s="105"/>
      <c r="S68" s="96"/>
      <c r="T68" s="109"/>
      <c r="U68" s="100"/>
      <c r="V68" s="110"/>
      <c r="W68" s="110"/>
      <c r="X68" s="100"/>
      <c r="Y68" s="100"/>
      <c r="Z68" s="100"/>
      <c r="AA68" s="110"/>
      <c r="AB68" s="110"/>
      <c r="AC68" s="100"/>
      <c r="AD68" s="109"/>
      <c r="AE68" s="109"/>
      <c r="AF68" s="109"/>
      <c r="AG68" s="108"/>
      <c r="AH68" s="109"/>
      <c r="AI68" s="108"/>
      <c r="AJ68" s="111"/>
      <c r="AK68" s="100"/>
      <c r="AL68" s="110"/>
      <c r="AM68" s="110"/>
      <c r="AN68" s="100"/>
      <c r="AO68" s="100"/>
      <c r="AP68" s="100"/>
      <c r="AQ68" s="100"/>
      <c r="AR68" s="100"/>
      <c r="AS68" s="100"/>
      <c r="AT68" s="100"/>
      <c r="AU68" s="111"/>
      <c r="AV68" s="111"/>
    </row>
    <row r="69" spans="1:48" ht="17" thickBot="1">
      <c r="A69" s="85" t="s">
        <v>4</v>
      </c>
      <c r="B69" s="541">
        <f>SUM(L69+M69+N69+O69+P69+U69+X69+Y69+Z69+AC69+AK69+AL69+AK69+AO69+AR69+AS69+AU69+AV69+AW69+AX69+AP69)</f>
        <v>0</v>
      </c>
      <c r="C69" s="217">
        <f>SUM(L69+M69+N69+O69+P69+U69+Y69+Z69+X69+AC69+AL69+AK69+AL69+AP69+AS69+AO69+AV69+AW69+AX69+AY69+AR69+AU69)</f>
        <v>0</v>
      </c>
      <c r="D69" s="144"/>
      <c r="E69" s="145"/>
      <c r="F69" s="146"/>
      <c r="G69" s="147"/>
      <c r="H69" s="684"/>
      <c r="I69" s="677"/>
      <c r="J69" s="114"/>
      <c r="K69" s="114"/>
      <c r="L69" s="113"/>
      <c r="M69" s="112"/>
      <c r="N69" s="112"/>
      <c r="O69" s="112"/>
      <c r="P69" s="112"/>
      <c r="Q69" s="127"/>
      <c r="R69" s="127"/>
      <c r="S69" s="114"/>
      <c r="T69" s="118"/>
      <c r="U69" s="116"/>
      <c r="V69" s="120"/>
      <c r="W69" s="120"/>
      <c r="X69" s="116"/>
      <c r="Y69" s="116"/>
      <c r="Z69" s="116"/>
      <c r="AA69" s="120"/>
      <c r="AB69" s="120"/>
      <c r="AC69" s="116"/>
      <c r="AD69" s="118"/>
      <c r="AE69" s="114"/>
      <c r="AF69" s="118"/>
      <c r="AG69" s="117"/>
      <c r="AH69" s="118"/>
      <c r="AI69" s="117"/>
      <c r="AJ69" s="121"/>
      <c r="AK69" s="116"/>
      <c r="AL69" s="120"/>
      <c r="AM69" s="120"/>
      <c r="AN69" s="116"/>
      <c r="AO69" s="116"/>
      <c r="AP69" s="116"/>
      <c r="AQ69" s="116"/>
      <c r="AR69" s="116"/>
      <c r="AS69" s="116"/>
      <c r="AT69" s="116"/>
      <c r="AU69" s="121"/>
      <c r="AV69" s="121"/>
    </row>
    <row r="70" spans="1:48" ht="21.1">
      <c r="A70" s="82" t="s">
        <v>819</v>
      </c>
      <c r="B70" s="539"/>
      <c r="C70" s="214"/>
      <c r="D70" s="133"/>
      <c r="E70" s="134"/>
      <c r="F70" s="135"/>
      <c r="G70" s="136"/>
      <c r="H70" s="683"/>
      <c r="I70" s="676"/>
      <c r="J70" s="96"/>
      <c r="K70" s="96"/>
      <c r="L70" s="104"/>
      <c r="M70" s="75"/>
      <c r="N70" s="75"/>
      <c r="O70" s="75"/>
      <c r="P70" s="75"/>
      <c r="Q70" s="105"/>
      <c r="R70" s="105"/>
      <c r="S70" s="96" t="s">
        <v>375</v>
      </c>
      <c r="T70" s="109"/>
      <c r="U70" s="100"/>
      <c r="V70" s="110"/>
      <c r="W70" s="110"/>
      <c r="X70" s="100"/>
      <c r="Y70" s="100"/>
      <c r="Z70" s="100"/>
      <c r="AA70" s="110"/>
      <c r="AB70" s="110" t="s">
        <v>984</v>
      </c>
      <c r="AC70" s="100" t="s">
        <v>984</v>
      </c>
      <c r="AD70" s="109">
        <v>14</v>
      </c>
      <c r="AE70" s="109">
        <v>14</v>
      </c>
      <c r="AF70" s="109" t="s">
        <v>984</v>
      </c>
      <c r="AG70" s="108"/>
      <c r="AH70" s="109"/>
      <c r="AI70" s="108"/>
      <c r="AJ70" s="111"/>
      <c r="AK70" s="100"/>
      <c r="AL70" s="110"/>
      <c r="AM70" s="110"/>
      <c r="AN70" s="100"/>
      <c r="AO70" s="100"/>
      <c r="AP70" s="100"/>
      <c r="AQ70" s="100"/>
      <c r="AR70" s="100"/>
      <c r="AS70" s="100"/>
      <c r="AT70" s="100"/>
      <c r="AU70" s="111"/>
      <c r="AV70" s="111"/>
    </row>
    <row r="71" spans="1:48" ht="16.3">
      <c r="A71" s="246" t="s">
        <v>1</v>
      </c>
      <c r="B71" s="538">
        <f>SUM(L71+M71+N71+O71+P71+U71+X71+Y71+Z71+AC71+AK71+AL71+AK71+AO71+AR71+AS71+AU71+AV71+AW71+AX71+AP71)</f>
        <v>0</v>
      </c>
      <c r="C71" s="215">
        <f>SUM(L71+M71+N71+O71+P71+U71+Y71+Z71+X71+AC71+AL71+AK71+AL71+AP71+AS71+AO71+AV71+AW71+AX71+AY71+AR71+AU71)</f>
        <v>0</v>
      </c>
      <c r="D71" s="133"/>
      <c r="E71" s="134"/>
      <c r="F71" s="135"/>
      <c r="G71" s="136"/>
      <c r="H71" s="683"/>
      <c r="I71" s="676"/>
      <c r="J71" s="96"/>
      <c r="K71" s="96"/>
      <c r="L71" s="104"/>
      <c r="M71" s="75"/>
      <c r="N71" s="75"/>
      <c r="O71" s="75"/>
      <c r="P71" s="75"/>
      <c r="Q71" s="105"/>
      <c r="R71" s="105"/>
      <c r="S71" s="96"/>
      <c r="T71" s="109"/>
      <c r="U71" s="100"/>
      <c r="V71" s="110"/>
      <c r="W71" s="110"/>
      <c r="X71" s="100"/>
      <c r="Y71" s="100"/>
      <c r="Z71" s="100"/>
      <c r="AA71" s="110"/>
      <c r="AB71" s="110"/>
      <c r="AC71" s="100"/>
      <c r="AD71" s="109">
        <v>1</v>
      </c>
      <c r="AE71" s="109">
        <v>1</v>
      </c>
      <c r="AF71" s="109"/>
      <c r="AG71" s="108"/>
      <c r="AH71" s="109"/>
      <c r="AI71" s="108"/>
      <c r="AJ71" s="111"/>
      <c r="AK71" s="100"/>
      <c r="AL71" s="110"/>
      <c r="AM71" s="110"/>
      <c r="AN71" s="100"/>
      <c r="AO71" s="100"/>
      <c r="AP71" s="100"/>
      <c r="AQ71" s="100"/>
      <c r="AR71" s="100"/>
      <c r="AS71" s="100"/>
      <c r="AT71" s="100"/>
      <c r="AU71" s="111"/>
      <c r="AV71" s="111"/>
    </row>
    <row r="72" spans="1:48" ht="16.3">
      <c r="A72" s="246" t="s">
        <v>2</v>
      </c>
      <c r="B72" s="538">
        <f>SUM(L72+M72+N72+O72+P72+U72+X72+Y72+Z72+AC72+AK72+AL72+AK72+AO72+AR72+AS72+AU72+AV72+AW72+AX72+AP72)</f>
        <v>0</v>
      </c>
      <c r="C72" s="215">
        <f>SUM(L72+M72+N72+O72+P72+U72+Y72+Z72+X72+AC72+AL72+AK72+AL72+AP72+AS72+AO72+AV72+AW72+AX72+AY72+AR72+AU72)</f>
        <v>0</v>
      </c>
      <c r="D72" s="133"/>
      <c r="E72" s="134"/>
      <c r="F72" s="135"/>
      <c r="G72" s="136"/>
      <c r="H72" s="683"/>
      <c r="I72" s="676"/>
      <c r="J72" s="96"/>
      <c r="K72" s="96"/>
      <c r="L72" s="104"/>
      <c r="M72" s="75"/>
      <c r="N72" s="75"/>
      <c r="O72" s="75"/>
      <c r="P72" s="75"/>
      <c r="Q72" s="105"/>
      <c r="R72" s="105"/>
      <c r="S72" s="96">
        <v>1</v>
      </c>
      <c r="T72" s="109"/>
      <c r="U72" s="100"/>
      <c r="V72" s="110"/>
      <c r="W72" s="110"/>
      <c r="X72" s="100"/>
      <c r="Y72" s="100"/>
      <c r="Z72" s="100"/>
      <c r="AA72" s="110"/>
      <c r="AB72" s="110"/>
      <c r="AC72" s="100"/>
      <c r="AD72" s="109"/>
      <c r="AE72" s="109"/>
      <c r="AF72" s="109"/>
      <c r="AG72" s="108"/>
      <c r="AH72" s="109"/>
      <c r="AI72" s="108"/>
      <c r="AJ72" s="111"/>
      <c r="AK72" s="100"/>
      <c r="AL72" s="110"/>
      <c r="AM72" s="110"/>
      <c r="AN72" s="100"/>
      <c r="AO72" s="100"/>
      <c r="AP72" s="100"/>
      <c r="AQ72" s="100"/>
      <c r="AR72" s="100"/>
      <c r="AS72" s="100"/>
      <c r="AT72" s="100"/>
      <c r="AU72" s="111"/>
      <c r="AV72" s="111"/>
    </row>
    <row r="73" spans="1:48" ht="16.3">
      <c r="A73" s="83" t="s">
        <v>363</v>
      </c>
      <c r="B73" s="539">
        <f t="shared" ref="B73:C73" si="3">SUM(B71+B72)</f>
        <v>0</v>
      </c>
      <c r="C73" s="214">
        <f t="shared" si="3"/>
        <v>0</v>
      </c>
      <c r="D73" s="133"/>
      <c r="E73" s="134"/>
      <c r="F73" s="135"/>
      <c r="G73" s="136"/>
      <c r="H73" s="683"/>
      <c r="I73" s="676"/>
      <c r="J73" s="96"/>
      <c r="K73" s="96"/>
      <c r="L73" s="104"/>
      <c r="M73" s="75"/>
      <c r="N73" s="75"/>
      <c r="O73" s="75"/>
      <c r="P73" s="75"/>
      <c r="Q73" s="105"/>
      <c r="R73" s="105"/>
      <c r="S73" s="96"/>
      <c r="T73" s="109"/>
      <c r="U73" s="100"/>
      <c r="V73" s="110"/>
      <c r="W73" s="110"/>
      <c r="X73" s="100"/>
      <c r="Y73" s="100"/>
      <c r="Z73" s="100"/>
      <c r="AA73" s="110"/>
      <c r="AB73" s="110"/>
      <c r="AC73" s="100"/>
      <c r="AD73" s="109"/>
      <c r="AE73" s="109"/>
      <c r="AF73" s="109"/>
      <c r="AG73" s="108"/>
      <c r="AH73" s="109"/>
      <c r="AI73" s="108"/>
      <c r="AJ73" s="111"/>
      <c r="AK73" s="100"/>
      <c r="AL73" s="110"/>
      <c r="AM73" s="110"/>
      <c r="AN73" s="100"/>
      <c r="AO73" s="100"/>
      <c r="AP73" s="100"/>
      <c r="AQ73" s="100"/>
      <c r="AR73" s="100"/>
      <c r="AS73" s="100"/>
      <c r="AT73" s="100"/>
      <c r="AU73" s="111"/>
      <c r="AV73" s="111"/>
    </row>
    <row r="74" spans="1:48" ht="16.3">
      <c r="A74" s="83" t="s">
        <v>3</v>
      </c>
      <c r="B74" s="539">
        <f>SUM(L74+M74+N74+O74+P74+U74+X74+Y74+Z74+AC74+AK74+AL74+AK74+AO74+AR74+AS74+AU74+AV74+AW74+AX74+AP74)</f>
        <v>0</v>
      </c>
      <c r="C74" s="214">
        <f>SUM(L74+M74+N74+O74+P74+U74+Y74+Z74+X74+AC74+AL74+AK74+AL74+AP74+AS74+AO74+AV74+AW74+AX74+AY74+AR74+AU74)</f>
        <v>0</v>
      </c>
      <c r="D74" s="133"/>
      <c r="E74" s="134"/>
      <c r="F74" s="135"/>
      <c r="G74" s="136"/>
      <c r="H74" s="683"/>
      <c r="I74" s="676"/>
      <c r="J74" s="96"/>
      <c r="K74" s="96"/>
      <c r="L74" s="104"/>
      <c r="M74" s="75"/>
      <c r="N74" s="75"/>
      <c r="O74" s="75"/>
      <c r="P74" s="75"/>
      <c r="Q74" s="105"/>
      <c r="R74" s="105"/>
      <c r="S74" s="96">
        <v>1</v>
      </c>
      <c r="T74" s="109"/>
      <c r="U74" s="100"/>
      <c r="V74" s="110"/>
      <c r="W74" s="110"/>
      <c r="X74" s="100"/>
      <c r="Y74" s="100"/>
      <c r="Z74" s="100"/>
      <c r="AA74" s="110"/>
      <c r="AB74" s="110"/>
      <c r="AC74" s="100"/>
      <c r="AD74" s="109"/>
      <c r="AE74" s="109"/>
      <c r="AF74" s="109"/>
      <c r="AG74" s="108"/>
      <c r="AH74" s="109"/>
      <c r="AI74" s="108"/>
      <c r="AJ74" s="111"/>
      <c r="AK74" s="100"/>
      <c r="AL74" s="110"/>
      <c r="AM74" s="110"/>
      <c r="AN74" s="100"/>
      <c r="AO74" s="100"/>
      <c r="AP74" s="100"/>
      <c r="AQ74" s="100"/>
      <c r="AR74" s="100"/>
      <c r="AS74" s="100"/>
      <c r="AT74" s="100"/>
      <c r="AU74" s="111"/>
      <c r="AV74" s="111"/>
    </row>
    <row r="75" spans="1:48" ht="17" thickBot="1">
      <c r="A75" s="85" t="s">
        <v>4</v>
      </c>
      <c r="B75" s="541">
        <f>SUM(L75+M75+N75+O75+P75+U75+X75+Y75+Z75+AC75+AK75+AL75+AK75+AO75+AR75+AS75+AU75+AV75+AW75+AX75+AP75)</f>
        <v>0</v>
      </c>
      <c r="C75" s="217">
        <f>SUM(L75+M75+N75+O75+P75+U75+Y75+Z75+X75+AC75+AL75+AK75+AL75+AP75+AS75+AO75+AV75+AW75+AX75+AY75+AR75+AU75)</f>
        <v>0</v>
      </c>
      <c r="D75" s="144"/>
      <c r="E75" s="145"/>
      <c r="F75" s="146"/>
      <c r="G75" s="147"/>
      <c r="H75" s="684"/>
      <c r="I75" s="677"/>
      <c r="J75" s="114"/>
      <c r="K75" s="114"/>
      <c r="L75" s="113"/>
      <c r="M75" s="112"/>
      <c r="N75" s="112"/>
      <c r="O75" s="112"/>
      <c r="P75" s="112"/>
      <c r="Q75" s="127"/>
      <c r="R75" s="127"/>
      <c r="S75" s="114">
        <v>5</v>
      </c>
      <c r="T75" s="118"/>
      <c r="U75" s="116"/>
      <c r="V75" s="120"/>
      <c r="W75" s="120"/>
      <c r="X75" s="116"/>
      <c r="Y75" s="116"/>
      <c r="Z75" s="116"/>
      <c r="AA75" s="120"/>
      <c r="AB75" s="120"/>
      <c r="AC75" s="116"/>
      <c r="AD75" s="118"/>
      <c r="AE75" s="118"/>
      <c r="AF75" s="118"/>
      <c r="AG75" s="117"/>
      <c r="AH75" s="118"/>
      <c r="AI75" s="117"/>
      <c r="AJ75" s="121"/>
      <c r="AK75" s="116"/>
      <c r="AL75" s="120"/>
      <c r="AM75" s="120"/>
      <c r="AN75" s="116"/>
      <c r="AO75" s="116"/>
      <c r="AP75" s="116"/>
      <c r="AQ75" s="116"/>
      <c r="AR75" s="116"/>
      <c r="AS75" s="116"/>
      <c r="AT75" s="116"/>
      <c r="AU75" s="121"/>
      <c r="AV75" s="121"/>
    </row>
    <row r="76" spans="1:48" ht="21.1">
      <c r="A76" s="82" t="s">
        <v>985</v>
      </c>
      <c r="B76" s="539"/>
      <c r="C76" s="214"/>
      <c r="D76" s="133"/>
      <c r="E76" s="134"/>
      <c r="F76" s="135"/>
      <c r="G76" s="136"/>
      <c r="H76" s="683"/>
      <c r="I76" s="676"/>
      <c r="J76" s="96"/>
      <c r="K76" s="96"/>
      <c r="L76" s="104"/>
      <c r="M76" s="75"/>
      <c r="N76" s="75"/>
      <c r="O76" s="75"/>
      <c r="P76" s="75"/>
      <c r="Q76" s="105"/>
      <c r="R76" s="105"/>
      <c r="S76" s="96"/>
      <c r="T76" s="109"/>
      <c r="U76" s="100"/>
      <c r="V76" s="110"/>
      <c r="W76" s="110"/>
      <c r="X76" s="100"/>
      <c r="Y76" s="100"/>
      <c r="Z76" s="100"/>
      <c r="AA76" s="110"/>
      <c r="AB76" s="110"/>
      <c r="AC76" s="100"/>
      <c r="AD76" s="109" t="s">
        <v>432</v>
      </c>
      <c r="AE76" s="109"/>
      <c r="AF76" s="109"/>
      <c r="AG76" s="108"/>
      <c r="AH76" s="109"/>
      <c r="AI76" s="108"/>
      <c r="AJ76" s="111"/>
      <c r="AK76" s="100"/>
      <c r="AL76" s="110"/>
      <c r="AM76" s="110"/>
      <c r="AN76" s="100"/>
      <c r="AO76" s="100"/>
      <c r="AP76" s="100"/>
      <c r="AQ76" s="100"/>
      <c r="AR76" s="100"/>
      <c r="AS76" s="100"/>
      <c r="AT76" s="100"/>
      <c r="AU76" s="111"/>
      <c r="AV76" s="111"/>
    </row>
    <row r="77" spans="1:48" ht="16.3">
      <c r="A77" s="246" t="s">
        <v>1</v>
      </c>
      <c r="B77" s="538">
        <f>SUM(L77+M77+N77+O77+P77+U77+X77+Y77+Z77+AC77+AK77+AL77+AK77+AO77+AR77+AS77+AU77+AV77+AW77+AX77+AP77)</f>
        <v>0</v>
      </c>
      <c r="C77" s="215">
        <f>SUM(L77+M77+N77+O77+P77+U77+Y77+Z77+X77+AC77+AL77+AK77+AL77+AP77+AS77+AO77+AV77+AW77+AX77+AY77+AR77+AU77)</f>
        <v>0</v>
      </c>
      <c r="D77" s="133"/>
      <c r="E77" s="134"/>
      <c r="F77" s="135"/>
      <c r="G77" s="136"/>
      <c r="H77" s="683"/>
      <c r="I77" s="676"/>
      <c r="J77" s="96"/>
      <c r="K77" s="96"/>
      <c r="L77" s="104"/>
      <c r="M77" s="75"/>
      <c r="N77" s="75"/>
      <c r="O77" s="75"/>
      <c r="P77" s="75"/>
      <c r="Q77" s="105"/>
      <c r="R77" s="105"/>
      <c r="S77" s="96"/>
      <c r="T77" s="109"/>
      <c r="U77" s="100"/>
      <c r="V77" s="110"/>
      <c r="W77" s="110"/>
      <c r="X77" s="100"/>
      <c r="Y77" s="100"/>
      <c r="Z77" s="100"/>
      <c r="AA77" s="110"/>
      <c r="AB77" s="110"/>
      <c r="AC77" s="100"/>
      <c r="AD77" s="109"/>
      <c r="AE77" s="109"/>
      <c r="AF77" s="109"/>
      <c r="AG77" s="108"/>
      <c r="AH77" s="109"/>
      <c r="AI77" s="108"/>
      <c r="AJ77" s="111"/>
      <c r="AK77" s="100"/>
      <c r="AL77" s="110"/>
      <c r="AM77" s="110"/>
      <c r="AN77" s="100"/>
      <c r="AO77" s="100"/>
      <c r="AP77" s="100"/>
      <c r="AQ77" s="100"/>
      <c r="AR77" s="100"/>
      <c r="AS77" s="100"/>
      <c r="AT77" s="100"/>
      <c r="AU77" s="111"/>
      <c r="AV77" s="111"/>
    </row>
    <row r="78" spans="1:48" ht="16.3">
      <c r="A78" s="246" t="s">
        <v>2</v>
      </c>
      <c r="B78" s="538">
        <f>SUM(L78+M78+N78+O78+P78+U78+X78+Y78+Z78+AC78+AK78+AL78+AK78+AO78+AR78+AS78+AU78+AV78+AW78+AX78+AP78)</f>
        <v>0</v>
      </c>
      <c r="C78" s="215">
        <f>SUM(L78+M78+N78+O78+P78+U78+Y78+Z78+X78+AC78+AL78+AK78+AL78+AP78+AS78+AO78+AV78+AW78+AX78+AY78+AR78+AU78)</f>
        <v>0</v>
      </c>
      <c r="D78" s="133"/>
      <c r="E78" s="134"/>
      <c r="F78" s="135"/>
      <c r="G78" s="136"/>
      <c r="H78" s="683"/>
      <c r="I78" s="676"/>
      <c r="J78" s="96"/>
      <c r="K78" s="96"/>
      <c r="L78" s="104"/>
      <c r="M78" s="75"/>
      <c r="N78" s="75"/>
      <c r="O78" s="75"/>
      <c r="P78" s="75"/>
      <c r="Q78" s="105"/>
      <c r="R78" s="105"/>
      <c r="S78" s="96"/>
      <c r="T78" s="109"/>
      <c r="U78" s="100"/>
      <c r="V78" s="110"/>
      <c r="W78" s="110"/>
      <c r="X78" s="100"/>
      <c r="Y78" s="100"/>
      <c r="Z78" s="100"/>
      <c r="AA78" s="110"/>
      <c r="AB78" s="110"/>
      <c r="AC78" s="100"/>
      <c r="AD78" s="109">
        <v>1</v>
      </c>
      <c r="AE78" s="109"/>
      <c r="AF78" s="109"/>
      <c r="AG78" s="108"/>
      <c r="AH78" s="109"/>
      <c r="AI78" s="108"/>
      <c r="AJ78" s="111"/>
      <c r="AK78" s="100"/>
      <c r="AL78" s="110"/>
      <c r="AM78" s="110"/>
      <c r="AN78" s="100"/>
      <c r="AO78" s="100"/>
      <c r="AP78" s="100"/>
      <c r="AQ78" s="100"/>
      <c r="AR78" s="100"/>
      <c r="AS78" s="100"/>
      <c r="AT78" s="100"/>
      <c r="AU78" s="111"/>
      <c r="AV78" s="111"/>
    </row>
    <row r="79" spans="1:48" ht="16.3">
      <c r="A79" s="83" t="s">
        <v>363</v>
      </c>
      <c r="B79" s="539">
        <f t="shared" ref="B79:C79" si="4">SUM(B77+B78)</f>
        <v>0</v>
      </c>
      <c r="C79" s="214">
        <f t="shared" si="4"/>
        <v>0</v>
      </c>
      <c r="D79" s="133"/>
      <c r="E79" s="134"/>
      <c r="F79" s="135"/>
      <c r="G79" s="136"/>
      <c r="H79" s="683"/>
      <c r="I79" s="676"/>
      <c r="J79" s="96"/>
      <c r="K79" s="96"/>
      <c r="L79" s="104"/>
      <c r="M79" s="75"/>
      <c r="N79" s="75"/>
      <c r="O79" s="75"/>
      <c r="P79" s="75"/>
      <c r="Q79" s="105"/>
      <c r="R79" s="105"/>
      <c r="S79" s="96"/>
      <c r="T79" s="109"/>
      <c r="U79" s="100"/>
      <c r="V79" s="110"/>
      <c r="W79" s="110"/>
      <c r="X79" s="100"/>
      <c r="Y79" s="100"/>
      <c r="Z79" s="100"/>
      <c r="AA79" s="110"/>
      <c r="AB79" s="110"/>
      <c r="AC79" s="100"/>
      <c r="AD79" s="109"/>
      <c r="AE79" s="109"/>
      <c r="AF79" s="109"/>
      <c r="AG79" s="108"/>
      <c r="AH79" s="109"/>
      <c r="AI79" s="108"/>
      <c r="AJ79" s="111"/>
      <c r="AK79" s="100"/>
      <c r="AL79" s="110"/>
      <c r="AM79" s="110"/>
      <c r="AN79" s="100"/>
      <c r="AO79" s="100"/>
      <c r="AP79" s="100"/>
      <c r="AQ79" s="100"/>
      <c r="AR79" s="100"/>
      <c r="AS79" s="100"/>
      <c r="AT79" s="100"/>
      <c r="AU79" s="111"/>
      <c r="AV79" s="111"/>
    </row>
    <row r="80" spans="1:48" ht="16.3">
      <c r="A80" s="83" t="s">
        <v>3</v>
      </c>
      <c r="B80" s="539">
        <f>SUM(L80+M80+N80+O80+P80+U80+X80+Y80+Z80+AC80+AK80+AL80+AK80+AO80+AR80+AS80+AU80+AV80+AW80+AX80+AP80)</f>
        <v>0</v>
      </c>
      <c r="C80" s="214">
        <f>SUM(L80+M80+N80+O80+P80+U80+Y80+Z80+X80+AC80+AL80+AK80+AL80+AP80+AS80+AO80+AV80+AW80+AX80+AY80+AR80+AU80)</f>
        <v>0</v>
      </c>
      <c r="D80" s="133"/>
      <c r="E80" s="134"/>
      <c r="F80" s="135"/>
      <c r="G80" s="136"/>
      <c r="H80" s="683"/>
      <c r="I80" s="676"/>
      <c r="J80" s="96"/>
      <c r="K80" s="96"/>
      <c r="L80" s="104"/>
      <c r="M80" s="75"/>
      <c r="N80" s="75"/>
      <c r="O80" s="75"/>
      <c r="P80" s="75"/>
      <c r="Q80" s="105"/>
      <c r="R80" s="105"/>
      <c r="S80" s="96"/>
      <c r="T80" s="109"/>
      <c r="U80" s="100"/>
      <c r="V80" s="110"/>
      <c r="W80" s="110"/>
      <c r="X80" s="100"/>
      <c r="Y80" s="100"/>
      <c r="Z80" s="100"/>
      <c r="AA80" s="110"/>
      <c r="AB80" s="110"/>
      <c r="AC80" s="100"/>
      <c r="AD80" s="109"/>
      <c r="AE80" s="109"/>
      <c r="AF80" s="109"/>
      <c r="AG80" s="108"/>
      <c r="AH80" s="109"/>
      <c r="AI80" s="108"/>
      <c r="AJ80" s="111"/>
      <c r="AK80" s="100"/>
      <c r="AL80" s="110"/>
      <c r="AM80" s="110"/>
      <c r="AN80" s="100"/>
      <c r="AO80" s="100"/>
      <c r="AP80" s="100"/>
      <c r="AQ80" s="100"/>
      <c r="AR80" s="100"/>
      <c r="AS80" s="100"/>
      <c r="AT80" s="100"/>
      <c r="AU80" s="111"/>
      <c r="AV80" s="111"/>
    </row>
    <row r="81" spans="1:48" ht="17" thickBot="1">
      <c r="A81" s="85" t="s">
        <v>4</v>
      </c>
      <c r="B81" s="541">
        <f>SUM(L81+M81+N81+O81+P81+U81+X81+Y81+Z81+AC81+AK81+AL81+AK81+AO81+AR81+AS81+AU81+AV81+AW81+AX81+AP81)</f>
        <v>0</v>
      </c>
      <c r="C81" s="217">
        <f>SUM(L81+M81+N81+O81+P81+U81+Y81+Z81+X81+AC81+AL81+AK81+AL81+AP81+AS81+AO81+AV81+AW81+AX81+AY81+AR81+AU81)</f>
        <v>0</v>
      </c>
      <c r="D81" s="144"/>
      <c r="E81" s="145"/>
      <c r="F81" s="146"/>
      <c r="G81" s="147"/>
      <c r="H81" s="684"/>
      <c r="I81" s="677"/>
      <c r="J81" s="114"/>
      <c r="K81" s="114"/>
      <c r="L81" s="113"/>
      <c r="M81" s="112"/>
      <c r="N81" s="112"/>
      <c r="O81" s="112"/>
      <c r="P81" s="112"/>
      <c r="Q81" s="127"/>
      <c r="R81" s="127"/>
      <c r="S81" s="114"/>
      <c r="T81" s="118"/>
      <c r="U81" s="116"/>
      <c r="V81" s="120"/>
      <c r="W81" s="120"/>
      <c r="X81" s="116"/>
      <c r="Y81" s="116"/>
      <c r="Z81" s="116"/>
      <c r="AA81" s="120"/>
      <c r="AB81" s="120"/>
      <c r="AC81" s="116"/>
      <c r="AD81" s="118"/>
      <c r="AE81" s="118"/>
      <c r="AF81" s="118"/>
      <c r="AG81" s="117"/>
      <c r="AH81" s="118"/>
      <c r="AI81" s="117"/>
      <c r="AJ81" s="121"/>
      <c r="AK81" s="116"/>
      <c r="AL81" s="120"/>
      <c r="AM81" s="120"/>
      <c r="AN81" s="116"/>
      <c r="AO81" s="116"/>
      <c r="AP81" s="116"/>
      <c r="AQ81" s="116"/>
      <c r="AR81" s="116"/>
      <c r="AS81" s="116"/>
      <c r="AT81" s="116"/>
      <c r="AU81" s="121"/>
      <c r="AV81" s="121"/>
    </row>
    <row r="82" spans="1:48" ht="21.1">
      <c r="A82" s="82" t="s">
        <v>1011</v>
      </c>
      <c r="B82" s="539"/>
      <c r="C82" s="214"/>
      <c r="D82" s="133"/>
      <c r="E82" s="134"/>
      <c r="F82" s="135"/>
      <c r="G82" s="136"/>
      <c r="H82" s="683"/>
      <c r="I82" s="676"/>
      <c r="J82" s="96"/>
      <c r="K82" s="96"/>
      <c r="L82" s="104"/>
      <c r="M82" s="75"/>
      <c r="N82" s="75"/>
      <c r="O82" s="75"/>
      <c r="P82" s="75"/>
      <c r="Q82" s="105"/>
      <c r="R82" s="105"/>
      <c r="S82" s="96"/>
      <c r="T82" s="109"/>
      <c r="U82" s="100"/>
      <c r="V82" s="110"/>
      <c r="W82" s="110"/>
      <c r="X82" s="100"/>
      <c r="Y82" s="100"/>
      <c r="Z82" s="100"/>
      <c r="AA82" s="110"/>
      <c r="AB82" s="110"/>
      <c r="AC82" s="100"/>
      <c r="AD82" s="109"/>
      <c r="AE82" s="109" t="s">
        <v>432</v>
      </c>
      <c r="AF82" s="109" t="s">
        <v>393</v>
      </c>
      <c r="AG82" s="108"/>
      <c r="AH82" s="109"/>
      <c r="AI82" s="108"/>
      <c r="AJ82" s="111"/>
      <c r="AK82" s="100"/>
      <c r="AL82" s="110"/>
      <c r="AM82" s="110"/>
      <c r="AN82" s="100"/>
      <c r="AO82" s="100"/>
      <c r="AP82" s="100"/>
      <c r="AQ82" s="100"/>
      <c r="AR82" s="100"/>
      <c r="AS82" s="100"/>
      <c r="AT82" s="100"/>
      <c r="AU82" s="111"/>
      <c r="AV82" s="111"/>
    </row>
    <row r="83" spans="1:48" ht="16.3">
      <c r="A83" s="246" t="s">
        <v>1</v>
      </c>
      <c r="B83" s="538">
        <f>SUM(L83+M83+N83+O83+P83+U83+X83+Y83+Z83+AC83+AK83+AL83+AK83+AO83+AR83+AS83+AU83+AV83+AW83+AX83+AP83)</f>
        <v>0</v>
      </c>
      <c r="C83" s="215">
        <f>SUM(L83+M83+N83+O83+P83+U83+Y83+Z83+X83+AC83+AL83+AK83+AL83+AP83+AS83+AO83+AV83+AW83+AX83+AY83+AR83+AU83)</f>
        <v>0</v>
      </c>
      <c r="D83" s="133"/>
      <c r="E83" s="134"/>
      <c r="F83" s="135"/>
      <c r="G83" s="136"/>
      <c r="H83" s="683"/>
      <c r="I83" s="676"/>
      <c r="J83" s="96"/>
      <c r="K83" s="96"/>
      <c r="L83" s="104"/>
      <c r="M83" s="75"/>
      <c r="N83" s="75"/>
      <c r="O83" s="75"/>
      <c r="P83" s="75"/>
      <c r="Q83" s="105"/>
      <c r="R83" s="105"/>
      <c r="S83" s="96"/>
      <c r="T83" s="109"/>
      <c r="U83" s="100"/>
      <c r="V83" s="110"/>
      <c r="W83" s="110"/>
      <c r="X83" s="100"/>
      <c r="Y83" s="100"/>
      <c r="Z83" s="100"/>
      <c r="AA83" s="110"/>
      <c r="AB83" s="110"/>
      <c r="AC83" s="100"/>
      <c r="AD83" s="109"/>
      <c r="AE83" s="109"/>
      <c r="AF83" s="109"/>
      <c r="AG83" s="108"/>
      <c r="AH83" s="109"/>
      <c r="AI83" s="108"/>
      <c r="AJ83" s="111"/>
      <c r="AK83" s="100"/>
      <c r="AL83" s="110"/>
      <c r="AM83" s="110"/>
      <c r="AN83" s="100"/>
      <c r="AO83" s="100"/>
      <c r="AP83" s="100"/>
      <c r="AQ83" s="100"/>
      <c r="AR83" s="100"/>
      <c r="AS83" s="100"/>
      <c r="AT83" s="100"/>
      <c r="AU83" s="111"/>
      <c r="AV83" s="111"/>
    </row>
    <row r="84" spans="1:48" ht="16.3">
      <c r="A84" s="246" t="s">
        <v>2</v>
      </c>
      <c r="B84" s="538">
        <f>SUM(L84+M84+N84+O84+P84+U84+X84+Y84+Z84+AC84+AK84+AL84+AK84+AO84+AR84+AS84+AU84+AV84+AW84+AX84+AP84)</f>
        <v>0</v>
      </c>
      <c r="C84" s="215">
        <f>SUM(L84+M84+N84+O84+P84+U84+Y84+Z84+X84+AC84+AL84+AK84+AL84+AP84+AS84+AO84+AV84+AW84+AX84+AY84+AR84+AU84)</f>
        <v>0</v>
      </c>
      <c r="D84" s="133"/>
      <c r="E84" s="134"/>
      <c r="F84" s="135"/>
      <c r="G84" s="136"/>
      <c r="H84" s="683"/>
      <c r="I84" s="676"/>
      <c r="J84" s="96"/>
      <c r="K84" s="96"/>
      <c r="L84" s="104"/>
      <c r="M84" s="75"/>
      <c r="N84" s="75"/>
      <c r="O84" s="75"/>
      <c r="P84" s="75"/>
      <c r="Q84" s="105"/>
      <c r="R84" s="105"/>
      <c r="S84" s="96"/>
      <c r="T84" s="109"/>
      <c r="U84" s="100"/>
      <c r="V84" s="110"/>
      <c r="W84" s="110"/>
      <c r="X84" s="100"/>
      <c r="Y84" s="100"/>
      <c r="Z84" s="100"/>
      <c r="AA84" s="110"/>
      <c r="AB84" s="110"/>
      <c r="AC84" s="100"/>
      <c r="AD84" s="109"/>
      <c r="AE84" s="109">
        <v>1</v>
      </c>
      <c r="AF84" s="109"/>
      <c r="AG84" s="108"/>
      <c r="AH84" s="109"/>
      <c r="AI84" s="108"/>
      <c r="AJ84" s="111"/>
      <c r="AK84" s="100"/>
      <c r="AL84" s="110"/>
      <c r="AM84" s="110"/>
      <c r="AN84" s="100"/>
      <c r="AO84" s="100"/>
      <c r="AP84" s="100"/>
      <c r="AQ84" s="100"/>
      <c r="AR84" s="100"/>
      <c r="AS84" s="100"/>
      <c r="AT84" s="100"/>
      <c r="AU84" s="111"/>
      <c r="AV84" s="111"/>
    </row>
    <row r="85" spans="1:48" ht="16.3">
      <c r="A85" s="83" t="s">
        <v>363</v>
      </c>
      <c r="B85" s="539">
        <f t="shared" ref="B85:C85" si="5">SUM(B83+B84)</f>
        <v>0</v>
      </c>
      <c r="C85" s="214">
        <f t="shared" si="5"/>
        <v>0</v>
      </c>
      <c r="D85" s="133"/>
      <c r="E85" s="134"/>
      <c r="F85" s="135"/>
      <c r="G85" s="136"/>
      <c r="H85" s="683"/>
      <c r="I85" s="676"/>
      <c r="J85" s="96"/>
      <c r="K85" s="96"/>
      <c r="L85" s="104"/>
      <c r="M85" s="75"/>
      <c r="N85" s="75"/>
      <c r="O85" s="75"/>
      <c r="P85" s="75"/>
      <c r="Q85" s="105"/>
      <c r="R85" s="105"/>
      <c r="S85" s="96"/>
      <c r="T85" s="109"/>
      <c r="U85" s="100"/>
      <c r="V85" s="110"/>
      <c r="W85" s="110"/>
      <c r="X85" s="100"/>
      <c r="Y85" s="100"/>
      <c r="Z85" s="100"/>
      <c r="AA85" s="110"/>
      <c r="AB85" s="110"/>
      <c r="AC85" s="100"/>
      <c r="AD85" s="109"/>
      <c r="AE85" s="109"/>
      <c r="AF85" s="109"/>
      <c r="AG85" s="108"/>
      <c r="AH85" s="109"/>
      <c r="AI85" s="108"/>
      <c r="AJ85" s="111"/>
      <c r="AK85" s="100"/>
      <c r="AL85" s="110"/>
      <c r="AM85" s="110"/>
      <c r="AN85" s="100"/>
      <c r="AO85" s="100"/>
      <c r="AP85" s="100"/>
      <c r="AQ85" s="100"/>
      <c r="AR85" s="100"/>
      <c r="AS85" s="100"/>
      <c r="AT85" s="100"/>
      <c r="AU85" s="111"/>
      <c r="AV85" s="111"/>
    </row>
    <row r="86" spans="1:48" ht="16.3">
      <c r="A86" s="83" t="s">
        <v>3</v>
      </c>
      <c r="B86" s="539">
        <f>SUM(L86+M86+N86+O86+P86+U86+X86+Y86+Z86+AC86+AK86+AL86+AK86+AO86+AR86+AS86+AU86+AV86+AW86+AX86+AP86)</f>
        <v>0</v>
      </c>
      <c r="C86" s="214">
        <f>SUM(L86+M86+N86+O86+P86+U86+Y86+Z86+X86+AC86+AL86+AK86+AL86+AP86+AS86+AO86+AV86+AW86+AX86+AY86+AR86+AU86)</f>
        <v>0</v>
      </c>
      <c r="D86" s="133"/>
      <c r="E86" s="134"/>
      <c r="F86" s="135"/>
      <c r="G86" s="136"/>
      <c r="H86" s="683"/>
      <c r="I86" s="676"/>
      <c r="J86" s="96"/>
      <c r="K86" s="96"/>
      <c r="L86" s="104"/>
      <c r="M86" s="75"/>
      <c r="N86" s="75"/>
      <c r="O86" s="75"/>
      <c r="P86" s="75"/>
      <c r="Q86" s="105"/>
      <c r="R86" s="105"/>
      <c r="S86" s="96"/>
      <c r="T86" s="109"/>
      <c r="U86" s="100"/>
      <c r="V86" s="110"/>
      <c r="W86" s="110"/>
      <c r="X86" s="100"/>
      <c r="Y86" s="100"/>
      <c r="Z86" s="100"/>
      <c r="AA86" s="110"/>
      <c r="AB86" s="110"/>
      <c r="AC86" s="100"/>
      <c r="AD86" s="109"/>
      <c r="AE86" s="109">
        <v>1</v>
      </c>
      <c r="AF86" s="109"/>
      <c r="AG86" s="108"/>
      <c r="AH86" s="109"/>
      <c r="AI86" s="108"/>
      <c r="AJ86" s="111"/>
      <c r="AK86" s="100"/>
      <c r="AL86" s="110"/>
      <c r="AM86" s="110"/>
      <c r="AN86" s="100"/>
      <c r="AO86" s="100"/>
      <c r="AP86" s="100"/>
      <c r="AQ86" s="100"/>
      <c r="AR86" s="100"/>
      <c r="AS86" s="100"/>
      <c r="AT86" s="100"/>
      <c r="AU86" s="111"/>
      <c r="AV86" s="111"/>
    </row>
    <row r="87" spans="1:48" ht="17" thickBot="1">
      <c r="A87" s="85" t="s">
        <v>4</v>
      </c>
      <c r="B87" s="541">
        <f>SUM(L87+M87+N87+O87+P87+U87+X87+Y87+Z87+AC87+AK87+AL87+AK87+AO87+AR87+AS87+AU87+AV87+AW87+AX87+AP87)</f>
        <v>0</v>
      </c>
      <c r="C87" s="217">
        <f>SUM(L87+M87+N87+O87+P87+U87+Y87+Z87+X87+AC87+AL87+AK87+AL87+AP87+AS87+AO87+AV87+AW87+AX87+AY87+AR87+AU87)</f>
        <v>0</v>
      </c>
      <c r="D87" s="144"/>
      <c r="E87" s="145"/>
      <c r="F87" s="146"/>
      <c r="G87" s="147"/>
      <c r="H87" s="684"/>
      <c r="I87" s="677"/>
      <c r="J87" s="114"/>
      <c r="K87" s="114"/>
      <c r="L87" s="113"/>
      <c r="M87" s="112"/>
      <c r="N87" s="112"/>
      <c r="O87" s="112"/>
      <c r="P87" s="112"/>
      <c r="Q87" s="127"/>
      <c r="R87" s="127"/>
      <c r="S87" s="114"/>
      <c r="T87" s="118"/>
      <c r="U87" s="116"/>
      <c r="V87" s="120"/>
      <c r="W87" s="120"/>
      <c r="X87" s="116"/>
      <c r="Y87" s="116"/>
      <c r="Z87" s="116"/>
      <c r="AA87" s="120"/>
      <c r="AB87" s="120"/>
      <c r="AC87" s="116"/>
      <c r="AD87" s="118"/>
      <c r="AE87" s="118">
        <v>5</v>
      </c>
      <c r="AF87" s="118"/>
      <c r="AG87" s="117"/>
      <c r="AH87" s="118"/>
      <c r="AI87" s="117"/>
      <c r="AJ87" s="121"/>
      <c r="AK87" s="116"/>
      <c r="AL87" s="120"/>
      <c r="AM87" s="120"/>
      <c r="AN87" s="116"/>
      <c r="AO87" s="116"/>
      <c r="AP87" s="116"/>
      <c r="AQ87" s="116"/>
      <c r="AR87" s="116"/>
      <c r="AS87" s="116"/>
      <c r="AT87" s="116"/>
      <c r="AU87" s="121"/>
      <c r="AV87" s="121"/>
    </row>
    <row r="88" spans="1:48" ht="21.1">
      <c r="A88" s="82" t="s">
        <v>280</v>
      </c>
      <c r="B88" s="539"/>
      <c r="C88" s="214"/>
      <c r="D88" s="133"/>
      <c r="E88" s="134"/>
      <c r="F88" s="135"/>
      <c r="G88" s="136"/>
      <c r="H88" s="683"/>
      <c r="I88" s="676"/>
      <c r="J88" s="96" t="s">
        <v>394</v>
      </c>
      <c r="K88" s="96" t="s">
        <v>394</v>
      </c>
      <c r="L88" s="104" t="s">
        <v>394</v>
      </c>
      <c r="M88" s="75" t="s">
        <v>394</v>
      </c>
      <c r="N88" s="75">
        <v>11</v>
      </c>
      <c r="O88" s="75">
        <v>11</v>
      </c>
      <c r="P88" s="75" t="s">
        <v>339</v>
      </c>
      <c r="Q88" s="105"/>
      <c r="R88" s="105"/>
      <c r="S88" s="96" t="s">
        <v>339</v>
      </c>
      <c r="T88" s="109" t="s">
        <v>375</v>
      </c>
      <c r="U88" s="100" t="s">
        <v>377</v>
      </c>
      <c r="V88" s="110" t="s">
        <v>377</v>
      </c>
      <c r="W88" s="110" t="s">
        <v>339</v>
      </c>
      <c r="X88" s="100" t="s">
        <v>339</v>
      </c>
      <c r="Y88" s="100">
        <v>13</v>
      </c>
      <c r="Z88" s="100" t="s">
        <v>377</v>
      </c>
      <c r="AA88" s="110"/>
      <c r="AB88" s="110" t="s">
        <v>377</v>
      </c>
      <c r="AC88" s="100"/>
      <c r="AD88" s="109"/>
      <c r="AE88" s="109"/>
      <c r="AF88" s="109"/>
      <c r="AG88" s="108"/>
      <c r="AH88" s="109"/>
      <c r="AI88" s="108"/>
      <c r="AJ88" s="111"/>
      <c r="AK88" s="100"/>
      <c r="AL88" s="110"/>
      <c r="AM88" s="110"/>
      <c r="AN88" s="100"/>
      <c r="AO88" s="100"/>
      <c r="AP88" s="100"/>
      <c r="AQ88" s="100"/>
      <c r="AR88" s="100"/>
      <c r="AS88" s="100"/>
      <c r="AT88" s="100"/>
      <c r="AU88" s="111"/>
      <c r="AV88" s="111"/>
    </row>
    <row r="89" spans="1:48" ht="16.3">
      <c r="A89" s="246" t="s">
        <v>1</v>
      </c>
      <c r="B89" s="538">
        <f>SUM(L89+M89+N89+O89+P89+U89+X89+Y89+Z89+AC89+AK89+AL89+AK89+AO89+AR89+AS89+AU89+AV89+AW89+AX89+AP89)+14</f>
        <v>19</v>
      </c>
      <c r="C89" s="215">
        <f>SUM(L89+M89+N89+O89+P89+U89+Y89+Z89+X89+AC89+AL89+AK89+AL89+AP89+AS89+AO89+AV89+AW89+AX89+AY89+AR89+AU89)+33</f>
        <v>38</v>
      </c>
      <c r="D89" s="133"/>
      <c r="E89" s="134"/>
      <c r="F89" s="135"/>
      <c r="G89" s="136"/>
      <c r="H89" s="683"/>
      <c r="I89" s="676"/>
      <c r="J89" s="96"/>
      <c r="K89" s="96"/>
      <c r="L89" s="104"/>
      <c r="M89" s="75"/>
      <c r="N89" s="75">
        <v>1</v>
      </c>
      <c r="O89" s="75">
        <v>1</v>
      </c>
      <c r="P89" s="75"/>
      <c r="Q89" s="105"/>
      <c r="R89" s="105"/>
      <c r="S89" s="96"/>
      <c r="T89" s="109"/>
      <c r="U89" s="100">
        <v>1</v>
      </c>
      <c r="V89" s="110">
        <v>1</v>
      </c>
      <c r="W89" s="110"/>
      <c r="X89" s="100"/>
      <c r="Y89" s="100">
        <v>1</v>
      </c>
      <c r="Z89" s="100">
        <v>1</v>
      </c>
      <c r="AA89" s="110"/>
      <c r="AB89" s="110">
        <v>1</v>
      </c>
      <c r="AC89" s="100"/>
      <c r="AD89" s="109"/>
      <c r="AE89" s="109"/>
      <c r="AF89" s="109"/>
      <c r="AG89" s="108"/>
      <c r="AH89" s="109"/>
      <c r="AI89" s="108"/>
      <c r="AJ89" s="111"/>
      <c r="AK89" s="100"/>
      <c r="AL89" s="110"/>
      <c r="AM89" s="110"/>
      <c r="AN89" s="100"/>
      <c r="AO89" s="100"/>
      <c r="AP89" s="100"/>
      <c r="AQ89" s="100"/>
      <c r="AR89" s="100"/>
      <c r="AS89" s="100"/>
      <c r="AT89" s="100"/>
      <c r="AU89" s="111"/>
      <c r="AV89" s="111"/>
    </row>
    <row r="90" spans="1:48" ht="16.3">
      <c r="A90" s="246" t="s">
        <v>2</v>
      </c>
      <c r="B90" s="538">
        <f>SUM(L90+M90+N90+O90+P90+U90+X90+Y90+Z90+AC90+AK90+AL90+AK90+AO90+AR90+AS90+AU90+AV90+AW90+AX90+AP90)+4</f>
        <v>4</v>
      </c>
      <c r="C90" s="215">
        <f>SUM(L90+M90+N90+O90+P90+U90+Y90+Z90+X90+AC90+AL90+AK90+AL90+AP90+AS90+AO90+AV90+AW90+AX90+AY90+AR90+AU90)+9</f>
        <v>9</v>
      </c>
      <c r="D90" s="133"/>
      <c r="E90" s="134"/>
      <c r="F90" s="135"/>
      <c r="G90" s="136"/>
      <c r="H90" s="683"/>
      <c r="I90" s="676"/>
      <c r="J90" s="96"/>
      <c r="K90" s="96"/>
      <c r="L90" s="104"/>
      <c r="M90" s="75"/>
      <c r="N90" s="75"/>
      <c r="O90" s="75"/>
      <c r="P90" s="75"/>
      <c r="Q90" s="105"/>
      <c r="R90" s="105"/>
      <c r="S90" s="96"/>
      <c r="T90" s="109">
        <v>1</v>
      </c>
      <c r="U90" s="100"/>
      <c r="V90" s="110"/>
      <c r="W90" s="110"/>
      <c r="X90" s="100"/>
      <c r="Y90" s="100"/>
      <c r="Z90" s="100"/>
      <c r="AA90" s="110"/>
      <c r="AB90" s="110"/>
      <c r="AC90" s="100"/>
      <c r="AD90" s="109"/>
      <c r="AE90" s="109"/>
      <c r="AF90" s="109"/>
      <c r="AG90" s="108"/>
      <c r="AH90" s="109"/>
      <c r="AI90" s="108"/>
      <c r="AJ90" s="111"/>
      <c r="AK90" s="100"/>
      <c r="AL90" s="110"/>
      <c r="AM90" s="110"/>
      <c r="AN90" s="100"/>
      <c r="AO90" s="100"/>
      <c r="AP90" s="100"/>
      <c r="AQ90" s="100"/>
      <c r="AR90" s="100"/>
      <c r="AS90" s="100"/>
      <c r="AT90" s="100"/>
      <c r="AU90" s="111"/>
      <c r="AV90" s="111"/>
    </row>
    <row r="91" spans="1:48" ht="16.3">
      <c r="A91" s="83" t="s">
        <v>363</v>
      </c>
      <c r="B91" s="539">
        <f t="shared" ref="B91:C91" si="6">SUM(B89+B90)</f>
        <v>23</v>
      </c>
      <c r="C91" s="214">
        <f t="shared" si="6"/>
        <v>47</v>
      </c>
      <c r="D91" s="133"/>
      <c r="E91" s="134"/>
      <c r="F91" s="135"/>
      <c r="G91" s="136"/>
      <c r="H91" s="683"/>
      <c r="I91" s="676"/>
      <c r="J91" s="96"/>
      <c r="K91" s="96"/>
      <c r="L91" s="104"/>
      <c r="M91" s="75"/>
      <c r="N91" s="75"/>
      <c r="O91" s="75"/>
      <c r="P91" s="75"/>
      <c r="Q91" s="105"/>
      <c r="R91" s="105"/>
      <c r="S91" s="96"/>
      <c r="T91" s="109"/>
      <c r="U91" s="100"/>
      <c r="V91" s="110"/>
      <c r="W91" s="110"/>
      <c r="X91" s="100"/>
      <c r="Y91" s="100"/>
      <c r="Z91" s="100"/>
      <c r="AA91" s="110"/>
      <c r="AB91" s="110"/>
      <c r="AC91" s="100"/>
      <c r="AD91" s="109"/>
      <c r="AE91" s="109"/>
      <c r="AF91" s="109"/>
      <c r="AG91" s="108"/>
      <c r="AH91" s="109"/>
      <c r="AI91" s="108"/>
      <c r="AJ91" s="111"/>
      <c r="AK91" s="100"/>
      <c r="AL91" s="110"/>
      <c r="AM91" s="110"/>
      <c r="AN91" s="100"/>
      <c r="AO91" s="100"/>
      <c r="AP91" s="100"/>
      <c r="AQ91" s="100"/>
      <c r="AR91" s="100"/>
      <c r="AS91" s="100"/>
      <c r="AT91" s="100"/>
      <c r="AU91" s="111"/>
      <c r="AV91" s="111"/>
    </row>
    <row r="92" spans="1:48" ht="16.3">
      <c r="A92" s="83" t="s">
        <v>3</v>
      </c>
      <c r="B92" s="539">
        <f>SUM(L92+M92+N92+O92+P92+U92+X92+Y92+Z92+AC92+AK92+AL92+AK92+AO92+AR92+AS92+AU92+AV92+AW92+AX92+AP92)+4</f>
        <v>4</v>
      </c>
      <c r="C92" s="214">
        <f>SUM(L92+M92+N92+O92+P92+U92+Y92+Z92+X92+AC92+AL92+AK92+AL92+AP92+AS92+AO92+AV92+AW92+AX92+AY92+AR92+AU92)+8</f>
        <v>8</v>
      </c>
      <c r="D92" s="133"/>
      <c r="E92" s="134"/>
      <c r="F92" s="135"/>
      <c r="G92" s="136"/>
      <c r="H92" s="683"/>
      <c r="I92" s="676"/>
      <c r="J92" s="96"/>
      <c r="K92" s="96"/>
      <c r="L92" s="104"/>
      <c r="M92" s="75"/>
      <c r="N92" s="75"/>
      <c r="O92" s="75"/>
      <c r="P92" s="75"/>
      <c r="Q92" s="105"/>
      <c r="R92" s="105"/>
      <c r="S92" s="96"/>
      <c r="T92" s="109"/>
      <c r="U92" s="100"/>
      <c r="V92" s="110">
        <v>2</v>
      </c>
      <c r="W92" s="110"/>
      <c r="X92" s="100"/>
      <c r="Y92" s="100"/>
      <c r="Z92" s="100"/>
      <c r="AA92" s="110"/>
      <c r="AB92" s="110"/>
      <c r="AC92" s="100"/>
      <c r="AD92" s="109"/>
      <c r="AE92" s="109"/>
      <c r="AF92" s="109"/>
      <c r="AG92" s="108"/>
      <c r="AH92" s="109"/>
      <c r="AI92" s="108"/>
      <c r="AJ92" s="111"/>
      <c r="AK92" s="100"/>
      <c r="AL92" s="110"/>
      <c r="AM92" s="110"/>
      <c r="AN92" s="100"/>
      <c r="AO92" s="100"/>
      <c r="AP92" s="100"/>
      <c r="AQ92" s="100"/>
      <c r="AR92" s="100"/>
      <c r="AS92" s="100"/>
      <c r="AT92" s="100"/>
      <c r="AU92" s="111"/>
      <c r="AV92" s="111"/>
    </row>
    <row r="93" spans="1:48" ht="17" thickBot="1">
      <c r="A93" s="85" t="s">
        <v>4</v>
      </c>
      <c r="B93" s="541">
        <f>SUM(L93+M93+N93+O93+P93+U93+X93+Y93+Z93+AC93+AK93+AL93+AK93+AO93+AR93+AS93+AU93+AV93+AW93+AX93+AP93)+20</f>
        <v>20</v>
      </c>
      <c r="C93" s="217">
        <f>SUM(L93+M93+N93+O93+P93+U93+Y93+Z93+X93+AC93+AL93+AK93+AL93+AP93+AS93+AO93+AV93+AW93+AX93+AY93+AR93+AU93)+40</f>
        <v>40</v>
      </c>
      <c r="D93" s="144"/>
      <c r="E93" s="145"/>
      <c r="F93" s="146"/>
      <c r="G93" s="147"/>
      <c r="H93" s="684"/>
      <c r="I93" s="677"/>
      <c r="J93" s="114"/>
      <c r="K93" s="114"/>
      <c r="L93" s="113"/>
      <c r="M93" s="112"/>
      <c r="N93" s="112"/>
      <c r="O93" s="112"/>
      <c r="P93" s="112"/>
      <c r="Q93" s="127"/>
      <c r="R93" s="127"/>
      <c r="S93" s="114"/>
      <c r="T93" s="118"/>
      <c r="U93" s="116"/>
      <c r="V93" s="119">
        <v>10</v>
      </c>
      <c r="W93" s="120"/>
      <c r="X93" s="116"/>
      <c r="Y93" s="116"/>
      <c r="Z93" s="116"/>
      <c r="AA93" s="120"/>
      <c r="AB93" s="120"/>
      <c r="AC93" s="116"/>
      <c r="AD93" s="118"/>
      <c r="AE93" s="118"/>
      <c r="AF93" s="118"/>
      <c r="AG93" s="117"/>
      <c r="AH93" s="118"/>
      <c r="AI93" s="117"/>
      <c r="AJ93" s="121"/>
      <c r="AK93" s="116"/>
      <c r="AL93" s="120"/>
      <c r="AM93" s="120"/>
      <c r="AN93" s="116"/>
      <c r="AO93" s="116"/>
      <c r="AP93" s="116"/>
      <c r="AQ93" s="116"/>
      <c r="AR93" s="116"/>
      <c r="AS93" s="116"/>
      <c r="AT93" s="116"/>
      <c r="AU93" s="121"/>
      <c r="AV93" s="121"/>
    </row>
    <row r="94" spans="1:48" ht="21.1">
      <c r="A94" s="82" t="s">
        <v>93</v>
      </c>
      <c r="B94" s="539"/>
      <c r="C94" s="214"/>
      <c r="D94" s="133"/>
      <c r="E94" s="134"/>
      <c r="F94" s="135"/>
      <c r="G94" s="136"/>
      <c r="H94" s="683"/>
      <c r="I94" s="676"/>
      <c r="J94" s="96" t="s">
        <v>609</v>
      </c>
      <c r="K94" s="96"/>
      <c r="L94" s="104" t="s">
        <v>772</v>
      </c>
      <c r="M94" s="75">
        <v>13</v>
      </c>
      <c r="N94" s="75" t="s">
        <v>741</v>
      </c>
      <c r="O94" s="75">
        <v>13</v>
      </c>
      <c r="P94" s="75">
        <v>13</v>
      </c>
      <c r="Q94" s="105"/>
      <c r="R94" s="105"/>
      <c r="S94" s="96" t="s">
        <v>803</v>
      </c>
      <c r="T94" s="109" t="s">
        <v>803</v>
      </c>
      <c r="U94" s="100">
        <v>12</v>
      </c>
      <c r="V94" s="110">
        <v>12</v>
      </c>
      <c r="W94" s="110"/>
      <c r="X94" s="102">
        <v>13</v>
      </c>
      <c r="Y94" s="102" t="s">
        <v>381</v>
      </c>
      <c r="Z94" s="102">
        <v>12</v>
      </c>
      <c r="AA94" s="101"/>
      <c r="AB94" s="101"/>
      <c r="AC94" s="102">
        <v>12</v>
      </c>
      <c r="AD94" s="99"/>
      <c r="AE94" s="99" t="s">
        <v>375</v>
      </c>
      <c r="AF94" s="99">
        <v>13</v>
      </c>
      <c r="AG94" s="98"/>
      <c r="AH94" s="99">
        <v>13</v>
      </c>
      <c r="AI94" s="98"/>
      <c r="AJ94" s="103"/>
      <c r="AK94" s="102"/>
      <c r="AL94" s="101"/>
      <c r="AM94" s="101"/>
      <c r="AN94" s="102"/>
      <c r="AO94" s="102"/>
      <c r="AP94" s="102"/>
      <c r="AQ94" s="102"/>
      <c r="AR94" s="102"/>
      <c r="AS94" s="102"/>
      <c r="AT94" s="102"/>
      <c r="AU94" s="103"/>
      <c r="AV94" s="103"/>
    </row>
    <row r="95" spans="1:48" ht="16.3">
      <c r="A95" s="246" t="s">
        <v>1</v>
      </c>
      <c r="B95" s="538">
        <f>SUM(L95+M95+N95+O95+P95+U95+X95+Y95+Z95+AC95+AK95+AL95+AK95+AO95+AR95+AS95+AU95+AV95+AW95+AX95+AP95)+102</f>
        <v>112</v>
      </c>
      <c r="C95" s="215">
        <f>SUM(L95+M95+N95+O95+P95+U95+Y95+Z95+X95+AC95+AL95+AK95+AL95+AP95+AS95+AO95+AV95+AW95+AX95+AY95+AR95+AU95)+102</f>
        <v>112</v>
      </c>
      <c r="D95" s="133"/>
      <c r="E95" s="134"/>
      <c r="F95" s="135"/>
      <c r="G95" s="136"/>
      <c r="H95" s="683"/>
      <c r="I95" s="676"/>
      <c r="J95" s="96">
        <v>1</v>
      </c>
      <c r="K95" s="96"/>
      <c r="L95" s="104">
        <v>1</v>
      </c>
      <c r="M95" s="75">
        <v>1</v>
      </c>
      <c r="N95" s="75">
        <v>1</v>
      </c>
      <c r="O95" s="75">
        <v>1</v>
      </c>
      <c r="P95" s="75">
        <v>1</v>
      </c>
      <c r="Q95" s="105"/>
      <c r="R95" s="105"/>
      <c r="S95" s="96"/>
      <c r="T95" s="109"/>
      <c r="U95" s="100">
        <v>1</v>
      </c>
      <c r="V95" s="110">
        <v>1</v>
      </c>
      <c r="W95" s="110"/>
      <c r="X95" s="100">
        <v>1</v>
      </c>
      <c r="Y95" s="100">
        <v>1</v>
      </c>
      <c r="Z95" s="100">
        <v>1</v>
      </c>
      <c r="AA95" s="110"/>
      <c r="AB95" s="110"/>
      <c r="AC95" s="100">
        <v>1</v>
      </c>
      <c r="AD95" s="109"/>
      <c r="AE95" s="109"/>
      <c r="AF95" s="109">
        <v>1</v>
      </c>
      <c r="AG95" s="108"/>
      <c r="AH95" s="109">
        <v>1</v>
      </c>
      <c r="AI95" s="108"/>
      <c r="AJ95" s="111"/>
      <c r="AK95" s="100"/>
      <c r="AL95" s="110"/>
      <c r="AM95" s="110"/>
      <c r="AN95" s="100"/>
      <c r="AO95" s="100"/>
      <c r="AP95" s="100"/>
      <c r="AQ95" s="100"/>
      <c r="AR95" s="100"/>
      <c r="AS95" s="100"/>
      <c r="AT95" s="100"/>
      <c r="AU95" s="111"/>
      <c r="AV95" s="111"/>
    </row>
    <row r="96" spans="1:48" ht="16.3">
      <c r="A96" s="246" t="s">
        <v>2</v>
      </c>
      <c r="B96" s="538">
        <f>SUM(L96+M96+N96+O96+P96+U96+X96+Y96+Z96+AC96+AK96+AL96+AK96+AO96+AR96+AS96+AU96+AV96+AW96+AX96+AP96)+46</f>
        <v>46</v>
      </c>
      <c r="C96" s="215">
        <f>SUM(L96+M96+N96+O96+P96+U96+Y96+Z96+X96+AC96+AL96+AK96+AL96+AP96+AS96+AO96+AV96+AW96+AX96+AY96+AR96+AU96)+46</f>
        <v>46</v>
      </c>
      <c r="D96" s="133"/>
      <c r="E96" s="134"/>
      <c r="F96" s="135"/>
      <c r="G96" s="136"/>
      <c r="H96" s="683"/>
      <c r="I96" s="676"/>
      <c r="J96" s="96"/>
      <c r="K96" s="96"/>
      <c r="L96" s="104"/>
      <c r="M96" s="75"/>
      <c r="N96" s="75"/>
      <c r="O96" s="75"/>
      <c r="P96" s="75"/>
      <c r="Q96" s="105"/>
      <c r="R96" s="105"/>
      <c r="S96" s="96"/>
      <c r="T96" s="109"/>
      <c r="U96" s="100"/>
      <c r="V96" s="110"/>
      <c r="W96" s="110"/>
      <c r="X96" s="100"/>
      <c r="Y96" s="100"/>
      <c r="Z96" s="100"/>
      <c r="AA96" s="110"/>
      <c r="AB96" s="110"/>
      <c r="AC96" s="100"/>
      <c r="AD96" s="109"/>
      <c r="AE96" s="109">
        <v>1</v>
      </c>
      <c r="AF96" s="109"/>
      <c r="AG96" s="108"/>
      <c r="AH96" s="109"/>
      <c r="AI96" s="108"/>
      <c r="AJ96" s="111"/>
      <c r="AK96" s="100"/>
      <c r="AL96" s="110"/>
      <c r="AM96" s="110"/>
      <c r="AN96" s="100"/>
      <c r="AO96" s="100"/>
      <c r="AP96" s="100"/>
      <c r="AQ96" s="100"/>
      <c r="AR96" s="100"/>
      <c r="AS96" s="100"/>
      <c r="AT96" s="100"/>
      <c r="AU96" s="111"/>
      <c r="AV96" s="111"/>
    </row>
    <row r="97" spans="1:48" ht="16.3">
      <c r="A97" s="83" t="s">
        <v>363</v>
      </c>
      <c r="B97" s="539">
        <f t="shared" ref="B97" si="7">SUM(B95+B96)</f>
        <v>158</v>
      </c>
      <c r="C97" s="214">
        <f t="shared" ref="C97" si="8">SUM(C95+C96)</f>
        <v>158</v>
      </c>
      <c r="D97" s="133"/>
      <c r="E97" s="134"/>
      <c r="F97" s="135"/>
      <c r="G97" s="136"/>
      <c r="H97" s="683"/>
      <c r="I97" s="676"/>
      <c r="J97" s="96"/>
      <c r="K97" s="96"/>
      <c r="L97" s="104"/>
      <c r="M97" s="75"/>
      <c r="N97" s="75"/>
      <c r="O97" s="75"/>
      <c r="P97" s="75"/>
      <c r="Q97" s="105"/>
      <c r="R97" s="105"/>
      <c r="S97" s="96"/>
      <c r="T97" s="109"/>
      <c r="U97" s="100"/>
      <c r="V97" s="110"/>
      <c r="W97" s="110"/>
      <c r="X97" s="100"/>
      <c r="Y97" s="100"/>
      <c r="Z97" s="100"/>
      <c r="AA97" s="110"/>
      <c r="AB97" s="110"/>
      <c r="AC97" s="100"/>
      <c r="AD97" s="109"/>
      <c r="AE97" s="109"/>
      <c r="AF97" s="109"/>
      <c r="AG97" s="108"/>
      <c r="AH97" s="109"/>
      <c r="AI97" s="108"/>
      <c r="AJ97" s="111"/>
      <c r="AK97" s="100"/>
      <c r="AL97" s="110"/>
      <c r="AM97" s="110"/>
      <c r="AN97" s="100"/>
      <c r="AO97" s="100"/>
      <c r="AP97" s="100"/>
      <c r="AQ97" s="100"/>
      <c r="AR97" s="100"/>
      <c r="AS97" s="100"/>
      <c r="AT97" s="100"/>
      <c r="AU97" s="111"/>
      <c r="AV97" s="111"/>
    </row>
    <row r="98" spans="1:48" ht="16.3">
      <c r="A98" s="246" t="s">
        <v>362</v>
      </c>
      <c r="B98" s="538">
        <f>SUM(L98+M98+N98+O98+P98+U98+X98+Y98+Z98+AC98+AK98+AL98+AK98+AO98+AR98+AS98+AU98+AV98+AW98+AX98+AP98)+2</f>
        <v>2</v>
      </c>
      <c r="C98" s="215">
        <f>SUM(L98+M98+N98+O98+P98+U98+Y98+Z98+X98+AC98+AL98+AK98+AL98+AP98+AS98+AO98+AV98+AW98+AX98+AY98+AR98+AU98)+2</f>
        <v>2</v>
      </c>
      <c r="D98" s="133"/>
      <c r="E98" s="134"/>
      <c r="F98" s="135"/>
      <c r="G98" s="136"/>
      <c r="H98" s="683"/>
      <c r="I98" s="676"/>
      <c r="J98" s="96"/>
      <c r="K98" s="96"/>
      <c r="L98" s="104"/>
      <c r="M98" s="75"/>
      <c r="N98" s="75"/>
      <c r="O98" s="75"/>
      <c r="P98" s="75"/>
      <c r="Q98" s="105"/>
      <c r="R98" s="105"/>
      <c r="S98" s="96"/>
      <c r="T98" s="109"/>
      <c r="U98" s="100"/>
      <c r="V98" s="110"/>
      <c r="W98" s="110"/>
      <c r="X98" s="100"/>
      <c r="Y98" s="100"/>
      <c r="Z98" s="100"/>
      <c r="AA98" s="110"/>
      <c r="AB98" s="110"/>
      <c r="AC98" s="100"/>
      <c r="AD98" s="109"/>
      <c r="AE98" s="109"/>
      <c r="AF98" s="109"/>
      <c r="AG98" s="108"/>
      <c r="AH98" s="109"/>
      <c r="AI98" s="108"/>
      <c r="AJ98" s="111"/>
      <c r="AK98" s="100"/>
      <c r="AL98" s="110"/>
      <c r="AM98" s="110"/>
      <c r="AN98" s="100"/>
      <c r="AO98" s="100"/>
      <c r="AP98" s="100"/>
      <c r="AQ98" s="100"/>
      <c r="AR98" s="100"/>
      <c r="AS98" s="100"/>
      <c r="AT98" s="100"/>
      <c r="AU98" s="111"/>
      <c r="AV98" s="111"/>
    </row>
    <row r="99" spans="1:48" ht="16.3">
      <c r="A99" s="83" t="s">
        <v>3</v>
      </c>
      <c r="B99" s="539">
        <f>SUM(L99+M99+N99+O99+P99+U99+X99+Y99+Z99+AC99+AK99+AL99+AK99+AO99+AR99+AS99+AU99+AV99+AW99+AX99+AP99)+33</f>
        <v>37</v>
      </c>
      <c r="C99" s="214">
        <f>SUM(L99+M99+N99+O99+P99+U99+Y99+Z99+X99+AC99+AL99+AK99+AL99+AP99+AS99+AO99+AV99+AW99+AX99+AY99+AR99+AU99)+33</f>
        <v>37</v>
      </c>
      <c r="D99" s="133"/>
      <c r="E99" s="134"/>
      <c r="F99" s="135"/>
      <c r="G99" s="136"/>
      <c r="H99" s="683"/>
      <c r="I99" s="676"/>
      <c r="J99" s="96"/>
      <c r="K99" s="96"/>
      <c r="L99" s="104">
        <v>2</v>
      </c>
      <c r="M99" s="75">
        <v>1</v>
      </c>
      <c r="N99" s="75"/>
      <c r="O99" s="75"/>
      <c r="P99" s="75"/>
      <c r="Q99" s="105"/>
      <c r="R99" s="105"/>
      <c r="S99" s="96"/>
      <c r="T99" s="109"/>
      <c r="U99" s="100"/>
      <c r="V99" s="110"/>
      <c r="W99" s="110"/>
      <c r="X99" s="100"/>
      <c r="Y99" s="100"/>
      <c r="Z99" s="100"/>
      <c r="AA99" s="110"/>
      <c r="AB99" s="110"/>
      <c r="AC99" s="100">
        <v>1</v>
      </c>
      <c r="AD99" s="109"/>
      <c r="AE99" s="109">
        <v>1</v>
      </c>
      <c r="AF99" s="109"/>
      <c r="AG99" s="108"/>
      <c r="AH99" s="109">
        <v>1</v>
      </c>
      <c r="AI99" s="108"/>
      <c r="AJ99" s="111"/>
      <c r="AK99" s="100"/>
      <c r="AL99" s="110"/>
      <c r="AM99" s="110"/>
      <c r="AN99" s="100"/>
      <c r="AO99" s="100"/>
      <c r="AP99" s="100"/>
      <c r="AQ99" s="100"/>
      <c r="AR99" s="100"/>
      <c r="AS99" s="100"/>
      <c r="AT99" s="100"/>
      <c r="AU99" s="111"/>
      <c r="AV99" s="111"/>
    </row>
    <row r="100" spans="1:48" ht="17" thickBot="1">
      <c r="A100" s="85" t="s">
        <v>4</v>
      </c>
      <c r="B100" s="541">
        <f>SUM(L100+M100+N100+O100+P100+U100+X100+Y100+Z100+AC100+AK100+AL100+AK100+AO100+AR100+AS100+AU100+AV100+AW100+AX100+AP100)+165</f>
        <v>185</v>
      </c>
      <c r="C100" s="217">
        <f>SUM(L100+M100+N100+O100+P100+U100+Y100+Z100+X100+AC100+AL100+AK100+AL100+AP100+AS100+AO100+AV100+AW100+AX100+AY100+AR100+AU100)+165</f>
        <v>185</v>
      </c>
      <c r="D100" s="144"/>
      <c r="E100" s="145"/>
      <c r="F100" s="146"/>
      <c r="G100" s="147"/>
      <c r="H100" s="684"/>
      <c r="I100" s="677"/>
      <c r="J100" s="114"/>
      <c r="K100" s="114"/>
      <c r="L100" s="113">
        <v>10</v>
      </c>
      <c r="M100" s="112">
        <v>5</v>
      </c>
      <c r="N100" s="112"/>
      <c r="O100" s="112"/>
      <c r="P100" s="112"/>
      <c r="Q100" s="127"/>
      <c r="R100" s="127"/>
      <c r="S100" s="114"/>
      <c r="T100" s="118"/>
      <c r="U100" s="116"/>
      <c r="V100" s="119"/>
      <c r="W100" s="120"/>
      <c r="X100" s="116"/>
      <c r="Y100" s="116"/>
      <c r="Z100" s="116"/>
      <c r="AA100" s="120"/>
      <c r="AB100" s="120"/>
      <c r="AC100" s="116">
        <v>5</v>
      </c>
      <c r="AD100" s="118"/>
      <c r="AE100" s="118">
        <v>5</v>
      </c>
      <c r="AF100" s="118"/>
      <c r="AG100" s="117"/>
      <c r="AH100" s="118">
        <v>5</v>
      </c>
      <c r="AI100" s="117"/>
      <c r="AJ100" s="121"/>
      <c r="AK100" s="116"/>
      <c r="AL100" s="120"/>
      <c r="AM100" s="120"/>
      <c r="AN100" s="116"/>
      <c r="AO100" s="116"/>
      <c r="AP100" s="116"/>
      <c r="AQ100" s="116"/>
      <c r="AR100" s="116"/>
      <c r="AS100" s="116"/>
      <c r="AT100" s="116"/>
      <c r="AU100" s="121"/>
      <c r="AV100" s="121"/>
    </row>
    <row r="101" spans="1:48" ht="21.1">
      <c r="A101" s="82" t="s">
        <v>92</v>
      </c>
      <c r="B101" s="539"/>
      <c r="C101" s="214"/>
      <c r="D101" s="133"/>
      <c r="E101" s="134"/>
      <c r="F101" s="135"/>
      <c r="G101" s="136"/>
      <c r="H101" s="683"/>
      <c r="I101" s="676"/>
      <c r="J101" s="96" t="s">
        <v>339</v>
      </c>
      <c r="K101" s="96" t="s">
        <v>339</v>
      </c>
      <c r="L101" s="104" t="s">
        <v>339</v>
      </c>
      <c r="M101" s="75" t="s">
        <v>339</v>
      </c>
      <c r="N101" s="75" t="s">
        <v>339</v>
      </c>
      <c r="O101" s="75" t="s">
        <v>339</v>
      </c>
      <c r="P101" s="75" t="s">
        <v>339</v>
      </c>
      <c r="Q101" s="105"/>
      <c r="R101" s="105"/>
      <c r="S101" s="96" t="s">
        <v>339</v>
      </c>
      <c r="T101" s="109" t="s">
        <v>339</v>
      </c>
      <c r="U101" s="100" t="s">
        <v>339</v>
      </c>
      <c r="V101" s="110" t="s">
        <v>339</v>
      </c>
      <c r="W101" s="110" t="s">
        <v>375</v>
      </c>
      <c r="X101" s="100"/>
      <c r="Y101" s="100"/>
      <c r="Z101" s="100" t="s">
        <v>375</v>
      </c>
      <c r="AA101" s="110" t="s">
        <v>377</v>
      </c>
      <c r="AB101" s="110"/>
      <c r="AC101" s="100">
        <v>13</v>
      </c>
      <c r="AD101" s="109" t="s">
        <v>377</v>
      </c>
      <c r="AE101" s="109" t="s">
        <v>377</v>
      </c>
      <c r="AF101" s="109">
        <v>15</v>
      </c>
      <c r="AG101" s="108"/>
      <c r="AH101" s="109">
        <v>10</v>
      </c>
      <c r="AI101" s="108"/>
      <c r="AJ101" s="111"/>
      <c r="AK101" s="100"/>
      <c r="AL101" s="110"/>
      <c r="AM101" s="110"/>
      <c r="AN101" s="100"/>
      <c r="AO101" s="100"/>
      <c r="AP101" s="100"/>
      <c r="AQ101" s="100"/>
      <c r="AR101" s="100"/>
      <c r="AS101" s="100"/>
      <c r="AT101" s="100"/>
      <c r="AU101" s="111"/>
      <c r="AV101" s="111"/>
    </row>
    <row r="102" spans="1:48" ht="16.3">
      <c r="A102" s="246" t="s">
        <v>1</v>
      </c>
      <c r="B102" s="538">
        <f>SUM(L102+M102+N102+O102+P102+U102+X102+Y102+Z102+AC102+AK102+AL102+AK102+AO102+AR102+AS102+AU102+AV102+AW102+AX102+AP102)+110</f>
        <v>111</v>
      </c>
      <c r="C102" s="215">
        <f>SUM(L102+M102+N102+O102+P102+U102+Y102+Z102+X102+AC102+AL102+AK102+AL102+AP102+AS102+AO102+AV102+AW102+AX102+AY102+AR102+AU102)+111</f>
        <v>112</v>
      </c>
      <c r="D102" s="133"/>
      <c r="E102" s="134"/>
      <c r="F102" s="135"/>
      <c r="G102" s="136"/>
      <c r="H102" s="683"/>
      <c r="I102" s="676"/>
      <c r="J102" s="96"/>
      <c r="K102" s="96"/>
      <c r="L102" s="104"/>
      <c r="M102" s="75"/>
      <c r="N102" s="75"/>
      <c r="O102" s="75"/>
      <c r="P102" s="75"/>
      <c r="Q102" s="105"/>
      <c r="R102" s="105"/>
      <c r="S102" s="96"/>
      <c r="T102" s="109"/>
      <c r="U102" s="100"/>
      <c r="V102" s="110"/>
      <c r="W102" s="110"/>
      <c r="X102" s="100"/>
      <c r="Y102" s="100"/>
      <c r="Z102" s="100"/>
      <c r="AA102" s="110">
        <v>1</v>
      </c>
      <c r="AB102" s="110"/>
      <c r="AC102" s="100">
        <v>1</v>
      </c>
      <c r="AD102" s="109">
        <v>1</v>
      </c>
      <c r="AE102" s="109">
        <v>1</v>
      </c>
      <c r="AF102" s="109">
        <v>1</v>
      </c>
      <c r="AG102" s="108"/>
      <c r="AH102" s="109">
        <v>1</v>
      </c>
      <c r="AI102" s="108"/>
      <c r="AJ102" s="111"/>
      <c r="AK102" s="100"/>
      <c r="AL102" s="110"/>
      <c r="AM102" s="110"/>
      <c r="AN102" s="100"/>
      <c r="AO102" s="100"/>
      <c r="AP102" s="100"/>
      <c r="AQ102" s="100"/>
      <c r="AR102" s="100"/>
      <c r="AS102" s="100"/>
      <c r="AT102" s="100"/>
      <c r="AU102" s="111"/>
      <c r="AV102" s="111"/>
    </row>
    <row r="103" spans="1:48" ht="16.3">
      <c r="A103" s="246" t="s">
        <v>2</v>
      </c>
      <c r="B103" s="538">
        <f>SUM(L103+M103+N103+O103+P103+U103+X103+Y103+Z103+AC103+AK103+AL103+AK103+AO103+AR103+AS103+AU103+AV103+AW103+AX103+AP103)+22</f>
        <v>23</v>
      </c>
      <c r="C103" s="215">
        <f>SUM(L103+M103+N103+O103+P103+U103+Y103+Z103+X103+AC103+AL103+AK103+AL103+AP103+AS103+AO103+AV103+AW103+AX103+AY103+AR103+AU103)+38</f>
        <v>39</v>
      </c>
      <c r="D103" s="133"/>
      <c r="E103" s="134"/>
      <c r="F103" s="135"/>
      <c r="G103" s="136"/>
      <c r="H103" s="683"/>
      <c r="I103" s="676"/>
      <c r="J103" s="96"/>
      <c r="K103" s="96"/>
      <c r="L103" s="104"/>
      <c r="M103" s="75"/>
      <c r="N103" s="75"/>
      <c r="O103" s="75"/>
      <c r="P103" s="75"/>
      <c r="Q103" s="105"/>
      <c r="R103" s="105"/>
      <c r="S103" s="96"/>
      <c r="T103" s="109"/>
      <c r="U103" s="100"/>
      <c r="V103" s="110"/>
      <c r="W103" s="110">
        <v>1</v>
      </c>
      <c r="X103" s="100"/>
      <c r="Y103" s="100"/>
      <c r="Z103" s="100">
        <v>1</v>
      </c>
      <c r="AA103" s="110"/>
      <c r="AB103" s="110"/>
      <c r="AC103" s="100"/>
      <c r="AD103" s="109"/>
      <c r="AE103" s="109"/>
      <c r="AF103" s="109"/>
      <c r="AG103" s="108"/>
      <c r="AH103" s="109"/>
      <c r="AI103" s="108"/>
      <c r="AJ103" s="111"/>
      <c r="AK103" s="100"/>
      <c r="AL103" s="110"/>
      <c r="AM103" s="110"/>
      <c r="AN103" s="100"/>
      <c r="AO103" s="100"/>
      <c r="AP103" s="100"/>
      <c r="AQ103" s="100"/>
      <c r="AR103" s="100"/>
      <c r="AS103" s="100"/>
      <c r="AT103" s="100"/>
      <c r="AU103" s="111"/>
      <c r="AV103" s="111"/>
    </row>
    <row r="104" spans="1:48" ht="16.3">
      <c r="A104" s="83" t="s">
        <v>363</v>
      </c>
      <c r="B104" s="539">
        <f t="shared" ref="B104" si="9">SUM(B102+B103)</f>
        <v>134</v>
      </c>
      <c r="C104" s="214">
        <f t="shared" ref="C104" si="10">SUM(C102+C103)</f>
        <v>151</v>
      </c>
      <c r="D104" s="133"/>
      <c r="E104" s="134"/>
      <c r="F104" s="135"/>
      <c r="G104" s="136"/>
      <c r="H104" s="683"/>
      <c r="I104" s="676"/>
      <c r="J104" s="96"/>
      <c r="K104" s="96"/>
      <c r="L104" s="104"/>
      <c r="M104" s="75"/>
      <c r="N104" s="75"/>
      <c r="O104" s="75"/>
      <c r="P104" s="75"/>
      <c r="Q104" s="105"/>
      <c r="R104" s="105"/>
      <c r="S104" s="96"/>
      <c r="T104" s="109"/>
      <c r="U104" s="100"/>
      <c r="V104" s="110"/>
      <c r="W104" s="110"/>
      <c r="X104" s="100"/>
      <c r="Y104" s="100"/>
      <c r="Z104" s="100"/>
      <c r="AA104" s="110"/>
      <c r="AB104" s="110"/>
      <c r="AC104" s="100"/>
      <c r="AD104" s="109"/>
      <c r="AE104" s="109"/>
      <c r="AF104" s="109"/>
      <c r="AG104" s="108"/>
      <c r="AH104" s="109"/>
      <c r="AI104" s="108"/>
      <c r="AJ104" s="111"/>
      <c r="AK104" s="100"/>
      <c r="AL104" s="110"/>
      <c r="AM104" s="110"/>
      <c r="AN104" s="100"/>
      <c r="AO104" s="100"/>
      <c r="AP104" s="100"/>
      <c r="AQ104" s="100"/>
      <c r="AR104" s="100"/>
      <c r="AS104" s="100"/>
      <c r="AT104" s="100"/>
      <c r="AU104" s="111"/>
      <c r="AV104" s="111"/>
    </row>
    <row r="105" spans="1:48" ht="16.3">
      <c r="A105" s="246" t="s">
        <v>366</v>
      </c>
      <c r="B105" s="538">
        <f>SUM(L105+M105+N105+O105+P105+U105+X105+Y105+Z105+AC105+AK105+AL105+AK105+AO105+AR105+AS105+AU105+AV105+AW105+AX105+AP105)+1</f>
        <v>1</v>
      </c>
      <c r="C105" s="215">
        <f>SUM(L105+M105+N105+O105+P105+U105+Y105+Z105+X105+AC105+AL105+AK105+AL105+AP105+AS105+AO105+AV105+AW105+AX105+AY105+AR105+AU105)+1</f>
        <v>1</v>
      </c>
      <c r="D105" s="133"/>
      <c r="E105" s="134"/>
      <c r="F105" s="135"/>
      <c r="G105" s="136"/>
      <c r="H105" s="683"/>
      <c r="I105" s="676"/>
      <c r="J105" s="96"/>
      <c r="K105" s="96"/>
      <c r="L105" s="104"/>
      <c r="M105" s="75"/>
      <c r="N105" s="75"/>
      <c r="O105" s="75"/>
      <c r="P105" s="75"/>
      <c r="Q105" s="105"/>
      <c r="R105" s="105"/>
      <c r="S105" s="96"/>
      <c r="T105" s="109"/>
      <c r="U105" s="100"/>
      <c r="V105" s="110"/>
      <c r="W105" s="110"/>
      <c r="X105" s="100"/>
      <c r="Y105" s="100"/>
      <c r="Z105" s="100"/>
      <c r="AA105" s="110"/>
      <c r="AB105" s="110"/>
      <c r="AC105" s="100"/>
      <c r="AD105" s="109"/>
      <c r="AE105" s="109"/>
      <c r="AF105" s="109"/>
      <c r="AG105" s="108"/>
      <c r="AH105" s="109"/>
      <c r="AI105" s="108"/>
      <c r="AJ105" s="111"/>
      <c r="AK105" s="100"/>
      <c r="AL105" s="110"/>
      <c r="AM105" s="110"/>
      <c r="AN105" s="100"/>
      <c r="AO105" s="100"/>
      <c r="AP105" s="100"/>
      <c r="AQ105" s="100"/>
      <c r="AR105" s="100"/>
      <c r="AS105" s="100"/>
      <c r="AT105" s="100"/>
      <c r="AU105" s="111"/>
      <c r="AV105" s="111"/>
    </row>
    <row r="106" spans="1:48" ht="16.3">
      <c r="A106" s="246" t="s">
        <v>362</v>
      </c>
      <c r="B106" s="538">
        <f>SUM(L106+M106+N106+O106+P106+U106+X106+Y106+Z106+AC106+AK106+AL106+AK106+AO106+AR106+AS106+AU106+AV106+AW106+AX106+AP106)+4</f>
        <v>4</v>
      </c>
      <c r="C106" s="215">
        <f>SUM(L106+M106+N106+O106+P106+U106+Y106+Z106+X106+AC106+AL106+AK106+AL106+AP106+AS106+AO106+AV106+AW106+AX106+AY106+AR106+AU106)+4</f>
        <v>4</v>
      </c>
      <c r="D106" s="133"/>
      <c r="E106" s="134"/>
      <c r="F106" s="135"/>
      <c r="G106" s="136"/>
      <c r="H106" s="683"/>
      <c r="I106" s="676"/>
      <c r="J106" s="96"/>
      <c r="K106" s="96"/>
      <c r="L106" s="104"/>
      <c r="M106" s="75"/>
      <c r="N106" s="75"/>
      <c r="O106" s="75"/>
      <c r="P106" s="75"/>
      <c r="Q106" s="105"/>
      <c r="R106" s="105"/>
      <c r="S106" s="96"/>
      <c r="T106" s="109"/>
      <c r="U106" s="100"/>
      <c r="V106" s="110"/>
      <c r="W106" s="110"/>
      <c r="X106" s="100"/>
      <c r="Y106" s="100"/>
      <c r="Z106" s="100"/>
      <c r="AA106" s="110"/>
      <c r="AB106" s="110"/>
      <c r="AC106" s="100"/>
      <c r="AD106" s="109"/>
      <c r="AE106" s="109"/>
      <c r="AF106" s="109"/>
      <c r="AG106" s="108"/>
      <c r="AH106" s="109"/>
      <c r="AI106" s="108"/>
      <c r="AJ106" s="111"/>
      <c r="AK106" s="100"/>
      <c r="AL106" s="110"/>
      <c r="AM106" s="110"/>
      <c r="AN106" s="100"/>
      <c r="AO106" s="100"/>
      <c r="AP106" s="100"/>
      <c r="AQ106" s="100"/>
      <c r="AR106" s="100"/>
      <c r="AS106" s="100"/>
      <c r="AT106" s="100"/>
      <c r="AU106" s="111"/>
      <c r="AV106" s="111"/>
    </row>
    <row r="107" spans="1:48" ht="16.3">
      <c r="A107" s="246" t="s">
        <v>5</v>
      </c>
      <c r="B107" s="538">
        <f>SUM(L107+M107+N107+O107+P107+U107+X107+Y107+Z107+AC107+AK107+AL107+AK107+AO107+AR107+AS107+AU107+AV107+AW107+AX107+AP107)+214</f>
        <v>214</v>
      </c>
      <c r="C107" s="215">
        <f>SUM(L107+M107+N107+O107+P107+U107+Y107+Z107+X107+AC107+AL107+AK107+AL107+AP107+AS107+AO107+AV107+AW107+AX107+AY107+AR107+AU107)+232</f>
        <v>232</v>
      </c>
      <c r="D107" s="133"/>
      <c r="E107" s="134"/>
      <c r="F107" s="135"/>
      <c r="G107" s="136"/>
      <c r="H107" s="683"/>
      <c r="I107" s="676"/>
      <c r="J107" s="96"/>
      <c r="K107" s="96"/>
      <c r="L107" s="104"/>
      <c r="M107" s="75"/>
      <c r="N107" s="75"/>
      <c r="O107" s="75"/>
      <c r="P107" s="75"/>
      <c r="Q107" s="105"/>
      <c r="R107" s="105"/>
      <c r="S107" s="96"/>
      <c r="T107" s="109"/>
      <c r="U107" s="100"/>
      <c r="V107" s="110"/>
      <c r="W107" s="110"/>
      <c r="X107" s="100"/>
      <c r="Y107" s="100"/>
      <c r="Z107" s="100"/>
      <c r="AA107" s="110"/>
      <c r="AB107" s="110"/>
      <c r="AC107" s="100"/>
      <c r="AD107" s="109"/>
      <c r="AE107" s="109"/>
      <c r="AF107" s="109"/>
      <c r="AG107" s="108"/>
      <c r="AH107" s="109">
        <v>4</v>
      </c>
      <c r="AI107" s="108"/>
      <c r="AJ107" s="111"/>
      <c r="AK107" s="100"/>
      <c r="AL107" s="110"/>
      <c r="AM107" s="110"/>
      <c r="AN107" s="100"/>
      <c r="AO107" s="100"/>
      <c r="AP107" s="100"/>
      <c r="AQ107" s="100"/>
      <c r="AR107" s="100"/>
      <c r="AS107" s="100"/>
      <c r="AT107" s="100"/>
      <c r="AU107" s="111"/>
      <c r="AV107" s="111"/>
    </row>
    <row r="108" spans="1:48" ht="16.3">
      <c r="A108" s="246" t="s">
        <v>6</v>
      </c>
      <c r="B108" s="538">
        <f>SUM(L108+M108+N108+O108+P108+U108+X108+Y108+Z108+AC108+AK108+AL108+AK108+AO108+AR108+AS108+AU108+AV108+AW108+AX108+AP108)+304</f>
        <v>304</v>
      </c>
      <c r="C108" s="215">
        <f>SUM(L108+M108+N108+O108+P108+U108+Y108+Z108+X108+AC108+AL108+AK108+AL108+AP108+AS108+AO108+AV108+AW108+AX108+AY108+AR108+AU108)+325</f>
        <v>325</v>
      </c>
      <c r="D108" s="133"/>
      <c r="E108" s="134"/>
      <c r="F108" s="135"/>
      <c r="G108" s="136"/>
      <c r="H108" s="683"/>
      <c r="I108" s="676"/>
      <c r="J108" s="96"/>
      <c r="K108" s="96"/>
      <c r="L108" s="104"/>
      <c r="M108" s="75"/>
      <c r="N108" s="75"/>
      <c r="O108" s="75"/>
      <c r="P108" s="75"/>
      <c r="Q108" s="105"/>
      <c r="R108" s="105"/>
      <c r="S108" s="96"/>
      <c r="T108" s="109"/>
      <c r="U108" s="100"/>
      <c r="V108" s="110"/>
      <c r="W108" s="110"/>
      <c r="X108" s="100"/>
      <c r="Y108" s="100"/>
      <c r="Z108" s="100"/>
      <c r="AA108" s="110"/>
      <c r="AB108" s="110"/>
      <c r="AC108" s="100"/>
      <c r="AD108" s="109"/>
      <c r="AE108" s="109"/>
      <c r="AF108" s="109"/>
      <c r="AG108" s="108"/>
      <c r="AH108" s="109">
        <v>5</v>
      </c>
      <c r="AI108" s="108"/>
      <c r="AJ108" s="111"/>
      <c r="AK108" s="100"/>
      <c r="AL108" s="110"/>
      <c r="AM108" s="110"/>
      <c r="AN108" s="100"/>
      <c r="AO108" s="100"/>
      <c r="AP108" s="100"/>
      <c r="AQ108" s="100"/>
      <c r="AR108" s="100"/>
      <c r="AS108" s="100"/>
      <c r="AT108" s="100"/>
      <c r="AU108" s="111"/>
      <c r="AV108" s="111"/>
    </row>
    <row r="109" spans="1:48" ht="16.3">
      <c r="A109" s="246" t="s">
        <v>368</v>
      </c>
      <c r="B109" s="540">
        <f>SUM(B107/B108)*100</f>
        <v>70.39473684210526</v>
      </c>
      <c r="C109" s="216">
        <f>SUM(C107/C108)*100</f>
        <v>71.384615384615387</v>
      </c>
      <c r="D109" s="133"/>
      <c r="E109" s="134"/>
      <c r="F109" s="135"/>
      <c r="G109" s="136"/>
      <c r="H109" s="683"/>
      <c r="I109" s="676"/>
      <c r="J109" s="96"/>
      <c r="K109" s="529"/>
      <c r="L109" s="104"/>
      <c r="M109" s="75"/>
      <c r="N109" s="75"/>
      <c r="O109" s="75"/>
      <c r="P109" s="75"/>
      <c r="Q109" s="105"/>
      <c r="R109" s="105"/>
      <c r="S109" s="96"/>
      <c r="T109" s="109"/>
      <c r="U109" s="100"/>
      <c r="V109" s="110"/>
      <c r="W109" s="110"/>
      <c r="X109" s="100"/>
      <c r="Y109" s="100"/>
      <c r="Z109" s="100"/>
      <c r="AA109" s="110"/>
      <c r="AB109" s="110"/>
      <c r="AC109" s="100"/>
      <c r="AD109" s="109"/>
      <c r="AE109" s="109"/>
      <c r="AF109" s="109"/>
      <c r="AG109" s="108"/>
      <c r="AH109" s="109">
        <v>80</v>
      </c>
      <c r="AI109" s="108"/>
      <c r="AJ109" s="111"/>
      <c r="AK109" s="100"/>
      <c r="AL109" s="110"/>
      <c r="AM109" s="110"/>
      <c r="AN109" s="100"/>
      <c r="AO109" s="100"/>
      <c r="AP109" s="100"/>
      <c r="AQ109" s="100"/>
      <c r="AR109" s="100"/>
      <c r="AS109" s="100"/>
      <c r="AT109" s="100"/>
      <c r="AU109" s="111"/>
      <c r="AV109" s="111"/>
    </row>
    <row r="110" spans="1:48" ht="16.3">
      <c r="A110" s="246" t="s">
        <v>386</v>
      </c>
      <c r="B110" s="540">
        <f>SUM(L110+M110+N110+O110+P110+U110+X110+Y110+Z110+AC110+AK110+AL110+AK110+AO110+AR110+AS110+AU110+AV110+AW110+AX110+AP110)+2</f>
        <v>2</v>
      </c>
      <c r="C110" s="216">
        <f>SUM(L110+M110+N110+O110+P110+U110+Y110+Z110+X110+AC110+AL110+AK110+AL110+AP110+AS110+AO110+AV110+AW110+AX110+AY110+AR110+AU110)+2</f>
        <v>2</v>
      </c>
      <c r="D110" s="133"/>
      <c r="E110" s="134"/>
      <c r="F110" s="135"/>
      <c r="G110" s="136"/>
      <c r="H110" s="683"/>
      <c r="I110" s="676"/>
      <c r="J110" s="96"/>
      <c r="K110" s="529"/>
      <c r="L110" s="104"/>
      <c r="M110" s="75"/>
      <c r="N110" s="75"/>
      <c r="O110" s="75"/>
      <c r="P110" s="75"/>
      <c r="Q110" s="105"/>
      <c r="R110" s="105"/>
      <c r="S110" s="96"/>
      <c r="T110" s="109"/>
      <c r="U110" s="100"/>
      <c r="V110" s="110"/>
      <c r="W110" s="110"/>
      <c r="X110" s="100"/>
      <c r="Y110" s="100"/>
      <c r="Z110" s="100"/>
      <c r="AA110" s="110"/>
      <c r="AB110" s="110"/>
      <c r="AC110" s="100"/>
      <c r="AD110" s="109"/>
      <c r="AE110" s="109"/>
      <c r="AF110" s="109"/>
      <c r="AG110" s="108"/>
      <c r="AH110" s="109"/>
      <c r="AI110" s="108"/>
      <c r="AJ110" s="111"/>
      <c r="AK110" s="100"/>
      <c r="AL110" s="110"/>
      <c r="AM110" s="110"/>
      <c r="AN110" s="100"/>
      <c r="AO110" s="100"/>
      <c r="AP110" s="100"/>
      <c r="AQ110" s="100"/>
      <c r="AR110" s="100"/>
      <c r="AS110" s="100"/>
      <c r="AT110" s="100"/>
      <c r="AU110" s="111"/>
      <c r="AV110" s="111"/>
    </row>
    <row r="111" spans="1:48" ht="16.3">
      <c r="A111" s="83" t="s">
        <v>3</v>
      </c>
      <c r="B111" s="539">
        <f>SUM(L111+M111+N111+O111+P111+U111+X111+Y111+Z111+AC111+AK111+AL111+AK111+AO111+AR111+AS111+AU111+AV111+AW111+AX111+AP111)+18</f>
        <v>18</v>
      </c>
      <c r="C111" s="214">
        <f>SUM(L111+M111+N111+O111+P111+U111+Y111+Z111+X111+AC111+AL111+AK111+AL111+AP111+AS111+AO111+AV111+AW111+AX111+AY111+AR111+AU111)+20</f>
        <v>20</v>
      </c>
      <c r="D111" s="133"/>
      <c r="E111" s="134"/>
      <c r="F111" s="135"/>
      <c r="G111" s="136"/>
      <c r="H111" s="683"/>
      <c r="I111" s="676"/>
      <c r="J111" s="96"/>
      <c r="K111" s="96"/>
      <c r="L111" s="104"/>
      <c r="M111" s="75"/>
      <c r="N111" s="75"/>
      <c r="O111" s="75"/>
      <c r="P111" s="75"/>
      <c r="Q111" s="105"/>
      <c r="R111" s="105"/>
      <c r="S111" s="96"/>
      <c r="T111" s="109"/>
      <c r="U111" s="100"/>
      <c r="V111" s="110"/>
      <c r="W111" s="110"/>
      <c r="X111" s="100"/>
      <c r="Y111" s="100"/>
      <c r="Z111" s="100"/>
      <c r="AA111" s="110"/>
      <c r="AB111" s="110"/>
      <c r="AC111" s="100"/>
      <c r="AD111" s="109"/>
      <c r="AE111" s="109"/>
      <c r="AF111" s="109">
        <v>1</v>
      </c>
      <c r="AG111" s="108"/>
      <c r="AH111" s="109"/>
      <c r="AI111" s="108"/>
      <c r="AJ111" s="111"/>
      <c r="AK111" s="100"/>
      <c r="AL111" s="110"/>
      <c r="AM111" s="110"/>
      <c r="AN111" s="100"/>
      <c r="AO111" s="100"/>
      <c r="AP111" s="100"/>
      <c r="AQ111" s="100"/>
      <c r="AR111" s="100"/>
      <c r="AS111" s="100"/>
      <c r="AT111" s="100"/>
      <c r="AU111" s="111"/>
      <c r="AV111" s="111"/>
    </row>
    <row r="112" spans="1:48" ht="17" thickBot="1">
      <c r="A112" s="85" t="s">
        <v>4</v>
      </c>
      <c r="B112" s="541">
        <f>SUM(L112+M112+N112+O112+P112+U112+X112+Y112+Z112+AC112+AK112+AL112+AK112+AO112+AR112+AS112+AU112+AV112+AW112+AX112+AP112)+641</f>
        <v>641</v>
      </c>
      <c r="C112" s="217">
        <f>SUM(L112+M112+N112+O112+P112+U112+Y112+Z112+X112+AC112+AL112+AK112+AL112+AP112+AS112+AO112+AV112+AW112+AX112+AY112+AR112+AU112)+692</f>
        <v>692</v>
      </c>
      <c r="D112" s="144"/>
      <c r="E112" s="145"/>
      <c r="F112" s="146"/>
      <c r="G112" s="147"/>
      <c r="H112" s="684"/>
      <c r="I112" s="677"/>
      <c r="J112" s="114"/>
      <c r="K112" s="114"/>
      <c r="L112" s="113"/>
      <c r="M112" s="112"/>
      <c r="N112" s="112"/>
      <c r="O112" s="112"/>
      <c r="P112" s="112"/>
      <c r="Q112" s="127"/>
      <c r="R112" s="127"/>
      <c r="S112" s="114"/>
      <c r="T112" s="118"/>
      <c r="U112" s="116"/>
      <c r="V112" s="120"/>
      <c r="W112" s="120"/>
      <c r="X112" s="116"/>
      <c r="Y112" s="116"/>
      <c r="Z112" s="116"/>
      <c r="AA112" s="120"/>
      <c r="AB112" s="120"/>
      <c r="AC112" s="116"/>
      <c r="AD112" s="118"/>
      <c r="AE112" s="118"/>
      <c r="AF112" s="118">
        <v>5</v>
      </c>
      <c r="AG112" s="117"/>
      <c r="AH112" s="118">
        <v>8</v>
      </c>
      <c r="AI112" s="117"/>
      <c r="AJ112" s="121"/>
      <c r="AK112" s="116"/>
      <c r="AL112" s="120"/>
      <c r="AM112" s="120"/>
      <c r="AN112" s="116"/>
      <c r="AO112" s="116"/>
      <c r="AP112" s="116"/>
      <c r="AQ112" s="116"/>
      <c r="AR112" s="116"/>
      <c r="AS112" s="116"/>
      <c r="AT112" s="116"/>
      <c r="AU112" s="121"/>
      <c r="AV112" s="121"/>
    </row>
    <row r="113" spans="1:50" ht="21.1">
      <c r="A113" s="86" t="s">
        <v>337</v>
      </c>
      <c r="B113" s="539"/>
      <c r="C113" s="214"/>
      <c r="D113" s="133"/>
      <c r="E113" s="134"/>
      <c r="F113" s="135"/>
      <c r="G113" s="136"/>
      <c r="H113" s="683"/>
      <c r="I113" s="676"/>
      <c r="J113" s="124" t="s">
        <v>339</v>
      </c>
      <c r="K113" s="124" t="s">
        <v>377</v>
      </c>
      <c r="L113" s="104" t="s">
        <v>339</v>
      </c>
      <c r="M113" s="75" t="s">
        <v>339</v>
      </c>
      <c r="N113" s="75" t="s">
        <v>339</v>
      </c>
      <c r="O113" s="75" t="s">
        <v>339</v>
      </c>
      <c r="P113" s="75" t="s">
        <v>339</v>
      </c>
      <c r="Q113" s="180"/>
      <c r="R113" s="180"/>
      <c r="S113" s="124">
        <v>13</v>
      </c>
      <c r="T113" s="99" t="s">
        <v>377</v>
      </c>
      <c r="U113" s="102"/>
      <c r="V113" s="181"/>
      <c r="W113" s="101" t="s">
        <v>377</v>
      </c>
      <c r="X113" s="102" t="s">
        <v>339</v>
      </c>
      <c r="Y113" s="102" t="s">
        <v>339</v>
      </c>
      <c r="Z113" s="102" t="s">
        <v>339</v>
      </c>
      <c r="AA113" s="101" t="s">
        <v>339</v>
      </c>
      <c r="AB113" s="101" t="s">
        <v>339</v>
      </c>
      <c r="AC113" s="102" t="s">
        <v>339</v>
      </c>
      <c r="AD113" s="99" t="s">
        <v>339</v>
      </c>
      <c r="AE113" s="99" t="s">
        <v>339</v>
      </c>
      <c r="AF113" s="99" t="s">
        <v>339</v>
      </c>
      <c r="AG113" s="98"/>
      <c r="AH113" s="99" t="s">
        <v>339</v>
      </c>
      <c r="AI113" s="98"/>
      <c r="AJ113" s="103"/>
      <c r="AK113" s="102"/>
      <c r="AL113" s="101"/>
      <c r="AM113" s="101"/>
      <c r="AN113" s="102"/>
      <c r="AO113" s="102"/>
      <c r="AP113" s="102"/>
      <c r="AQ113" s="102"/>
      <c r="AR113" s="102"/>
      <c r="AS113" s="102"/>
      <c r="AT113" s="102"/>
      <c r="AU113" s="103"/>
      <c r="AV113" s="103"/>
    </row>
    <row r="114" spans="1:50" ht="16.3">
      <c r="A114" s="246" t="s">
        <v>1</v>
      </c>
      <c r="B114" s="538">
        <f>SUM(L114+M114+N114+O114+P114+U114+X114+Y114+Z114+AC114+AK114+AL114+AK114+AO114+AR114+AS114+AU114+AV114+AW114+AX114+AP114)</f>
        <v>0</v>
      </c>
      <c r="C114" s="215">
        <f>SUM(L114+M114+N114+O114+P114+U114+Y114+Z114+X114+AC114+AL114+AK114+AL114+AP114+AS114+AO114+AV114+AW114+AX114+AY114+AR114+AU114)+13</f>
        <v>13</v>
      </c>
      <c r="D114" s="133"/>
      <c r="E114" s="134"/>
      <c r="F114" s="135"/>
      <c r="G114" s="136"/>
      <c r="H114" s="683"/>
      <c r="I114" s="676"/>
      <c r="J114" s="96"/>
      <c r="K114" s="96">
        <v>1</v>
      </c>
      <c r="L114" s="104"/>
      <c r="M114" s="75"/>
      <c r="N114" s="75"/>
      <c r="O114" s="75"/>
      <c r="P114" s="75"/>
      <c r="Q114" s="105"/>
      <c r="R114" s="105"/>
      <c r="S114" s="96">
        <v>1</v>
      </c>
      <c r="T114" s="96">
        <v>1</v>
      </c>
      <c r="U114" s="75"/>
      <c r="V114" s="106"/>
      <c r="W114" s="106">
        <v>1</v>
      </c>
      <c r="X114" s="75"/>
      <c r="Y114" s="75"/>
      <c r="Z114" s="75"/>
      <c r="AA114" s="106"/>
      <c r="AB114" s="106"/>
      <c r="AC114" s="75"/>
      <c r="AD114" s="96"/>
      <c r="AE114" s="96"/>
      <c r="AF114" s="96"/>
      <c r="AG114" s="105"/>
      <c r="AH114" s="96"/>
      <c r="AI114" s="105"/>
      <c r="AJ114" s="107"/>
      <c r="AK114" s="75"/>
      <c r="AL114" s="106"/>
      <c r="AM114" s="106"/>
      <c r="AN114" s="75"/>
      <c r="AO114" s="75"/>
      <c r="AP114" s="75"/>
      <c r="AQ114" s="75"/>
      <c r="AR114" s="75"/>
      <c r="AS114" s="75"/>
      <c r="AT114" s="75"/>
      <c r="AU114" s="107"/>
      <c r="AV114" s="107"/>
    </row>
    <row r="115" spans="1:50" ht="16.3">
      <c r="A115" s="246" t="s">
        <v>2</v>
      </c>
      <c r="B115" s="538">
        <f>SUM(L115+M115+N115+O115+P115+U115+X115+Y115+Z115+AC115+AK115+AL115+AK115+AO115+AR115+AS115+AU115+AV115+AW115+AX115+AP115)+3</f>
        <v>3</v>
      </c>
      <c r="C115" s="215">
        <f>SUM(L115+M115+N115+O115+P115+U115+Y115+Z115+X115+AC115+AL115+AK115+AL115+AP115+AS115+AO115+AV115+AW115+AX115+AY115+AR115+AU115)+9</f>
        <v>9</v>
      </c>
      <c r="D115" s="133"/>
      <c r="E115" s="134"/>
      <c r="F115" s="135"/>
      <c r="G115" s="136"/>
      <c r="H115" s="683"/>
      <c r="I115" s="676"/>
      <c r="J115" s="96"/>
      <c r="K115" s="96"/>
      <c r="L115" s="104"/>
      <c r="M115" s="75"/>
      <c r="N115" s="75"/>
      <c r="O115" s="75"/>
      <c r="P115" s="75"/>
      <c r="Q115" s="105"/>
      <c r="R115" s="105"/>
      <c r="S115" s="96"/>
      <c r="T115" s="109"/>
      <c r="U115" s="100"/>
      <c r="V115" s="110"/>
      <c r="W115" s="110"/>
      <c r="X115" s="100"/>
      <c r="Y115" s="100"/>
      <c r="Z115" s="100"/>
      <c r="AA115" s="110"/>
      <c r="AB115" s="110"/>
      <c r="AC115" s="100"/>
      <c r="AD115" s="109"/>
      <c r="AE115" s="109"/>
      <c r="AF115" s="109"/>
      <c r="AG115" s="108"/>
      <c r="AH115" s="109"/>
      <c r="AI115" s="108"/>
      <c r="AJ115" s="111"/>
      <c r="AK115" s="100"/>
      <c r="AL115" s="110"/>
      <c r="AM115" s="110"/>
      <c r="AN115" s="100"/>
      <c r="AO115" s="100"/>
      <c r="AP115" s="100"/>
      <c r="AQ115" s="100"/>
      <c r="AR115" s="100"/>
      <c r="AS115" s="100"/>
      <c r="AT115" s="100"/>
      <c r="AU115" s="111"/>
      <c r="AV115" s="111"/>
    </row>
    <row r="116" spans="1:50" ht="16.3">
      <c r="A116" s="83" t="s">
        <v>363</v>
      </c>
      <c r="B116" s="539">
        <f t="shared" ref="B116" si="11">SUM(B114+B115)</f>
        <v>3</v>
      </c>
      <c r="C116" s="214">
        <f t="shared" ref="C116" si="12">SUM(C114+C115)</f>
        <v>22</v>
      </c>
      <c r="D116" s="133"/>
      <c r="E116" s="134"/>
      <c r="F116" s="135"/>
      <c r="G116" s="136"/>
      <c r="H116" s="683"/>
      <c r="I116" s="676"/>
      <c r="J116" s="96"/>
      <c r="K116" s="96"/>
      <c r="L116" s="104"/>
      <c r="M116" s="75"/>
      <c r="N116" s="75"/>
      <c r="O116" s="75"/>
      <c r="P116" s="75"/>
      <c r="Q116" s="105"/>
      <c r="R116" s="105"/>
      <c r="S116" s="96"/>
      <c r="T116" s="109"/>
      <c r="U116" s="100"/>
      <c r="V116" s="110"/>
      <c r="W116" s="110"/>
      <c r="X116" s="100"/>
      <c r="Y116" s="100"/>
      <c r="Z116" s="100"/>
      <c r="AA116" s="110"/>
      <c r="AB116" s="110"/>
      <c r="AC116" s="100"/>
      <c r="AD116" s="109"/>
      <c r="AE116" s="109"/>
      <c r="AF116" s="109"/>
      <c r="AG116" s="108"/>
      <c r="AH116" s="109"/>
      <c r="AI116" s="108"/>
      <c r="AJ116" s="111"/>
      <c r="AK116" s="100"/>
      <c r="AL116" s="110"/>
      <c r="AM116" s="110"/>
      <c r="AN116" s="100"/>
      <c r="AO116" s="100"/>
      <c r="AP116" s="100"/>
      <c r="AQ116" s="100"/>
      <c r="AR116" s="100"/>
      <c r="AS116" s="100"/>
      <c r="AT116" s="100"/>
      <c r="AU116" s="111"/>
      <c r="AV116" s="111"/>
    </row>
    <row r="117" spans="1:50" ht="16.3">
      <c r="A117" s="83" t="s">
        <v>3</v>
      </c>
      <c r="B117" s="539">
        <f>SUM(L117+M117+N117+O117+P117+U117+X117+Y117+Z117+AC117+AK117+AL117+AK117+AO117+AR117+AS117+AU117+AV117+AW117+AX117+AP117)</f>
        <v>0</v>
      </c>
      <c r="C117" s="214">
        <f>SUM(L117+M117+N117+O117+P117+U117+Y117+Z117+X117+AC117+AL117+AK117+AL117+AP117+AS117+AO117+AV117+AW117+AX117+AY117+AR117+AU117)+3</f>
        <v>3</v>
      </c>
      <c r="D117" s="133"/>
      <c r="E117" s="134"/>
      <c r="F117" s="135"/>
      <c r="G117" s="136"/>
      <c r="H117" s="683"/>
      <c r="I117" s="676"/>
      <c r="J117" s="96"/>
      <c r="K117" s="96"/>
      <c r="L117" s="104"/>
      <c r="M117" s="75"/>
      <c r="N117" s="75"/>
      <c r="O117" s="75"/>
      <c r="P117" s="75"/>
      <c r="Q117" s="105"/>
      <c r="R117" s="105"/>
      <c r="S117" s="96">
        <v>1</v>
      </c>
      <c r="T117" s="109"/>
      <c r="U117" s="100"/>
      <c r="V117" s="110"/>
      <c r="W117" s="110">
        <v>1</v>
      </c>
      <c r="X117" s="100"/>
      <c r="Y117" s="100"/>
      <c r="Z117" s="100"/>
      <c r="AA117" s="110"/>
      <c r="AB117" s="110"/>
      <c r="AC117" s="100"/>
      <c r="AD117" s="109"/>
      <c r="AE117" s="109"/>
      <c r="AF117" s="109"/>
      <c r="AG117" s="108"/>
      <c r="AH117" s="109"/>
      <c r="AI117" s="108"/>
      <c r="AJ117" s="111"/>
      <c r="AK117" s="100"/>
      <c r="AL117" s="110"/>
      <c r="AM117" s="110"/>
      <c r="AN117" s="100"/>
      <c r="AO117" s="100"/>
      <c r="AP117" s="100"/>
      <c r="AQ117" s="100"/>
      <c r="AR117" s="100"/>
      <c r="AS117" s="100"/>
      <c r="AT117" s="100"/>
      <c r="AU117" s="111"/>
      <c r="AV117" s="111"/>
    </row>
    <row r="118" spans="1:50" ht="17" thickBot="1">
      <c r="A118" s="85" t="s">
        <v>4</v>
      </c>
      <c r="B118" s="541">
        <f>SUM(L118+M118+N118+O118+P118+U118+X118+Y118+Z118+AC118+AK118+AL118+AK118+AO118+AR118+AS118+AU118+AV118+AW118+AX118+AP118)</f>
        <v>0</v>
      </c>
      <c r="C118" s="217">
        <f>SUM(L118+M118+N118+O118+P118+U118+Y118+Z118+X118+AC118+AL118+AK118+AL118+AP118+AS118+AO118+AV118+AW118+AX118+AY118+AR118+AU118)+15</f>
        <v>15</v>
      </c>
      <c r="D118" s="144"/>
      <c r="E118" s="145"/>
      <c r="F118" s="146"/>
      <c r="G118" s="147"/>
      <c r="H118" s="684"/>
      <c r="I118" s="677"/>
      <c r="J118" s="114"/>
      <c r="K118" s="114"/>
      <c r="L118" s="113"/>
      <c r="M118" s="112"/>
      <c r="N118" s="112"/>
      <c r="O118" s="112"/>
      <c r="P118" s="112"/>
      <c r="Q118" s="127"/>
      <c r="R118" s="127"/>
      <c r="S118" s="114">
        <v>5</v>
      </c>
      <c r="T118" s="118"/>
      <c r="U118" s="116"/>
      <c r="V118" s="119"/>
      <c r="W118" s="120">
        <v>5</v>
      </c>
      <c r="X118" s="116"/>
      <c r="Y118" s="116"/>
      <c r="Z118" s="116"/>
      <c r="AA118" s="120"/>
      <c r="AB118" s="120"/>
      <c r="AC118" s="116"/>
      <c r="AD118" s="118"/>
      <c r="AE118" s="118"/>
      <c r="AF118" s="118"/>
      <c r="AG118" s="117"/>
      <c r="AH118" s="118"/>
      <c r="AI118" s="117"/>
      <c r="AJ118" s="121"/>
      <c r="AK118" s="116"/>
      <c r="AL118" s="120"/>
      <c r="AM118" s="120"/>
      <c r="AN118" s="116"/>
      <c r="AO118" s="116"/>
      <c r="AP118" s="116"/>
      <c r="AQ118" s="116"/>
      <c r="AR118" s="116"/>
      <c r="AS118" s="116"/>
      <c r="AT118" s="116"/>
      <c r="AU118" s="121"/>
      <c r="AV118" s="121"/>
    </row>
    <row r="119" spans="1:50" ht="21.1">
      <c r="A119" s="82" t="s">
        <v>191</v>
      </c>
      <c r="B119" s="539"/>
      <c r="C119" s="214"/>
      <c r="D119" s="133"/>
      <c r="E119" s="134"/>
      <c r="F119" s="135"/>
      <c r="G119" s="136"/>
      <c r="H119" s="683"/>
      <c r="I119" s="676"/>
      <c r="J119" s="109" t="s">
        <v>339</v>
      </c>
      <c r="K119" s="109" t="s">
        <v>339</v>
      </c>
      <c r="L119" s="100" t="s">
        <v>339</v>
      </c>
      <c r="M119" s="100" t="s">
        <v>339</v>
      </c>
      <c r="N119" s="100" t="s">
        <v>339</v>
      </c>
      <c r="O119" s="100" t="s">
        <v>339</v>
      </c>
      <c r="P119" s="100" t="s">
        <v>339</v>
      </c>
      <c r="Q119" s="105"/>
      <c r="R119" s="105"/>
      <c r="S119" s="96">
        <v>12</v>
      </c>
      <c r="T119" s="109">
        <v>12</v>
      </c>
      <c r="U119" s="100"/>
      <c r="V119" s="110"/>
      <c r="W119" s="110">
        <v>12</v>
      </c>
      <c r="X119" s="100">
        <v>12</v>
      </c>
      <c r="Y119" s="100" t="s">
        <v>375</v>
      </c>
      <c r="Z119" s="100"/>
      <c r="AA119" s="110">
        <v>12</v>
      </c>
      <c r="AB119" s="110" t="s">
        <v>375</v>
      </c>
      <c r="AC119" s="100"/>
      <c r="AD119" s="109">
        <v>12</v>
      </c>
      <c r="AE119" s="109">
        <v>12</v>
      </c>
      <c r="AF119" s="109">
        <v>12</v>
      </c>
      <c r="AG119" s="108"/>
      <c r="AH119" s="109" t="s">
        <v>381</v>
      </c>
      <c r="AI119" s="108"/>
      <c r="AJ119" s="111"/>
      <c r="AK119" s="100"/>
      <c r="AL119" s="110"/>
      <c r="AM119" s="110"/>
      <c r="AN119" s="100"/>
      <c r="AO119" s="100"/>
      <c r="AP119" s="100"/>
      <c r="AQ119" s="100"/>
      <c r="AR119" s="100"/>
      <c r="AS119" s="100"/>
      <c r="AT119" s="100"/>
      <c r="AU119" s="111"/>
      <c r="AV119" s="111"/>
    </row>
    <row r="120" spans="1:50" ht="16.3">
      <c r="A120" s="246" t="s">
        <v>1</v>
      </c>
      <c r="B120" s="538">
        <f>SUM(L120+M120+N120+O120+P120+U120+X120+Y120+Z120+AC120+AK120+AL120+AK120+AO120+AR120+AS120+AU120+AV120+AW120+AX120+AP120)+11</f>
        <v>12</v>
      </c>
      <c r="C120" s="215">
        <f>SUM(L120+M120+N120+O120+P120+U120+Y120+Z120+X120+AC120+AL120+AK120+AL120+AP120+AS120+AO120+AV120+AW120+AX120+AY120+AR120+AU120)+11</f>
        <v>12</v>
      </c>
      <c r="D120" s="133"/>
      <c r="E120" s="134"/>
      <c r="F120" s="135"/>
      <c r="G120" s="136"/>
      <c r="H120" s="683"/>
      <c r="I120" s="676"/>
      <c r="J120" s="96"/>
      <c r="K120" s="96"/>
      <c r="L120" s="104"/>
      <c r="M120" s="75"/>
      <c r="N120" s="75"/>
      <c r="O120" s="75"/>
      <c r="P120" s="75"/>
      <c r="Q120" s="105"/>
      <c r="R120" s="105"/>
      <c r="S120" s="96">
        <v>1</v>
      </c>
      <c r="T120" s="109">
        <v>1</v>
      </c>
      <c r="U120" s="100"/>
      <c r="V120" s="110"/>
      <c r="W120" s="110">
        <v>1</v>
      </c>
      <c r="X120" s="100">
        <v>1</v>
      </c>
      <c r="Y120" s="100"/>
      <c r="Z120" s="100"/>
      <c r="AA120" s="110">
        <v>1</v>
      </c>
      <c r="AB120" s="110"/>
      <c r="AC120" s="100"/>
      <c r="AD120" s="109">
        <v>1</v>
      </c>
      <c r="AE120" s="109">
        <v>1</v>
      </c>
      <c r="AF120" s="109">
        <v>1</v>
      </c>
      <c r="AG120" s="108"/>
      <c r="AH120" s="109">
        <v>1</v>
      </c>
      <c r="AI120" s="108"/>
      <c r="AJ120" s="111"/>
      <c r="AK120" s="100"/>
      <c r="AL120" s="110"/>
      <c r="AM120" s="110"/>
      <c r="AN120" s="100"/>
      <c r="AO120" s="100"/>
      <c r="AP120" s="100"/>
      <c r="AQ120" s="100"/>
      <c r="AR120" s="100"/>
      <c r="AS120" s="100"/>
      <c r="AT120" s="100"/>
      <c r="AU120" s="111"/>
      <c r="AV120" s="111"/>
    </row>
    <row r="121" spans="1:50" ht="16.3">
      <c r="A121" s="246" t="s">
        <v>2</v>
      </c>
      <c r="B121" s="538">
        <f>SUM(L121+M121+N121+O121+P121+U121+X121+Y121+Z121+AC121+AK121+AL121+AK121+AO121+AR121+AS121+AU121+AV121+AW121+AX121+AP121)+9</f>
        <v>10</v>
      </c>
      <c r="C121" s="215">
        <f>SUM(L121+M121+N121+O121+P121+U121+Y121+Z121+X121+AC121+AL121+AK121+AL121+AP121+AS121+AO121+AV121+AW121+AX121+AY121+AR121+AU121)+9</f>
        <v>10</v>
      </c>
      <c r="D121" s="133"/>
      <c r="E121" s="134"/>
      <c r="F121" s="135"/>
      <c r="G121" s="136"/>
      <c r="H121" s="683"/>
      <c r="I121" s="676"/>
      <c r="J121" s="96"/>
      <c r="K121" s="96"/>
      <c r="L121" s="104"/>
      <c r="M121" s="75"/>
      <c r="N121" s="75"/>
      <c r="O121" s="75"/>
      <c r="P121" s="75"/>
      <c r="Q121" s="105"/>
      <c r="R121" s="105"/>
      <c r="S121" s="96"/>
      <c r="T121" s="109"/>
      <c r="U121" s="100"/>
      <c r="V121" s="110"/>
      <c r="W121" s="110"/>
      <c r="X121" s="100"/>
      <c r="Y121" s="100">
        <v>1</v>
      </c>
      <c r="Z121" s="100"/>
      <c r="AA121" s="110"/>
      <c r="AB121" s="110">
        <v>1</v>
      </c>
      <c r="AC121" s="100"/>
      <c r="AD121" s="109"/>
      <c r="AE121" s="109"/>
      <c r="AF121" s="109"/>
      <c r="AG121" s="108"/>
      <c r="AH121" s="109"/>
      <c r="AI121" s="108"/>
      <c r="AJ121" s="111"/>
      <c r="AK121" s="100"/>
      <c r="AL121" s="110"/>
      <c r="AM121" s="110"/>
      <c r="AN121" s="100"/>
      <c r="AO121" s="100"/>
      <c r="AP121" s="100"/>
      <c r="AQ121" s="100"/>
      <c r="AR121" s="100"/>
      <c r="AS121" s="100"/>
      <c r="AT121" s="100"/>
      <c r="AU121" s="111"/>
      <c r="AV121" s="111"/>
    </row>
    <row r="122" spans="1:50" ht="16.3">
      <c r="A122" s="83" t="s">
        <v>363</v>
      </c>
      <c r="B122" s="539">
        <f t="shared" ref="B122:C122" si="13">SUM(B120+B121)</f>
        <v>22</v>
      </c>
      <c r="C122" s="214">
        <f t="shared" si="13"/>
        <v>22</v>
      </c>
      <c r="D122" s="133"/>
      <c r="E122" s="134"/>
      <c r="F122" s="135"/>
      <c r="G122" s="136"/>
      <c r="H122" s="683"/>
      <c r="I122" s="676"/>
      <c r="J122" s="96"/>
      <c r="K122" s="96"/>
      <c r="L122" s="104"/>
      <c r="M122" s="75"/>
      <c r="N122" s="75"/>
      <c r="O122" s="75"/>
      <c r="P122" s="75"/>
      <c r="Q122" s="105"/>
      <c r="R122" s="105"/>
      <c r="S122" s="96"/>
      <c r="T122" s="109"/>
      <c r="U122" s="100"/>
      <c r="V122" s="110"/>
      <c r="W122" s="110"/>
      <c r="X122" s="100"/>
      <c r="Y122" s="100"/>
      <c r="Z122" s="100"/>
      <c r="AA122" s="110"/>
      <c r="AB122" s="110"/>
      <c r="AC122" s="100"/>
      <c r="AD122" s="109"/>
      <c r="AE122" s="109"/>
      <c r="AF122" s="109"/>
      <c r="AG122" s="108"/>
      <c r="AH122" s="109"/>
      <c r="AI122" s="108"/>
      <c r="AJ122" s="111"/>
      <c r="AK122" s="100"/>
      <c r="AL122" s="110"/>
      <c r="AM122" s="110"/>
      <c r="AN122" s="100"/>
      <c r="AO122" s="100"/>
      <c r="AP122" s="100"/>
      <c r="AQ122" s="100"/>
      <c r="AR122" s="100"/>
      <c r="AS122" s="100"/>
      <c r="AT122" s="100"/>
      <c r="AU122" s="111"/>
      <c r="AV122" s="111"/>
    </row>
    <row r="123" spans="1:50" ht="16.3">
      <c r="A123" s="83" t="s">
        <v>3</v>
      </c>
      <c r="B123" s="539">
        <f>SUM(L123+M123+N123+O123+P123+U123+X123+Y123+Z123+AC123+AK123+AL123+AK123+AO123+AR123+AS123+AU123+AV123+AW123+AX123+AP123)+5</f>
        <v>5</v>
      </c>
      <c r="C123" s="214">
        <f>SUM(L123+M123+N123+O123+P123+U123+Y123+Z123+X123+AC123+AL123+AK123+AL123+AP123+AS123+AO123+AV123+AW123+AX123+AY123+AR123+AU123)+5</f>
        <v>5</v>
      </c>
      <c r="D123" s="133"/>
      <c r="E123" s="134"/>
      <c r="F123" s="135"/>
      <c r="G123" s="136"/>
      <c r="H123" s="683"/>
      <c r="I123" s="676"/>
      <c r="J123" s="96"/>
      <c r="K123" s="96"/>
      <c r="L123" s="104"/>
      <c r="M123" s="75"/>
      <c r="N123" s="75"/>
      <c r="O123" s="75"/>
      <c r="P123" s="75"/>
      <c r="Q123" s="105"/>
      <c r="R123" s="105"/>
      <c r="S123" s="96">
        <v>1</v>
      </c>
      <c r="T123" s="109"/>
      <c r="U123" s="100"/>
      <c r="V123" s="110"/>
      <c r="W123" s="110"/>
      <c r="X123" s="100"/>
      <c r="Y123" s="100"/>
      <c r="Z123" s="100"/>
      <c r="AA123" s="110"/>
      <c r="AB123" s="110"/>
      <c r="AC123" s="100"/>
      <c r="AD123" s="109"/>
      <c r="AE123" s="109">
        <v>1</v>
      </c>
      <c r="AF123" s="109"/>
      <c r="AG123" s="108"/>
      <c r="AH123" s="109">
        <v>1</v>
      </c>
      <c r="AI123" s="108"/>
      <c r="AJ123" s="111"/>
      <c r="AK123" s="100"/>
      <c r="AL123" s="110"/>
      <c r="AM123" s="110"/>
      <c r="AN123" s="100"/>
      <c r="AO123" s="100"/>
      <c r="AP123" s="100"/>
      <c r="AQ123" s="100"/>
      <c r="AR123" s="100"/>
      <c r="AS123" s="100"/>
      <c r="AT123" s="100"/>
      <c r="AU123" s="111"/>
      <c r="AV123" s="111"/>
    </row>
    <row r="124" spans="1:50" ht="17" thickBot="1">
      <c r="A124" s="85" t="s">
        <v>4</v>
      </c>
      <c r="B124" s="541">
        <f>SUM(L124+M124+N124+O124+P124+U124+X124+Y124+Z124+AC124+AK124+AL124+AK124+AO124+AR124+AS124+AU124+AV124+AW124+AX124+AP124)+25</f>
        <v>25</v>
      </c>
      <c r="C124" s="217">
        <f>SUM(L124+M124+N124+O124+P124+U124+Y124+Z124+X124+AC124+AL124+AK124+AL124+AP124+AS124+AO124+AV124+AW124+AX124+AY124+AR124+AU124)+25</f>
        <v>25</v>
      </c>
      <c r="D124" s="144"/>
      <c r="E124" s="145"/>
      <c r="F124" s="146"/>
      <c r="G124" s="147"/>
      <c r="H124" s="684"/>
      <c r="I124" s="677"/>
      <c r="J124" s="114"/>
      <c r="K124" s="114"/>
      <c r="L124" s="113"/>
      <c r="M124" s="112"/>
      <c r="N124" s="112"/>
      <c r="O124" s="112"/>
      <c r="P124" s="112"/>
      <c r="Q124" s="127"/>
      <c r="R124" s="127"/>
      <c r="S124" s="114">
        <v>5</v>
      </c>
      <c r="T124" s="118"/>
      <c r="U124" s="116"/>
      <c r="V124" s="120"/>
      <c r="W124" s="120"/>
      <c r="X124" s="116"/>
      <c r="Y124" s="116"/>
      <c r="Z124" s="116"/>
      <c r="AA124" s="120"/>
      <c r="AB124" s="120"/>
      <c r="AC124" s="116"/>
      <c r="AD124" s="118"/>
      <c r="AE124" s="118">
        <v>5</v>
      </c>
      <c r="AF124" s="118"/>
      <c r="AG124" s="117"/>
      <c r="AH124" s="118">
        <v>5</v>
      </c>
      <c r="AI124" s="117"/>
      <c r="AJ124" s="121"/>
      <c r="AK124" s="116"/>
      <c r="AL124" s="120"/>
      <c r="AM124" s="120"/>
      <c r="AN124" s="116"/>
      <c r="AO124" s="116"/>
      <c r="AP124" s="116"/>
      <c r="AQ124" s="116"/>
      <c r="AR124" s="116"/>
      <c r="AS124" s="116"/>
      <c r="AT124" s="116"/>
      <c r="AU124" s="121"/>
      <c r="AV124" s="121"/>
    </row>
    <row r="125" spans="1:50" ht="21.1">
      <c r="A125" s="794" t="s">
        <v>607</v>
      </c>
      <c r="B125" s="538"/>
      <c r="C125" s="215"/>
      <c r="D125" s="139"/>
      <c r="E125" s="140"/>
      <c r="F125" s="169"/>
      <c r="G125" s="170"/>
      <c r="H125" s="685"/>
      <c r="I125" s="678"/>
      <c r="J125" s="189" t="s">
        <v>943</v>
      </c>
      <c r="K125" s="189">
        <v>12</v>
      </c>
      <c r="L125" s="188" t="s">
        <v>375</v>
      </c>
      <c r="M125" s="187" t="s">
        <v>375</v>
      </c>
      <c r="N125" s="187"/>
      <c r="O125" s="187"/>
      <c r="P125" s="187"/>
      <c r="Q125" s="190"/>
      <c r="R125" s="190"/>
      <c r="S125" s="189" t="s">
        <v>824</v>
      </c>
      <c r="T125" s="195" t="s">
        <v>344</v>
      </c>
      <c r="U125" s="191" t="s">
        <v>344</v>
      </c>
      <c r="V125" s="192" t="s">
        <v>344</v>
      </c>
      <c r="W125" s="192" t="s">
        <v>344</v>
      </c>
      <c r="X125" s="795" t="s">
        <v>344</v>
      </c>
      <c r="Y125" s="795" t="s">
        <v>344</v>
      </c>
      <c r="Z125" s="795" t="s">
        <v>344</v>
      </c>
      <c r="AA125" s="796" t="s">
        <v>344</v>
      </c>
      <c r="AB125" s="796" t="s">
        <v>344</v>
      </c>
      <c r="AC125" s="795" t="s">
        <v>344</v>
      </c>
      <c r="AD125" s="797" t="s">
        <v>344</v>
      </c>
      <c r="AE125" s="797" t="s">
        <v>344</v>
      </c>
      <c r="AF125" s="797" t="s">
        <v>344</v>
      </c>
      <c r="AG125" s="798"/>
      <c r="AH125" s="797" t="s">
        <v>344</v>
      </c>
      <c r="AI125" s="798"/>
      <c r="AJ125" s="799"/>
      <c r="AK125" s="795" t="s">
        <v>344</v>
      </c>
      <c r="AL125" s="796" t="s">
        <v>344</v>
      </c>
      <c r="AM125" s="796" t="s">
        <v>344</v>
      </c>
      <c r="AN125" s="795" t="s">
        <v>344</v>
      </c>
      <c r="AO125" s="795" t="s">
        <v>344</v>
      </c>
      <c r="AP125" s="795" t="s">
        <v>344</v>
      </c>
      <c r="AQ125" s="795" t="s">
        <v>344</v>
      </c>
      <c r="AR125" s="795" t="s">
        <v>344</v>
      </c>
      <c r="AS125" s="795" t="s">
        <v>344</v>
      </c>
      <c r="AT125" s="795" t="s">
        <v>344</v>
      </c>
      <c r="AU125" s="799"/>
      <c r="AV125" s="799"/>
      <c r="AW125" s="15"/>
      <c r="AX125" s="15"/>
    </row>
    <row r="126" spans="1:50" ht="16.3">
      <c r="A126" s="246" t="s">
        <v>1</v>
      </c>
      <c r="B126" s="538">
        <f>SUM(L126+M126+N126+O126+P126+U126+X126+Y126+Z126+AC126+AK126+AL126+AK126+AO126+AR126+AS126+AU126+AV126+AW126+AX126+AP126)</f>
        <v>0</v>
      </c>
      <c r="C126" s="215">
        <f>SUM(L126+M126+N126+O126+P126+U126+Y126+Z126+X126+AC126+AL126+AK126+AL126+AP126+AS126+AO126+AV126+AW126+AX126+AY126+AR126+AU126)+9</f>
        <v>9</v>
      </c>
      <c r="D126" s="139"/>
      <c r="E126" s="140"/>
      <c r="F126" s="169"/>
      <c r="G126" s="170"/>
      <c r="H126" s="685"/>
      <c r="I126" s="678"/>
      <c r="J126" s="189">
        <v>1</v>
      </c>
      <c r="K126" s="189">
        <v>1</v>
      </c>
      <c r="L126" s="188"/>
      <c r="M126" s="187"/>
      <c r="N126" s="187"/>
      <c r="O126" s="187"/>
      <c r="P126" s="187"/>
      <c r="Q126" s="190"/>
      <c r="R126" s="190"/>
      <c r="S126" s="189"/>
      <c r="T126" s="195"/>
      <c r="U126" s="191"/>
      <c r="V126" s="192"/>
      <c r="W126" s="192"/>
      <c r="X126" s="191"/>
      <c r="Y126" s="191"/>
      <c r="Z126" s="191"/>
      <c r="AA126" s="192"/>
      <c r="AB126" s="192"/>
      <c r="AC126" s="191"/>
      <c r="AD126" s="195"/>
      <c r="AE126" s="195"/>
      <c r="AF126" s="195"/>
      <c r="AG126" s="194"/>
      <c r="AH126" s="195"/>
      <c r="AI126" s="194"/>
      <c r="AJ126" s="193"/>
      <c r="AK126" s="191"/>
      <c r="AL126" s="192"/>
      <c r="AM126" s="192"/>
      <c r="AN126" s="191"/>
      <c r="AO126" s="191"/>
      <c r="AP126" s="191"/>
      <c r="AQ126" s="191"/>
      <c r="AR126" s="191"/>
      <c r="AS126" s="191"/>
      <c r="AT126" s="191"/>
      <c r="AU126" s="193"/>
      <c r="AV126" s="193"/>
      <c r="AW126" s="15"/>
      <c r="AX126" s="15"/>
    </row>
    <row r="127" spans="1:50" ht="16.3">
      <c r="A127" s="246" t="s">
        <v>2</v>
      </c>
      <c r="B127" s="538">
        <f>SUM(L127+M127+N127+O127+P127+U127+X127+Y127+Z127+AC127+AK127+AL127+AK127+AO127+AR127+AS127+AU127+AV127+AW127+AX127+AP127)</f>
        <v>2</v>
      </c>
      <c r="C127" s="215">
        <f>SUM(L127+M127+N127+O127+P127+U127+Y127+Z127+X127+AC127+AL127+AK127+AL127+AP127+AS127+AO127+AV127+AW127+AX127+AY127+AR127+AU127)+4</f>
        <v>6</v>
      </c>
      <c r="D127" s="139"/>
      <c r="E127" s="140"/>
      <c r="F127" s="169"/>
      <c r="G127" s="170"/>
      <c r="H127" s="685"/>
      <c r="I127" s="678"/>
      <c r="J127" s="189"/>
      <c r="K127" s="189"/>
      <c r="L127" s="188">
        <v>1</v>
      </c>
      <c r="M127" s="187">
        <v>1</v>
      </c>
      <c r="N127" s="187"/>
      <c r="O127" s="187"/>
      <c r="P127" s="187"/>
      <c r="Q127" s="190"/>
      <c r="R127" s="190"/>
      <c r="S127" s="189"/>
      <c r="T127" s="189"/>
      <c r="U127" s="187"/>
      <c r="V127" s="800"/>
      <c r="W127" s="800"/>
      <c r="X127" s="187"/>
      <c r="Y127" s="187"/>
      <c r="Z127" s="187"/>
      <c r="AA127" s="800"/>
      <c r="AB127" s="800"/>
      <c r="AC127" s="187"/>
      <c r="AD127" s="189"/>
      <c r="AE127" s="189"/>
      <c r="AF127" s="189"/>
      <c r="AG127" s="190"/>
      <c r="AH127" s="189"/>
      <c r="AI127" s="190"/>
      <c r="AJ127" s="590"/>
      <c r="AK127" s="187"/>
      <c r="AL127" s="800"/>
      <c r="AM127" s="800"/>
      <c r="AN127" s="187"/>
      <c r="AO127" s="187"/>
      <c r="AP127" s="187"/>
      <c r="AQ127" s="187"/>
      <c r="AR127" s="187"/>
      <c r="AS127" s="187"/>
      <c r="AT127" s="187"/>
      <c r="AU127" s="590"/>
      <c r="AV127" s="590"/>
      <c r="AW127" s="15"/>
      <c r="AX127" s="15"/>
    </row>
    <row r="128" spans="1:50" ht="16.3">
      <c r="A128" s="246" t="s">
        <v>363</v>
      </c>
      <c r="B128" s="538">
        <f t="shared" ref="B128:C128" si="14">SUM(B126+B127)</f>
        <v>2</v>
      </c>
      <c r="C128" s="215">
        <f t="shared" si="14"/>
        <v>15</v>
      </c>
      <c r="D128" s="139"/>
      <c r="E128" s="140"/>
      <c r="F128" s="169"/>
      <c r="G128" s="170"/>
      <c r="H128" s="685"/>
      <c r="I128" s="678"/>
      <c r="J128" s="189"/>
      <c r="K128" s="189"/>
      <c r="L128" s="188"/>
      <c r="M128" s="187"/>
      <c r="N128" s="187"/>
      <c r="O128" s="187"/>
      <c r="P128" s="187"/>
      <c r="Q128" s="190"/>
      <c r="R128" s="190"/>
      <c r="S128" s="189"/>
      <c r="T128" s="195"/>
      <c r="U128" s="191"/>
      <c r="V128" s="192"/>
      <c r="W128" s="192"/>
      <c r="X128" s="191"/>
      <c r="Y128" s="191"/>
      <c r="Z128" s="191"/>
      <c r="AA128" s="192"/>
      <c r="AB128" s="192"/>
      <c r="AC128" s="191"/>
      <c r="AD128" s="195"/>
      <c r="AE128" s="195"/>
      <c r="AF128" s="195"/>
      <c r="AG128" s="194"/>
      <c r="AH128" s="195"/>
      <c r="AI128" s="194"/>
      <c r="AJ128" s="193"/>
      <c r="AK128" s="191"/>
      <c r="AL128" s="192"/>
      <c r="AM128" s="192"/>
      <c r="AN128" s="191"/>
      <c r="AO128" s="191"/>
      <c r="AP128" s="191"/>
      <c r="AQ128" s="191"/>
      <c r="AR128" s="191"/>
      <c r="AS128" s="191"/>
      <c r="AT128" s="191"/>
      <c r="AU128" s="193"/>
      <c r="AV128" s="193"/>
      <c r="AW128" s="15"/>
      <c r="AX128" s="15"/>
    </row>
    <row r="129" spans="1:50" ht="16.3">
      <c r="A129" s="246" t="s">
        <v>3</v>
      </c>
      <c r="B129" s="538">
        <f>SUM(L129+M129+N129+O129+P129+U129+X129+Y129+Z129+AC129+AK129+AL129+AK129+AO129+AR129+AS129+AU129+AV129+AW129+AX129+AP129)</f>
        <v>0</v>
      </c>
      <c r="C129" s="215">
        <f>SUM(L129+M129+N129+O129+P129+U129+Y129+Z129+X129+AC129+AL129+AK129+AL129+AP129+AS129+AO129+AV129+AW129+AX129+AY129+AR129+AU129)</f>
        <v>0</v>
      </c>
      <c r="D129" s="139"/>
      <c r="E129" s="140"/>
      <c r="F129" s="169"/>
      <c r="G129" s="170"/>
      <c r="H129" s="685"/>
      <c r="I129" s="678"/>
      <c r="J129" s="189"/>
      <c r="K129" s="189"/>
      <c r="L129" s="188"/>
      <c r="M129" s="187"/>
      <c r="N129" s="187"/>
      <c r="O129" s="187"/>
      <c r="P129" s="187"/>
      <c r="Q129" s="190"/>
      <c r="R129" s="190"/>
      <c r="S129" s="189"/>
      <c r="T129" s="195"/>
      <c r="U129" s="191"/>
      <c r="V129" s="192"/>
      <c r="W129" s="192"/>
      <c r="X129" s="191"/>
      <c r="Y129" s="191"/>
      <c r="Z129" s="191"/>
      <c r="AA129" s="192"/>
      <c r="AB129" s="192"/>
      <c r="AC129" s="191"/>
      <c r="AD129" s="195"/>
      <c r="AE129" s="195"/>
      <c r="AF129" s="195"/>
      <c r="AG129" s="194"/>
      <c r="AH129" s="195"/>
      <c r="AI129" s="194"/>
      <c r="AJ129" s="193"/>
      <c r="AK129" s="191"/>
      <c r="AL129" s="192"/>
      <c r="AM129" s="192"/>
      <c r="AN129" s="191"/>
      <c r="AO129" s="191"/>
      <c r="AP129" s="191"/>
      <c r="AQ129" s="191"/>
      <c r="AR129" s="191"/>
      <c r="AS129" s="191"/>
      <c r="AT129" s="191"/>
      <c r="AU129" s="193"/>
      <c r="AV129" s="193"/>
      <c r="AW129" s="15"/>
      <c r="AX129" s="15"/>
    </row>
    <row r="130" spans="1:50" ht="17" thickBot="1">
      <c r="A130" s="258" t="s">
        <v>4</v>
      </c>
      <c r="B130" s="801">
        <f>SUM(L130+M130+N130+O130+P130+U130+X130+Y130+Z130+AC130+AK130+AL130+AK130+AO130+AR130+AS130+AU130+AV130+AW130+AX130+AP130)</f>
        <v>0</v>
      </c>
      <c r="C130" s="592">
        <f>SUM(L130+M130+N130+O130+P130+U130+Y130+Z130+X130+AC130+AL130+AK130+AL130+AP130+AS130+AO130+AV130+AW130+AX130+AY130+AR130+AU130)</f>
        <v>0</v>
      </c>
      <c r="D130" s="196"/>
      <c r="E130" s="197"/>
      <c r="F130" s="198"/>
      <c r="G130" s="199"/>
      <c r="H130" s="686"/>
      <c r="I130" s="679"/>
      <c r="J130" s="201"/>
      <c r="K130" s="201"/>
      <c r="L130" s="200"/>
      <c r="M130" s="594"/>
      <c r="N130" s="594"/>
      <c r="O130" s="594"/>
      <c r="P130" s="594"/>
      <c r="Q130" s="259"/>
      <c r="R130" s="259"/>
      <c r="S130" s="201"/>
      <c r="T130" s="202"/>
      <c r="U130" s="203"/>
      <c r="V130" s="802"/>
      <c r="W130" s="802"/>
      <c r="X130" s="594"/>
      <c r="Y130" s="594"/>
      <c r="Z130" s="191"/>
      <c r="AA130" s="802"/>
      <c r="AB130" s="802"/>
      <c r="AC130" s="594"/>
      <c r="AD130" s="201"/>
      <c r="AE130" s="195"/>
      <c r="AF130" s="195"/>
      <c r="AG130" s="194"/>
      <c r="AH130" s="195"/>
      <c r="AI130" s="194"/>
      <c r="AJ130" s="193"/>
      <c r="AK130" s="191"/>
      <c r="AL130" s="802"/>
      <c r="AM130" s="802"/>
      <c r="AN130" s="191"/>
      <c r="AO130" s="191"/>
      <c r="AP130" s="594"/>
      <c r="AQ130" s="594"/>
      <c r="AR130" s="191"/>
      <c r="AS130" s="594"/>
      <c r="AT130" s="594"/>
      <c r="AU130" s="193"/>
      <c r="AV130" s="593"/>
      <c r="AW130" s="15"/>
      <c r="AX130" s="15"/>
    </row>
    <row r="131" spans="1:50" ht="21.1">
      <c r="A131" s="86" t="s">
        <v>673</v>
      </c>
      <c r="B131" s="539"/>
      <c r="C131" s="214"/>
      <c r="D131" s="133"/>
      <c r="E131" s="134"/>
      <c r="F131" s="135"/>
      <c r="G131" s="136"/>
      <c r="H131" s="683"/>
      <c r="I131" s="676"/>
      <c r="J131" s="96"/>
      <c r="K131" s="96"/>
      <c r="L131" s="104" t="s">
        <v>381</v>
      </c>
      <c r="M131" s="75">
        <v>12</v>
      </c>
      <c r="N131" s="75">
        <v>12</v>
      </c>
      <c r="O131" s="75">
        <v>12</v>
      </c>
      <c r="P131" s="75">
        <v>12</v>
      </c>
      <c r="Q131" s="105"/>
      <c r="R131" s="105"/>
      <c r="S131" s="96"/>
      <c r="T131" s="96"/>
      <c r="U131" s="75">
        <v>10</v>
      </c>
      <c r="V131" s="106" t="s">
        <v>384</v>
      </c>
      <c r="W131" s="110"/>
      <c r="X131" s="100">
        <v>10</v>
      </c>
      <c r="Y131" s="75" t="s">
        <v>384</v>
      </c>
      <c r="Z131" s="102" t="s">
        <v>339</v>
      </c>
      <c r="AA131" s="106" t="s">
        <v>375</v>
      </c>
      <c r="AB131" s="110">
        <v>12</v>
      </c>
      <c r="AC131" s="100" t="s">
        <v>808</v>
      </c>
      <c r="AD131" s="96"/>
      <c r="AE131" s="99"/>
      <c r="AF131" s="99"/>
      <c r="AG131" s="98"/>
      <c r="AH131" s="99"/>
      <c r="AI131" s="98"/>
      <c r="AJ131" s="103"/>
      <c r="AK131" s="102"/>
      <c r="AL131" s="106"/>
      <c r="AM131" s="106"/>
      <c r="AN131" s="102"/>
      <c r="AO131" s="102"/>
      <c r="AP131" s="75"/>
      <c r="AQ131" s="75"/>
      <c r="AR131" s="102"/>
      <c r="AS131" s="75"/>
      <c r="AT131" s="75"/>
      <c r="AU131" s="103"/>
      <c r="AV131" s="107"/>
    </row>
    <row r="132" spans="1:50" ht="16.3">
      <c r="A132" s="246" t="s">
        <v>1</v>
      </c>
      <c r="B132" s="538">
        <f>SUM(L132+M132+N132+O132+P132+U132+X132+Y132+Z132+AC132+AK132+AL132+AK132+AO132+AR132+AS132+AU132+AV132+AW132+AX132+AP132)+147</f>
        <v>156</v>
      </c>
      <c r="C132" s="215">
        <f>B132</f>
        <v>156</v>
      </c>
      <c r="D132" s="133"/>
      <c r="E132" s="134"/>
      <c r="F132" s="135"/>
      <c r="G132" s="136"/>
      <c r="H132" s="683"/>
      <c r="I132" s="676"/>
      <c r="J132" s="96"/>
      <c r="K132" s="96"/>
      <c r="L132" s="75">
        <v>1</v>
      </c>
      <c r="M132" s="75">
        <v>1</v>
      </c>
      <c r="N132" s="75">
        <v>1</v>
      </c>
      <c r="O132" s="75">
        <v>1</v>
      </c>
      <c r="P132" s="75">
        <v>1</v>
      </c>
      <c r="Q132" s="105"/>
      <c r="R132" s="105"/>
      <c r="S132" s="96"/>
      <c r="T132" s="96"/>
      <c r="U132" s="75">
        <v>1</v>
      </c>
      <c r="V132" s="106">
        <v>1</v>
      </c>
      <c r="W132" s="106"/>
      <c r="X132" s="75">
        <v>1</v>
      </c>
      <c r="Y132" s="75">
        <v>1</v>
      </c>
      <c r="Z132" s="75"/>
      <c r="AA132" s="106"/>
      <c r="AB132" s="106">
        <v>1</v>
      </c>
      <c r="AC132" s="75">
        <v>1</v>
      </c>
      <c r="AD132" s="96"/>
      <c r="AE132" s="96"/>
      <c r="AF132" s="96"/>
      <c r="AG132" s="105"/>
      <c r="AH132" s="96"/>
      <c r="AI132" s="105"/>
      <c r="AJ132" s="107"/>
      <c r="AK132" s="75"/>
      <c r="AL132" s="106"/>
      <c r="AM132" s="106"/>
      <c r="AN132" s="75"/>
      <c r="AO132" s="75"/>
      <c r="AP132" s="75"/>
      <c r="AQ132" s="75"/>
      <c r="AR132" s="75"/>
      <c r="AS132" s="75"/>
      <c r="AT132" s="75"/>
      <c r="AU132" s="107"/>
      <c r="AV132" s="107"/>
    </row>
    <row r="133" spans="1:50" ht="16.3">
      <c r="A133" s="246" t="s">
        <v>2</v>
      </c>
      <c r="B133" s="538">
        <f>SUM(L133+M133+N133+O133+P133+U133+X133+Y133+Z133+AC133+AK133+AL133+AK133+AO133+AR133+AS133+AU133+AV133+AW133+AX133+AP133)+14</f>
        <v>14</v>
      </c>
      <c r="C133" s="215">
        <f t="shared" ref="C133:C143" si="15">B133</f>
        <v>14</v>
      </c>
      <c r="D133" s="133"/>
      <c r="E133" s="134"/>
      <c r="F133" s="135"/>
      <c r="G133" s="136"/>
      <c r="H133" s="683"/>
      <c r="I133" s="676"/>
      <c r="J133" s="96"/>
      <c r="K133" s="96"/>
      <c r="L133" s="104"/>
      <c r="M133" s="75"/>
      <c r="N133" s="75"/>
      <c r="O133" s="75"/>
      <c r="P133" s="75"/>
      <c r="Q133" s="105"/>
      <c r="R133" s="105"/>
      <c r="S133" s="96"/>
      <c r="T133" s="109"/>
      <c r="U133" s="100"/>
      <c r="V133" s="110"/>
      <c r="W133" s="110"/>
      <c r="X133" s="100"/>
      <c r="Y133" s="100"/>
      <c r="Z133" s="100"/>
      <c r="AA133" s="110">
        <v>1</v>
      </c>
      <c r="AB133" s="110"/>
      <c r="AC133" s="100"/>
      <c r="AD133" s="109"/>
      <c r="AE133" s="109"/>
      <c r="AF133" s="109"/>
      <c r="AG133" s="108"/>
      <c r="AH133" s="109"/>
      <c r="AI133" s="108"/>
      <c r="AJ133" s="111"/>
      <c r="AK133" s="100"/>
      <c r="AL133" s="110"/>
      <c r="AM133" s="110"/>
      <c r="AN133" s="100"/>
      <c r="AO133" s="100"/>
      <c r="AP133" s="100"/>
      <c r="AQ133" s="100"/>
      <c r="AR133" s="100"/>
      <c r="AS133" s="100"/>
      <c r="AT133" s="100"/>
      <c r="AU133" s="111"/>
      <c r="AV133" s="111"/>
    </row>
    <row r="134" spans="1:50" ht="16.3">
      <c r="A134" s="83" t="s">
        <v>363</v>
      </c>
      <c r="B134" s="539">
        <f t="shared" ref="B134" si="16">SUM(B132+B133)</f>
        <v>170</v>
      </c>
      <c r="C134" s="214">
        <f t="shared" si="15"/>
        <v>170</v>
      </c>
      <c r="D134" s="133"/>
      <c r="E134" s="134"/>
      <c r="F134" s="135"/>
      <c r="G134" s="136"/>
      <c r="H134" s="683"/>
      <c r="I134" s="676"/>
      <c r="J134" s="96"/>
      <c r="K134" s="96"/>
      <c r="L134" s="104"/>
      <c r="M134" s="75"/>
      <c r="N134" s="75"/>
      <c r="O134" s="75"/>
      <c r="P134" s="75"/>
      <c r="Q134" s="105"/>
      <c r="R134" s="105"/>
      <c r="S134" s="96"/>
      <c r="T134" s="109"/>
      <c r="U134" s="100"/>
      <c r="V134" s="110"/>
      <c r="W134" s="110"/>
      <c r="X134" s="100"/>
      <c r="Y134" s="100"/>
      <c r="Z134" s="100"/>
      <c r="AA134" s="110"/>
      <c r="AB134" s="110"/>
      <c r="AC134" s="100"/>
      <c r="AD134" s="109"/>
      <c r="AE134" s="109"/>
      <c r="AF134" s="109"/>
      <c r="AG134" s="108"/>
      <c r="AH134" s="109"/>
      <c r="AI134" s="108"/>
      <c r="AJ134" s="111"/>
      <c r="AK134" s="100"/>
      <c r="AL134" s="110"/>
      <c r="AM134" s="110"/>
      <c r="AN134" s="100"/>
      <c r="AO134" s="100"/>
      <c r="AP134" s="100"/>
      <c r="AQ134" s="100"/>
      <c r="AR134" s="100"/>
      <c r="AS134" s="100"/>
      <c r="AT134" s="100"/>
      <c r="AU134" s="111"/>
      <c r="AV134" s="111"/>
    </row>
    <row r="135" spans="1:50" ht="16.3">
      <c r="A135" s="246" t="s">
        <v>366</v>
      </c>
      <c r="B135" s="538">
        <f>SUM(L135+M135+N135+O135+P135+U135+X135+Y135+Z135+AC135+AK135+AL135+AK135+AO135+AR135+AS135+AU135+AV135+AW135+AX135+AP135)+47</f>
        <v>48</v>
      </c>
      <c r="C135" s="215">
        <f t="shared" si="15"/>
        <v>48</v>
      </c>
      <c r="D135" s="133"/>
      <c r="E135" s="134"/>
      <c r="F135" s="135"/>
      <c r="G135" s="136"/>
      <c r="H135" s="683"/>
      <c r="I135" s="676"/>
      <c r="J135" s="96"/>
      <c r="K135" s="96"/>
      <c r="L135" s="104"/>
      <c r="M135" s="75"/>
      <c r="N135" s="75"/>
      <c r="O135" s="75"/>
      <c r="P135" s="75"/>
      <c r="Q135" s="105"/>
      <c r="R135" s="105"/>
      <c r="S135" s="96"/>
      <c r="T135" s="109"/>
      <c r="U135" s="100"/>
      <c r="V135" s="110"/>
      <c r="W135" s="110"/>
      <c r="X135" s="100"/>
      <c r="Y135" s="100"/>
      <c r="Z135" s="100"/>
      <c r="AA135" s="110"/>
      <c r="AB135" s="110"/>
      <c r="AC135" s="100">
        <v>1</v>
      </c>
      <c r="AD135" s="109"/>
      <c r="AE135" s="109"/>
      <c r="AF135" s="109"/>
      <c r="AG135" s="108"/>
      <c r="AH135" s="109"/>
      <c r="AI135" s="108"/>
      <c r="AJ135" s="111"/>
      <c r="AK135" s="100"/>
      <c r="AL135" s="110"/>
      <c r="AM135" s="110"/>
      <c r="AN135" s="100"/>
      <c r="AO135" s="100"/>
      <c r="AP135" s="100"/>
      <c r="AQ135" s="100"/>
      <c r="AR135" s="100"/>
      <c r="AS135" s="100"/>
      <c r="AT135" s="100"/>
      <c r="AU135" s="111"/>
      <c r="AV135" s="111"/>
    </row>
    <row r="136" spans="1:50" ht="16.3">
      <c r="A136" s="246" t="s">
        <v>362</v>
      </c>
      <c r="B136" s="538">
        <f>SUM(L136+M136+N136+O136+P136+U136+X136+Y136+Z136+AC136+AK136+AL136+AK136+AO136+AR136+AS136+AU136+AV136+AW136+AX136+AP136)+5</f>
        <v>5</v>
      </c>
      <c r="C136" s="215">
        <f t="shared" si="15"/>
        <v>5</v>
      </c>
      <c r="D136" s="133"/>
      <c r="E136" s="134"/>
      <c r="F136" s="135"/>
      <c r="G136" s="136"/>
      <c r="H136" s="683"/>
      <c r="I136" s="676"/>
      <c r="J136" s="96"/>
      <c r="K136" s="96"/>
      <c r="L136" s="104"/>
      <c r="M136" s="75"/>
      <c r="N136" s="75"/>
      <c r="O136" s="75"/>
      <c r="P136" s="75"/>
      <c r="Q136" s="105"/>
      <c r="R136" s="105"/>
      <c r="S136" s="96"/>
      <c r="T136" s="109"/>
      <c r="U136" s="100"/>
      <c r="V136" s="110"/>
      <c r="W136" s="110"/>
      <c r="X136" s="100"/>
      <c r="Y136" s="100"/>
      <c r="Z136" s="100"/>
      <c r="AA136" s="110"/>
      <c r="AB136" s="110"/>
      <c r="AC136" s="100"/>
      <c r="AD136" s="109"/>
      <c r="AE136" s="109"/>
      <c r="AF136" s="109"/>
      <c r="AG136" s="108"/>
      <c r="AH136" s="109"/>
      <c r="AI136" s="108"/>
      <c r="AJ136" s="111"/>
      <c r="AK136" s="100"/>
      <c r="AL136" s="110"/>
      <c r="AM136" s="110"/>
      <c r="AN136" s="100"/>
      <c r="AO136" s="100"/>
      <c r="AP136" s="100"/>
      <c r="AQ136" s="100"/>
      <c r="AR136" s="100"/>
      <c r="AS136" s="100"/>
      <c r="AT136" s="100"/>
      <c r="AU136" s="111"/>
      <c r="AV136" s="111"/>
    </row>
    <row r="137" spans="1:50" ht="16.3">
      <c r="A137" s="246" t="s">
        <v>364</v>
      </c>
      <c r="B137" s="538">
        <f>SUM(L137+M137+N137+O137+P137+U137+X137+Y137+Z137+AC137+AK137+AL137+AK137+AO137+AR137+AS137+AU137+AV137+AW137+AX137+AP137)+1</f>
        <v>1</v>
      </c>
      <c r="C137" s="215">
        <f t="shared" si="15"/>
        <v>1</v>
      </c>
      <c r="D137" s="133"/>
      <c r="E137" s="134"/>
      <c r="F137" s="135"/>
      <c r="G137" s="136"/>
      <c r="H137" s="683"/>
      <c r="I137" s="676"/>
      <c r="J137" s="96"/>
      <c r="K137" s="96"/>
      <c r="L137" s="104"/>
      <c r="M137" s="75"/>
      <c r="N137" s="75"/>
      <c r="O137" s="75"/>
      <c r="P137" s="75"/>
      <c r="Q137" s="105"/>
      <c r="R137" s="105"/>
      <c r="S137" s="96"/>
      <c r="T137" s="109"/>
      <c r="U137" s="100"/>
      <c r="V137" s="110"/>
      <c r="W137" s="110"/>
      <c r="X137" s="100"/>
      <c r="Y137" s="100"/>
      <c r="Z137" s="100"/>
      <c r="AA137" s="110"/>
      <c r="AB137" s="110"/>
      <c r="AC137" s="100"/>
      <c r="AD137" s="109"/>
      <c r="AE137" s="109"/>
      <c r="AF137" s="109"/>
      <c r="AG137" s="108"/>
      <c r="AH137" s="109"/>
      <c r="AI137" s="108"/>
      <c r="AJ137" s="111"/>
      <c r="AK137" s="100"/>
      <c r="AL137" s="110"/>
      <c r="AM137" s="110"/>
      <c r="AN137" s="100"/>
      <c r="AO137" s="100"/>
      <c r="AP137" s="100"/>
      <c r="AQ137" s="100"/>
      <c r="AR137" s="100"/>
      <c r="AS137" s="100"/>
      <c r="AT137" s="100"/>
      <c r="AU137" s="111"/>
      <c r="AV137" s="111"/>
    </row>
    <row r="138" spans="1:50" ht="16.3">
      <c r="A138" s="246" t="s">
        <v>5</v>
      </c>
      <c r="B138" s="538">
        <f>SUM(L138+M138+N138+O138+P138+U138+X138+Y138+Z138+AC138+AK138+AL138+AK138+AO138+AR138+AS138+AU138+AV138+AW138+AX138+AP138)+661</f>
        <v>700</v>
      </c>
      <c r="C138" s="215">
        <f t="shared" si="15"/>
        <v>700</v>
      </c>
      <c r="D138" s="133"/>
      <c r="E138" s="134"/>
      <c r="F138" s="135"/>
      <c r="G138" s="136"/>
      <c r="H138" s="683"/>
      <c r="I138" s="676"/>
      <c r="J138" s="96"/>
      <c r="K138" s="96"/>
      <c r="L138" s="104">
        <v>5</v>
      </c>
      <c r="M138" s="75">
        <v>7</v>
      </c>
      <c r="N138" s="75">
        <v>2</v>
      </c>
      <c r="O138" s="75">
        <v>6</v>
      </c>
      <c r="P138" s="75">
        <v>3</v>
      </c>
      <c r="Q138" s="105"/>
      <c r="R138" s="105"/>
      <c r="S138" s="96"/>
      <c r="T138" s="109"/>
      <c r="U138" s="100">
        <v>3</v>
      </c>
      <c r="V138" s="110">
        <v>4</v>
      </c>
      <c r="W138" s="110"/>
      <c r="X138" s="100">
        <v>1</v>
      </c>
      <c r="Y138" s="100">
        <v>4</v>
      </c>
      <c r="Z138" s="100"/>
      <c r="AA138" s="110">
        <v>1</v>
      </c>
      <c r="AB138" s="110">
        <v>1</v>
      </c>
      <c r="AC138" s="100">
        <v>8</v>
      </c>
      <c r="AD138" s="109"/>
      <c r="AE138" s="109"/>
      <c r="AF138" s="109"/>
      <c r="AG138" s="108"/>
      <c r="AH138" s="109"/>
      <c r="AI138" s="108"/>
      <c r="AJ138" s="111"/>
      <c r="AK138" s="100"/>
      <c r="AL138" s="110"/>
      <c r="AM138" s="110"/>
      <c r="AN138" s="100"/>
      <c r="AO138" s="100"/>
      <c r="AP138" s="100"/>
      <c r="AQ138" s="100"/>
      <c r="AR138" s="100"/>
      <c r="AS138" s="100"/>
      <c r="AT138" s="100"/>
      <c r="AU138" s="111"/>
      <c r="AV138" s="111"/>
    </row>
    <row r="139" spans="1:50" ht="16.3">
      <c r="A139" s="246" t="s">
        <v>6</v>
      </c>
      <c r="B139" s="538">
        <f>SUM(L139+M139+N139+O139+P139+U139+X139+Y139+Z139+AC139+AK139+AL139+AK139+AO139+AR139+AS139+AU139+AV139+AW139+AX139+AP139)+853</f>
        <v>908</v>
      </c>
      <c r="C139" s="215">
        <f t="shared" si="15"/>
        <v>908</v>
      </c>
      <c r="D139" s="133"/>
      <c r="E139" s="134"/>
      <c r="F139" s="135"/>
      <c r="G139" s="136"/>
      <c r="H139" s="683"/>
      <c r="I139" s="676"/>
      <c r="J139" s="96"/>
      <c r="K139" s="96"/>
      <c r="L139" s="104">
        <v>6</v>
      </c>
      <c r="M139" s="75">
        <v>8</v>
      </c>
      <c r="N139" s="75">
        <v>2</v>
      </c>
      <c r="O139" s="75">
        <v>10</v>
      </c>
      <c r="P139" s="75">
        <v>5</v>
      </c>
      <c r="Q139" s="105"/>
      <c r="R139" s="105"/>
      <c r="S139" s="96"/>
      <c r="T139" s="109"/>
      <c r="U139" s="100">
        <v>4</v>
      </c>
      <c r="V139" s="110">
        <v>5</v>
      </c>
      <c r="W139" s="110"/>
      <c r="X139" s="100">
        <v>4</v>
      </c>
      <c r="Y139" s="100">
        <v>6</v>
      </c>
      <c r="Z139" s="100"/>
      <c r="AA139" s="110">
        <v>1</v>
      </c>
      <c r="AB139" s="110">
        <v>1</v>
      </c>
      <c r="AC139" s="100">
        <v>10</v>
      </c>
      <c r="AD139" s="109"/>
      <c r="AE139" s="109"/>
      <c r="AF139" s="109"/>
      <c r="AG139" s="108"/>
      <c r="AH139" s="109"/>
      <c r="AI139" s="108"/>
      <c r="AJ139" s="111"/>
      <c r="AK139" s="100"/>
      <c r="AL139" s="110"/>
      <c r="AM139" s="110"/>
      <c r="AN139" s="100"/>
      <c r="AO139" s="100"/>
      <c r="AP139" s="100"/>
      <c r="AQ139" s="100"/>
      <c r="AR139" s="100"/>
      <c r="AS139" s="100"/>
      <c r="AT139" s="100"/>
      <c r="AU139" s="111"/>
      <c r="AV139" s="111"/>
    </row>
    <row r="140" spans="1:50" ht="16.3">
      <c r="A140" s="246" t="s">
        <v>368</v>
      </c>
      <c r="B140" s="540">
        <f>SUM(B138/B139)*100</f>
        <v>77.092511013215855</v>
      </c>
      <c r="C140" s="216">
        <f t="shared" si="15"/>
        <v>77.092511013215855</v>
      </c>
      <c r="D140" s="133"/>
      <c r="E140" s="134"/>
      <c r="F140" s="135"/>
      <c r="G140" s="136"/>
      <c r="H140" s="683"/>
      <c r="I140" s="676"/>
      <c r="J140" s="96"/>
      <c r="K140" s="96"/>
      <c r="L140" s="104">
        <v>83</v>
      </c>
      <c r="M140" s="75">
        <v>88</v>
      </c>
      <c r="N140" s="75">
        <v>100</v>
      </c>
      <c r="O140" s="75">
        <v>60</v>
      </c>
      <c r="P140" s="75">
        <v>60</v>
      </c>
      <c r="Q140" s="105"/>
      <c r="R140" s="105"/>
      <c r="S140" s="96"/>
      <c r="T140" s="109"/>
      <c r="U140" s="100">
        <v>75</v>
      </c>
      <c r="V140" s="110">
        <v>80</v>
      </c>
      <c r="W140" s="110"/>
      <c r="X140" s="100">
        <v>25</v>
      </c>
      <c r="Y140" s="100">
        <v>67</v>
      </c>
      <c r="Z140" s="100"/>
      <c r="AA140" s="110">
        <v>100</v>
      </c>
      <c r="AB140" s="110">
        <v>100</v>
      </c>
      <c r="AC140" s="100">
        <v>80</v>
      </c>
      <c r="AD140" s="109"/>
      <c r="AE140" s="109"/>
      <c r="AF140" s="109"/>
      <c r="AG140" s="108"/>
      <c r="AH140" s="109"/>
      <c r="AI140" s="108"/>
      <c r="AJ140" s="111"/>
      <c r="AK140" s="100"/>
      <c r="AL140" s="110"/>
      <c r="AM140" s="110"/>
      <c r="AN140" s="100"/>
      <c r="AO140" s="100"/>
      <c r="AP140" s="100"/>
      <c r="AQ140" s="100"/>
      <c r="AR140" s="100"/>
      <c r="AS140" s="100"/>
      <c r="AT140" s="100"/>
      <c r="AU140" s="111"/>
      <c r="AV140" s="111"/>
    </row>
    <row r="141" spans="1:50" ht="16.3">
      <c r="A141" s="246" t="s">
        <v>386</v>
      </c>
      <c r="B141" s="540">
        <f>SUM(L141+M141+N141+O141+P141+U141+X141+Y141+Z141+AC141+AK141+AL141+AK141+AO141+AR141+AS141+AU141+AV141+AW141+AX141+AP141)+4</f>
        <v>5</v>
      </c>
      <c r="C141" s="216">
        <f t="shared" si="15"/>
        <v>5</v>
      </c>
      <c r="D141" s="133"/>
      <c r="E141" s="134"/>
      <c r="F141" s="135"/>
      <c r="G141" s="136"/>
      <c r="H141" s="683"/>
      <c r="I141" s="676"/>
      <c r="J141" s="96"/>
      <c r="K141" s="96"/>
      <c r="L141" s="104"/>
      <c r="M141" s="75"/>
      <c r="N141" s="75"/>
      <c r="O141" s="75"/>
      <c r="P141" s="75"/>
      <c r="Q141" s="105"/>
      <c r="R141" s="105"/>
      <c r="S141" s="96"/>
      <c r="T141" s="109"/>
      <c r="U141" s="100">
        <v>1</v>
      </c>
      <c r="V141" s="110"/>
      <c r="W141" s="110"/>
      <c r="X141" s="100"/>
      <c r="Y141" s="100"/>
      <c r="Z141" s="100"/>
      <c r="AA141" s="110"/>
      <c r="AB141" s="110"/>
      <c r="AC141" s="100"/>
      <c r="AD141" s="109"/>
      <c r="AE141" s="109"/>
      <c r="AF141" s="109"/>
      <c r="AG141" s="108"/>
      <c r="AH141" s="109"/>
      <c r="AI141" s="108"/>
      <c r="AJ141" s="111"/>
      <c r="AK141" s="100"/>
      <c r="AL141" s="110"/>
      <c r="AM141" s="110"/>
      <c r="AN141" s="100"/>
      <c r="AO141" s="100"/>
      <c r="AP141" s="100"/>
      <c r="AQ141" s="100"/>
      <c r="AR141" s="100"/>
      <c r="AS141" s="100"/>
      <c r="AT141" s="100"/>
      <c r="AU141" s="111"/>
      <c r="AV141" s="111"/>
    </row>
    <row r="142" spans="1:50" ht="16.3">
      <c r="A142" s="83" t="s">
        <v>3</v>
      </c>
      <c r="B142" s="539">
        <f>SUM(L142+M142+N142+O142+P142+U142+X142+Y142+Z142+AC142+AK142+AL142+AK142+AO142+AR142+AS142+AU142+AV142+AW142+AX142+AP142)+13</f>
        <v>13</v>
      </c>
      <c r="C142" s="214">
        <f t="shared" si="15"/>
        <v>13</v>
      </c>
      <c r="D142" s="133"/>
      <c r="E142" s="134"/>
      <c r="F142" s="135"/>
      <c r="G142" s="136"/>
      <c r="H142" s="683"/>
      <c r="I142" s="676"/>
      <c r="J142" s="96"/>
      <c r="K142" s="96"/>
      <c r="L142" s="104"/>
      <c r="M142" s="75"/>
      <c r="N142" s="75"/>
      <c r="O142" s="75"/>
      <c r="P142" s="75"/>
      <c r="Q142" s="105"/>
      <c r="R142" s="105"/>
      <c r="S142" s="96"/>
      <c r="T142" s="109"/>
      <c r="U142" s="100"/>
      <c r="V142" s="110"/>
      <c r="W142" s="110"/>
      <c r="X142" s="100"/>
      <c r="Y142" s="100"/>
      <c r="Z142" s="100"/>
      <c r="AA142" s="110"/>
      <c r="AB142" s="110"/>
      <c r="AC142" s="100"/>
      <c r="AD142" s="109"/>
      <c r="AE142" s="109"/>
      <c r="AF142" s="109"/>
      <c r="AG142" s="108"/>
      <c r="AH142" s="109"/>
      <c r="AI142" s="108"/>
      <c r="AJ142" s="111"/>
      <c r="AK142" s="100"/>
      <c r="AL142" s="110"/>
      <c r="AM142" s="110"/>
      <c r="AN142" s="100"/>
      <c r="AO142" s="100"/>
      <c r="AP142" s="100"/>
      <c r="AQ142" s="100"/>
      <c r="AR142" s="100"/>
      <c r="AS142" s="100"/>
      <c r="AT142" s="100"/>
      <c r="AU142" s="111"/>
      <c r="AV142" s="111"/>
    </row>
    <row r="143" spans="1:50" ht="17" thickBot="1">
      <c r="A143" s="85" t="s">
        <v>4</v>
      </c>
      <c r="B143" s="541">
        <f>SUM(L143+M143+N143+O143+P143+U143+X143+Y143+Z143+AC143+AK143+AL143+AK143+AO143+AR143+AS143+AU143+AV143+AW143+AX143+AP143)+1750</f>
        <v>1837</v>
      </c>
      <c r="C143" s="217">
        <f t="shared" si="15"/>
        <v>1837</v>
      </c>
      <c r="D143" s="144"/>
      <c r="E143" s="145"/>
      <c r="F143" s="146"/>
      <c r="G143" s="147"/>
      <c r="H143" s="684"/>
      <c r="I143" s="677"/>
      <c r="J143" s="114"/>
      <c r="K143" s="114"/>
      <c r="L143" s="113">
        <v>12</v>
      </c>
      <c r="M143" s="112">
        <v>15</v>
      </c>
      <c r="N143" s="112">
        <v>4</v>
      </c>
      <c r="O143" s="112">
        <v>13</v>
      </c>
      <c r="P143" s="112">
        <v>6</v>
      </c>
      <c r="Q143" s="127"/>
      <c r="R143" s="127"/>
      <c r="S143" s="114"/>
      <c r="T143" s="118"/>
      <c r="U143" s="116">
        <v>9</v>
      </c>
      <c r="V143" s="119">
        <v>8</v>
      </c>
      <c r="W143" s="119"/>
      <c r="X143" s="100">
        <v>2</v>
      </c>
      <c r="Y143" s="100">
        <v>10</v>
      </c>
      <c r="Z143" s="100"/>
      <c r="AA143" s="110">
        <v>3</v>
      </c>
      <c r="AB143" s="110">
        <v>3</v>
      </c>
      <c r="AC143" s="100">
        <v>16</v>
      </c>
      <c r="AD143" s="109"/>
      <c r="AE143" s="109"/>
      <c r="AF143" s="109"/>
      <c r="AG143" s="108"/>
      <c r="AH143" s="109"/>
      <c r="AI143" s="108"/>
      <c r="AJ143" s="111"/>
      <c r="AK143" s="100"/>
      <c r="AL143" s="110"/>
      <c r="AM143" s="110"/>
      <c r="AN143" s="100"/>
      <c r="AO143" s="100"/>
      <c r="AP143" s="100"/>
      <c r="AQ143" s="100"/>
      <c r="AR143" s="100"/>
      <c r="AS143" s="100"/>
      <c r="AT143" s="100"/>
      <c r="AU143" s="111"/>
      <c r="AV143" s="111"/>
    </row>
    <row r="144" spans="1:50" ht="21.1">
      <c r="A144" s="86" t="s">
        <v>338</v>
      </c>
      <c r="B144" s="538"/>
      <c r="C144" s="215"/>
      <c r="D144" s="139"/>
      <c r="E144" s="140"/>
      <c r="F144" s="169"/>
      <c r="G144" s="170"/>
      <c r="H144" s="685"/>
      <c r="I144" s="678"/>
      <c r="J144" s="189"/>
      <c r="K144" s="189"/>
      <c r="L144" s="104">
        <v>10</v>
      </c>
      <c r="M144" s="75" t="s">
        <v>384</v>
      </c>
      <c r="N144" s="75">
        <v>10</v>
      </c>
      <c r="O144" s="75" t="s">
        <v>384</v>
      </c>
      <c r="P144" s="75">
        <v>10</v>
      </c>
      <c r="Q144" s="105"/>
      <c r="R144" s="105"/>
      <c r="S144" s="96" t="s">
        <v>783</v>
      </c>
      <c r="T144" s="109" t="s">
        <v>783</v>
      </c>
      <c r="U144" s="100" t="s">
        <v>375</v>
      </c>
      <c r="V144" s="110" t="s">
        <v>375</v>
      </c>
      <c r="W144" s="110">
        <v>10</v>
      </c>
      <c r="X144" s="102" t="s">
        <v>393</v>
      </c>
      <c r="Y144" s="102" t="s">
        <v>375</v>
      </c>
      <c r="Z144" s="102">
        <v>10</v>
      </c>
      <c r="AA144" s="101">
        <v>10</v>
      </c>
      <c r="AB144" s="101">
        <v>10</v>
      </c>
      <c r="AC144" s="102" t="s">
        <v>375</v>
      </c>
      <c r="AD144" s="99"/>
      <c r="AE144" s="99" t="s">
        <v>993</v>
      </c>
      <c r="AF144" s="99" t="s">
        <v>375</v>
      </c>
      <c r="AG144" s="98"/>
      <c r="AH144" s="99"/>
      <c r="AI144" s="98"/>
      <c r="AJ144" s="103"/>
      <c r="AK144" s="102"/>
      <c r="AL144" s="101"/>
      <c r="AM144" s="101"/>
      <c r="AN144" s="102"/>
      <c r="AO144" s="102"/>
      <c r="AP144" s="102"/>
      <c r="AQ144" s="102"/>
      <c r="AR144" s="102"/>
      <c r="AS144" s="102"/>
      <c r="AT144" s="102"/>
      <c r="AU144" s="103"/>
      <c r="AV144" s="103"/>
    </row>
    <row r="145" spans="1:48" ht="16.3">
      <c r="A145" s="246" t="s">
        <v>1</v>
      </c>
      <c r="B145" s="538">
        <f>SUM(L145+M145+N145+O145+P145+U145+X145+Y145+Z145+AC145+AK145+AL145+AK145+AO145+AR145+AS145+AU145+AV145+AW145+AX145+AP145)+15</f>
        <v>21</v>
      </c>
      <c r="C145" s="215">
        <f>SUM(L145+M145+N145+O145+P145+U145+Y145+Z145+X145+AC145+AL145+AK145+AL145+AP145+AS145+AO145+AV145+AW145+AX145+AY145+AR145+AU145)+15</f>
        <v>21</v>
      </c>
      <c r="D145" s="139"/>
      <c r="E145" s="140"/>
      <c r="F145" s="169"/>
      <c r="G145" s="170"/>
      <c r="H145" s="685"/>
      <c r="I145" s="678"/>
      <c r="J145" s="189"/>
      <c r="K145" s="189"/>
      <c r="L145" s="104">
        <v>1</v>
      </c>
      <c r="M145" s="75">
        <v>1</v>
      </c>
      <c r="N145" s="75">
        <v>1</v>
      </c>
      <c r="O145" s="75">
        <v>1</v>
      </c>
      <c r="P145" s="75">
        <v>1</v>
      </c>
      <c r="Q145" s="105"/>
      <c r="R145" s="105"/>
      <c r="S145" s="96"/>
      <c r="T145" s="109"/>
      <c r="U145" s="100"/>
      <c r="V145" s="110"/>
      <c r="W145" s="110">
        <v>1</v>
      </c>
      <c r="X145" s="100"/>
      <c r="Y145" s="100"/>
      <c r="Z145" s="100">
        <v>1</v>
      </c>
      <c r="AA145" s="110">
        <v>1</v>
      </c>
      <c r="AB145" s="110">
        <v>1</v>
      </c>
      <c r="AC145" s="100"/>
      <c r="AD145" s="109"/>
      <c r="AE145" s="109"/>
      <c r="AF145" s="109"/>
      <c r="AG145" s="108"/>
      <c r="AH145" s="109"/>
      <c r="AI145" s="108"/>
      <c r="AJ145" s="111"/>
      <c r="AK145" s="100"/>
      <c r="AL145" s="110"/>
      <c r="AM145" s="110"/>
      <c r="AN145" s="100"/>
      <c r="AO145" s="100"/>
      <c r="AP145" s="100"/>
      <c r="AQ145" s="100"/>
      <c r="AR145" s="100"/>
      <c r="AS145" s="100"/>
      <c r="AT145" s="100"/>
      <c r="AU145" s="111"/>
      <c r="AV145" s="111"/>
    </row>
    <row r="146" spans="1:48" ht="16.3">
      <c r="A146" s="246" t="s">
        <v>2</v>
      </c>
      <c r="B146" s="538">
        <f>SUM(L146+M146+N146+O146+P146+U146+X146+Y146+Z146+AC146+AK146+AL146+AK146+AO146+AR146+AS146+AU146+AV146+AW146+AX146+AP146)+1</f>
        <v>4</v>
      </c>
      <c r="C146" s="215">
        <f>SUM(L146+M146+N146+O146+P146+U146+Y146+Z146+X146+AC146+AL146+AK146+AL146+AP146+AS146+AO146+AV146+AW146+AX146+AY146+AR146+AU146)+1</f>
        <v>4</v>
      </c>
      <c r="D146" s="139"/>
      <c r="E146" s="140"/>
      <c r="F146" s="169"/>
      <c r="G146" s="170"/>
      <c r="H146" s="685"/>
      <c r="I146" s="678"/>
      <c r="J146" s="189"/>
      <c r="K146" s="189"/>
      <c r="L146" s="104"/>
      <c r="M146" s="75"/>
      <c r="N146" s="75"/>
      <c r="O146" s="75"/>
      <c r="P146" s="75"/>
      <c r="Q146" s="105"/>
      <c r="R146" s="105"/>
      <c r="S146" s="96"/>
      <c r="T146" s="109"/>
      <c r="U146" s="100">
        <v>1</v>
      </c>
      <c r="V146" s="110">
        <v>1</v>
      </c>
      <c r="W146" s="110"/>
      <c r="X146" s="100"/>
      <c r="Y146" s="100">
        <v>1</v>
      </c>
      <c r="Z146" s="100"/>
      <c r="AA146" s="110"/>
      <c r="AB146" s="110"/>
      <c r="AC146" s="100">
        <v>1</v>
      </c>
      <c r="AD146" s="109"/>
      <c r="AE146" s="109"/>
      <c r="AF146" s="109">
        <v>1</v>
      </c>
      <c r="AG146" s="108"/>
      <c r="AH146" s="109"/>
      <c r="AI146" s="108"/>
      <c r="AJ146" s="111"/>
      <c r="AK146" s="100"/>
      <c r="AL146" s="110"/>
      <c r="AM146" s="110"/>
      <c r="AN146" s="100"/>
      <c r="AO146" s="100"/>
      <c r="AP146" s="100"/>
      <c r="AQ146" s="100"/>
      <c r="AR146" s="100"/>
      <c r="AS146" s="100"/>
      <c r="AT146" s="100"/>
      <c r="AU146" s="111"/>
      <c r="AV146" s="111"/>
    </row>
    <row r="147" spans="1:48" ht="16.3">
      <c r="A147" s="83" t="s">
        <v>363</v>
      </c>
      <c r="B147" s="539">
        <f t="shared" ref="B147" si="17">SUM(B145+B146)</f>
        <v>25</v>
      </c>
      <c r="C147" s="214">
        <f t="shared" ref="C147" si="18">SUM(C145+C146)</f>
        <v>25</v>
      </c>
      <c r="D147" s="139"/>
      <c r="E147" s="140"/>
      <c r="F147" s="169"/>
      <c r="G147" s="170"/>
      <c r="H147" s="685"/>
      <c r="I147" s="678"/>
      <c r="J147" s="189"/>
      <c r="K147" s="189"/>
      <c r="L147" s="104"/>
      <c r="M147" s="75"/>
      <c r="N147" s="75"/>
      <c r="O147" s="75"/>
      <c r="P147" s="75"/>
      <c r="Q147" s="105"/>
      <c r="R147" s="105"/>
      <c r="S147" s="96"/>
      <c r="T147" s="109"/>
      <c r="U147" s="100"/>
      <c r="V147" s="110"/>
      <c r="W147" s="110"/>
      <c r="X147" s="100"/>
      <c r="Y147" s="100"/>
      <c r="Z147" s="100"/>
      <c r="AA147" s="110"/>
      <c r="AB147" s="110"/>
      <c r="AC147" s="100"/>
      <c r="AD147" s="109"/>
      <c r="AE147" s="109"/>
      <c r="AF147" s="109"/>
      <c r="AG147" s="108"/>
      <c r="AH147" s="109"/>
      <c r="AI147" s="108"/>
      <c r="AJ147" s="111"/>
      <c r="AK147" s="100"/>
      <c r="AL147" s="110"/>
      <c r="AM147" s="110"/>
      <c r="AN147" s="100"/>
      <c r="AO147" s="100"/>
      <c r="AP147" s="100"/>
      <c r="AQ147" s="100"/>
      <c r="AR147" s="100"/>
      <c r="AS147" s="100"/>
      <c r="AT147" s="100"/>
      <c r="AU147" s="111"/>
      <c r="AV147" s="111"/>
    </row>
    <row r="148" spans="1:48" ht="16.3">
      <c r="A148" s="246" t="s">
        <v>5</v>
      </c>
      <c r="B148" s="538">
        <f>SUM(L148+M148+N148+O148+P148+U148+X148+Y148+Z148+AC148+AK148+AL148+AK148+AO148+AR148+AS148+AU148+AV148+AW148+AX148+AP148)+28</f>
        <v>33</v>
      </c>
      <c r="C148" s="215">
        <f>SUM(L148+M148+N148+O148+P148+U148+Y148+Z148+X148+AC148+AL148+AK148+AL148+AP148+AS148+AO148+AV148+AW148+AX148+AY148+AR148+AU148)+28</f>
        <v>33</v>
      </c>
      <c r="D148" s="139"/>
      <c r="E148" s="140"/>
      <c r="F148" s="169"/>
      <c r="G148" s="170"/>
      <c r="H148" s="685"/>
      <c r="I148" s="678"/>
      <c r="J148" s="189"/>
      <c r="K148" s="189"/>
      <c r="L148" s="104">
        <v>1</v>
      </c>
      <c r="M148" s="75"/>
      <c r="N148" s="75"/>
      <c r="O148" s="75"/>
      <c r="P148" s="75"/>
      <c r="Q148" s="105"/>
      <c r="R148" s="105"/>
      <c r="S148" s="96"/>
      <c r="T148" s="109"/>
      <c r="U148" s="100"/>
      <c r="V148" s="110">
        <v>2</v>
      </c>
      <c r="W148" s="110">
        <v>3</v>
      </c>
      <c r="X148" s="100"/>
      <c r="Y148" s="100"/>
      <c r="Z148" s="100">
        <v>4</v>
      </c>
      <c r="AA148" s="110">
        <v>1</v>
      </c>
      <c r="AB148" s="110"/>
      <c r="AC148" s="100"/>
      <c r="AD148" s="109"/>
      <c r="AE148" s="109"/>
      <c r="AF148" s="109">
        <v>0</v>
      </c>
      <c r="AG148" s="108"/>
      <c r="AH148" s="109"/>
      <c r="AI148" s="108"/>
      <c r="AJ148" s="111"/>
      <c r="AK148" s="100"/>
      <c r="AL148" s="110"/>
      <c r="AM148" s="110"/>
      <c r="AN148" s="100"/>
      <c r="AO148" s="100"/>
      <c r="AP148" s="100"/>
      <c r="AQ148" s="100"/>
      <c r="AR148" s="100"/>
      <c r="AS148" s="100"/>
      <c r="AT148" s="100"/>
      <c r="AU148" s="111"/>
      <c r="AV148" s="111"/>
    </row>
    <row r="149" spans="1:48" ht="16.3">
      <c r="A149" s="246" t="s">
        <v>6</v>
      </c>
      <c r="B149" s="538">
        <f>SUM(L149+M149+N149+O149+P149+U149+X149+Y149+Z149+AC149+AK149+AL149+AK149+AO149+AR149+AS149+AU149+AV149+AW149+AX149+AP149)+44</f>
        <v>50</v>
      </c>
      <c r="C149" s="215">
        <f>SUM(L149+M149+N149+O149+P149+U149+Y149+Z149+X149+AC149+AL149+AK149+AL149+AP149+AS149+AO149+AV149+AW149+AX149+AY149+AR149+AU149)+44</f>
        <v>50</v>
      </c>
      <c r="D149" s="139"/>
      <c r="E149" s="140"/>
      <c r="F149" s="169"/>
      <c r="G149" s="170"/>
      <c r="H149" s="685"/>
      <c r="I149" s="678"/>
      <c r="J149" s="189"/>
      <c r="K149" s="189"/>
      <c r="L149" s="104">
        <v>1</v>
      </c>
      <c r="M149" s="75"/>
      <c r="N149" s="75"/>
      <c r="O149" s="75"/>
      <c r="P149" s="75"/>
      <c r="Q149" s="105"/>
      <c r="R149" s="105"/>
      <c r="S149" s="96"/>
      <c r="T149" s="109"/>
      <c r="U149" s="100"/>
      <c r="V149" s="110">
        <v>2</v>
      </c>
      <c r="W149" s="110">
        <v>5</v>
      </c>
      <c r="X149" s="100"/>
      <c r="Y149" s="100"/>
      <c r="Z149" s="100">
        <v>5</v>
      </c>
      <c r="AA149" s="110">
        <v>3</v>
      </c>
      <c r="AB149" s="110"/>
      <c r="AC149" s="100"/>
      <c r="AD149" s="109"/>
      <c r="AE149" s="109"/>
      <c r="AF149" s="109">
        <v>1</v>
      </c>
      <c r="AG149" s="108"/>
      <c r="AH149" s="109"/>
      <c r="AI149" s="108"/>
      <c r="AJ149" s="111"/>
      <c r="AK149" s="100"/>
      <c r="AL149" s="110"/>
      <c r="AM149" s="110"/>
      <c r="AN149" s="100"/>
      <c r="AO149" s="100"/>
      <c r="AP149" s="100"/>
      <c r="AQ149" s="100"/>
      <c r="AR149" s="100"/>
      <c r="AS149" s="100"/>
      <c r="AT149" s="100"/>
      <c r="AU149" s="111"/>
      <c r="AV149" s="111"/>
    </row>
    <row r="150" spans="1:48" ht="16.3">
      <c r="A150" s="246" t="s">
        <v>368</v>
      </c>
      <c r="B150" s="540">
        <f>SUM(B148/B149)*100</f>
        <v>66</v>
      </c>
      <c r="C150" s="216">
        <f>SUM(C148/C149)*100</f>
        <v>66</v>
      </c>
      <c r="D150" s="139"/>
      <c r="E150" s="140"/>
      <c r="F150" s="169"/>
      <c r="G150" s="170"/>
      <c r="H150" s="685"/>
      <c r="I150" s="678"/>
      <c r="J150" s="189"/>
      <c r="K150" s="189"/>
      <c r="L150" s="104">
        <v>100</v>
      </c>
      <c r="M150" s="75"/>
      <c r="N150" s="75"/>
      <c r="O150" s="75"/>
      <c r="P150" s="75"/>
      <c r="Q150" s="105"/>
      <c r="R150" s="105"/>
      <c r="S150" s="96"/>
      <c r="T150" s="109"/>
      <c r="U150" s="100"/>
      <c r="V150" s="110">
        <v>100</v>
      </c>
      <c r="W150" s="110">
        <v>60</v>
      </c>
      <c r="X150" s="100"/>
      <c r="Y150" s="100"/>
      <c r="Z150" s="100">
        <v>80</v>
      </c>
      <c r="AA150" s="110">
        <v>67</v>
      </c>
      <c r="AB150" s="110"/>
      <c r="AC150" s="100"/>
      <c r="AD150" s="109"/>
      <c r="AE150" s="109"/>
      <c r="AF150" s="109">
        <v>0</v>
      </c>
      <c r="AG150" s="108"/>
      <c r="AH150" s="109"/>
      <c r="AI150" s="108"/>
      <c r="AJ150" s="111"/>
      <c r="AK150" s="100"/>
      <c r="AL150" s="110"/>
      <c r="AM150" s="110"/>
      <c r="AN150" s="100"/>
      <c r="AO150" s="100"/>
      <c r="AP150" s="100"/>
      <c r="AQ150" s="100"/>
      <c r="AR150" s="100"/>
      <c r="AS150" s="100"/>
      <c r="AT150" s="100"/>
      <c r="AU150" s="111"/>
      <c r="AV150" s="111"/>
    </row>
    <row r="151" spans="1:48" ht="16.3">
      <c r="A151" s="83" t="s">
        <v>3</v>
      </c>
      <c r="B151" s="539">
        <f>SUM(L151+M151+N151+O151+P151+U151+X151+Y151+Z151+AC151+AK151+AL151+AK151+AO151+AR151+AS151+AU151+AV151+AW151+AX151+AP151)+6</f>
        <v>9</v>
      </c>
      <c r="C151" s="214">
        <f>SUM(L151+M151+N151+O151+P151+U151+Y151+Z151+X151+AC151+AL151+AK151+AL151+AP151+AS151+AO151+AV151+AW151+AX151+AY151+AR151+AU151)+6</f>
        <v>9</v>
      </c>
      <c r="D151" s="139"/>
      <c r="E151" s="140"/>
      <c r="F151" s="169"/>
      <c r="G151" s="170"/>
      <c r="H151" s="685"/>
      <c r="I151" s="678"/>
      <c r="J151" s="189"/>
      <c r="K151" s="189"/>
      <c r="L151" s="104"/>
      <c r="M151" s="75"/>
      <c r="N151" s="75">
        <v>1</v>
      </c>
      <c r="O151" s="75">
        <v>1</v>
      </c>
      <c r="P151" s="75">
        <v>1</v>
      </c>
      <c r="Q151" s="105"/>
      <c r="R151" s="105"/>
      <c r="S151" s="96"/>
      <c r="T151" s="109"/>
      <c r="U151" s="100"/>
      <c r="V151" s="110"/>
      <c r="W151" s="110"/>
      <c r="X151" s="100"/>
      <c r="Y151" s="100"/>
      <c r="Z151" s="100"/>
      <c r="AA151" s="110"/>
      <c r="AB151" s="110"/>
      <c r="AC151" s="100"/>
      <c r="AD151" s="109"/>
      <c r="AE151" s="109"/>
      <c r="AF151" s="109"/>
      <c r="AG151" s="108"/>
      <c r="AH151" s="109"/>
      <c r="AI151" s="108"/>
      <c r="AJ151" s="111"/>
      <c r="AK151" s="100"/>
      <c r="AL151" s="110"/>
      <c r="AM151" s="110"/>
      <c r="AN151" s="100"/>
      <c r="AO151" s="100"/>
      <c r="AP151" s="100"/>
      <c r="AQ151" s="100"/>
      <c r="AR151" s="100"/>
      <c r="AS151" s="100"/>
      <c r="AT151" s="100"/>
      <c r="AU151" s="111"/>
      <c r="AV151" s="111"/>
    </row>
    <row r="152" spans="1:48" ht="17" thickBot="1">
      <c r="A152" s="85" t="s">
        <v>4</v>
      </c>
      <c r="B152" s="541">
        <f>SUM(L152+M152+N152+O152+P152+U152+X152+Y152+Z152+AC152+AK152+AL152+AK152+AO152+AR152+AS152+AU152+AV152+AW152+AX152+AP152)+90</f>
        <v>115</v>
      </c>
      <c r="C152" s="217">
        <f>SUM(L152+M152+N152+O152+P152+U152+Y152+Z152+X152+AC152+AL152+AK152+AL152+AP152+AS152+AO152+AV152+AW152+AX152+AY152+AR152+AU152)+90</f>
        <v>115</v>
      </c>
      <c r="D152" s="196"/>
      <c r="E152" s="197"/>
      <c r="F152" s="198"/>
      <c r="G152" s="199"/>
      <c r="H152" s="686"/>
      <c r="I152" s="679"/>
      <c r="J152" s="201"/>
      <c r="K152" s="201"/>
      <c r="L152" s="113">
        <v>2</v>
      </c>
      <c r="M152" s="112"/>
      <c r="N152" s="112">
        <v>5</v>
      </c>
      <c r="O152" s="112">
        <v>5</v>
      </c>
      <c r="P152" s="112">
        <v>5</v>
      </c>
      <c r="Q152" s="127"/>
      <c r="R152" s="127"/>
      <c r="S152" s="114"/>
      <c r="T152" s="118"/>
      <c r="U152" s="116"/>
      <c r="V152" s="119">
        <v>4</v>
      </c>
      <c r="W152" s="120">
        <v>8</v>
      </c>
      <c r="X152" s="116"/>
      <c r="Y152" s="116"/>
      <c r="Z152" s="116">
        <v>8</v>
      </c>
      <c r="AA152" s="120">
        <v>2</v>
      </c>
      <c r="AB152" s="120"/>
      <c r="AC152" s="116"/>
      <c r="AD152" s="118"/>
      <c r="AE152" s="118"/>
      <c r="AF152" s="118">
        <v>0</v>
      </c>
      <c r="AG152" s="117"/>
      <c r="AH152" s="118"/>
      <c r="AI152" s="117"/>
      <c r="AJ152" s="121"/>
      <c r="AK152" s="116"/>
      <c r="AL152" s="120"/>
      <c r="AM152" s="120"/>
      <c r="AN152" s="116"/>
      <c r="AO152" s="116"/>
      <c r="AP152" s="116"/>
      <c r="AQ152" s="116"/>
      <c r="AR152" s="116"/>
      <c r="AS152" s="116"/>
      <c r="AT152" s="116"/>
      <c r="AU152" s="121"/>
      <c r="AV152" s="121"/>
    </row>
    <row r="153" spans="1:48" ht="21.1">
      <c r="A153" s="82" t="s">
        <v>453</v>
      </c>
      <c r="B153" s="539"/>
      <c r="C153" s="214"/>
      <c r="D153" s="133"/>
      <c r="E153" s="134"/>
      <c r="F153" s="135"/>
      <c r="G153" s="136"/>
      <c r="H153" s="683"/>
      <c r="I153" s="676"/>
      <c r="J153" s="96">
        <v>10</v>
      </c>
      <c r="K153" s="96">
        <v>10</v>
      </c>
      <c r="L153" s="104"/>
      <c r="M153" s="75"/>
      <c r="N153" s="75"/>
      <c r="O153" s="75"/>
      <c r="P153" s="75"/>
      <c r="Q153" s="105"/>
      <c r="R153" s="105"/>
      <c r="S153" s="96">
        <v>10</v>
      </c>
      <c r="T153" s="109">
        <v>10</v>
      </c>
      <c r="U153" s="100"/>
      <c r="V153" s="110"/>
      <c r="W153" s="110"/>
      <c r="X153" s="100"/>
      <c r="Y153" s="100"/>
      <c r="Z153" s="100"/>
      <c r="AA153" s="110"/>
      <c r="AB153" s="110"/>
      <c r="AC153" s="100"/>
      <c r="AD153" s="109" t="s">
        <v>384</v>
      </c>
      <c r="AE153" s="109">
        <v>10</v>
      </c>
      <c r="AF153" s="109" t="s">
        <v>384</v>
      </c>
      <c r="AG153" s="108"/>
      <c r="AH153" s="109"/>
      <c r="AI153" s="108"/>
      <c r="AJ153" s="111"/>
      <c r="AK153" s="100"/>
      <c r="AL153" s="110"/>
      <c r="AM153" s="110"/>
      <c r="AN153" s="100"/>
      <c r="AO153" s="100"/>
      <c r="AP153" s="100"/>
      <c r="AQ153" s="100"/>
      <c r="AR153" s="100"/>
      <c r="AS153" s="100"/>
      <c r="AT153" s="100"/>
      <c r="AU153" s="111"/>
      <c r="AV153" s="111"/>
    </row>
    <row r="154" spans="1:48" ht="16.3">
      <c r="A154" s="246" t="s">
        <v>1</v>
      </c>
      <c r="B154" s="538">
        <f>SUM(L154+M154+N154+O154+P154+U154+X154+Y154+Z154+AC154+AK154+AL154+AK154+AO154+AR154+AS154+AU154+AV154+AW154+AX154+AP154)+1</f>
        <v>1</v>
      </c>
      <c r="C154" s="215">
        <f>SUM(L154+M154+N154+O154+P154+U154+Y154+Z154+X154+AC154+AL154+AK154+AL154+AP154+AS154+AO154+AV154+AW154+AX154+AY154+AR154+AU154)+4</f>
        <v>4</v>
      </c>
      <c r="D154" s="133"/>
      <c r="E154" s="134"/>
      <c r="F154" s="135"/>
      <c r="G154" s="136"/>
      <c r="H154" s="683"/>
      <c r="I154" s="676"/>
      <c r="J154" s="96">
        <v>1</v>
      </c>
      <c r="K154" s="96">
        <v>1</v>
      </c>
      <c r="L154" s="104"/>
      <c r="M154" s="75"/>
      <c r="N154" s="75"/>
      <c r="O154" s="75"/>
      <c r="P154" s="75"/>
      <c r="Q154" s="105"/>
      <c r="R154" s="105"/>
      <c r="S154" s="96">
        <v>1</v>
      </c>
      <c r="T154" s="109">
        <v>1</v>
      </c>
      <c r="U154" s="100"/>
      <c r="V154" s="110"/>
      <c r="W154" s="110"/>
      <c r="X154" s="100"/>
      <c r="Y154" s="100"/>
      <c r="Z154" s="100"/>
      <c r="AA154" s="110"/>
      <c r="AB154" s="110"/>
      <c r="AC154" s="100"/>
      <c r="AD154" s="109">
        <v>1</v>
      </c>
      <c r="AE154" s="109">
        <v>1</v>
      </c>
      <c r="AF154" s="109">
        <v>1</v>
      </c>
      <c r="AG154" s="108"/>
      <c r="AH154" s="109"/>
      <c r="AI154" s="108"/>
      <c r="AJ154" s="111"/>
      <c r="AK154" s="100"/>
      <c r="AL154" s="110"/>
      <c r="AM154" s="110"/>
      <c r="AN154" s="100"/>
      <c r="AO154" s="100"/>
      <c r="AP154" s="100"/>
      <c r="AQ154" s="100"/>
      <c r="AR154" s="100"/>
      <c r="AS154" s="100"/>
      <c r="AT154" s="100"/>
      <c r="AU154" s="111"/>
      <c r="AV154" s="111"/>
    </row>
    <row r="155" spans="1:48" ht="16.3">
      <c r="A155" s="246" t="s">
        <v>2</v>
      </c>
      <c r="B155" s="538">
        <f>SUM(L155+M155+N155+O155+P155+U155+X155+Y155+Z155+AC155+AK155+AL155+AK155+AO155+AR155+AS155+AU155+AV155+AW155+AX155+AP155)+1</f>
        <v>1</v>
      </c>
      <c r="C155" s="215">
        <f>SUM(L155+M155+N155+O155+P155+U155+Y155+Z155+X155+AC155+AL155+AK155+AL155+AP155+AS155+AO155+AV155+AW155+AX155+AY155+AR155+AU155)+3</f>
        <v>3</v>
      </c>
      <c r="D155" s="133"/>
      <c r="E155" s="134"/>
      <c r="F155" s="135"/>
      <c r="G155" s="136"/>
      <c r="H155" s="683"/>
      <c r="I155" s="676"/>
      <c r="J155" s="96"/>
      <c r="K155" s="96"/>
      <c r="L155" s="104"/>
      <c r="M155" s="75"/>
      <c r="N155" s="75"/>
      <c r="O155" s="75"/>
      <c r="P155" s="75"/>
      <c r="Q155" s="105"/>
      <c r="R155" s="105"/>
      <c r="S155" s="96"/>
      <c r="T155" s="109"/>
      <c r="U155" s="100"/>
      <c r="V155" s="110"/>
      <c r="W155" s="110"/>
      <c r="X155" s="100"/>
      <c r="Y155" s="100"/>
      <c r="Z155" s="100"/>
      <c r="AA155" s="110"/>
      <c r="AB155" s="110"/>
      <c r="AC155" s="100"/>
      <c r="AD155" s="109"/>
      <c r="AE155" s="109"/>
      <c r="AF155" s="109"/>
      <c r="AG155" s="108"/>
      <c r="AH155" s="109"/>
      <c r="AI155" s="108"/>
      <c r="AJ155" s="111"/>
      <c r="AK155" s="100"/>
      <c r="AL155" s="110"/>
      <c r="AM155" s="110"/>
      <c r="AN155" s="100"/>
      <c r="AO155" s="100"/>
      <c r="AP155" s="100"/>
      <c r="AQ155" s="100"/>
      <c r="AR155" s="100"/>
      <c r="AS155" s="100"/>
      <c r="AT155" s="100"/>
      <c r="AU155" s="111"/>
      <c r="AV155" s="111"/>
    </row>
    <row r="156" spans="1:48" ht="16.3">
      <c r="A156" s="83" t="s">
        <v>363</v>
      </c>
      <c r="B156" s="539">
        <f t="shared" ref="B156" si="19">SUM(B154+B155)</f>
        <v>2</v>
      </c>
      <c r="C156" s="214">
        <f t="shared" ref="C156" si="20">SUM(C154+C155)</f>
        <v>7</v>
      </c>
      <c r="D156" s="133"/>
      <c r="E156" s="134"/>
      <c r="F156" s="135"/>
      <c r="G156" s="136"/>
      <c r="H156" s="683"/>
      <c r="I156" s="676"/>
      <c r="J156" s="96"/>
      <c r="K156" s="96"/>
      <c r="L156" s="104"/>
      <c r="M156" s="75"/>
      <c r="N156" s="75"/>
      <c r="O156" s="75"/>
      <c r="P156" s="75"/>
      <c r="Q156" s="105"/>
      <c r="R156" s="105"/>
      <c r="S156" s="96"/>
      <c r="T156" s="109"/>
      <c r="U156" s="100"/>
      <c r="V156" s="110"/>
      <c r="W156" s="110"/>
      <c r="X156" s="100"/>
      <c r="Y156" s="100"/>
      <c r="Z156" s="100"/>
      <c r="AA156" s="110"/>
      <c r="AB156" s="110"/>
      <c r="AC156" s="100"/>
      <c r="AD156" s="109"/>
      <c r="AE156" s="109"/>
      <c r="AF156" s="109"/>
      <c r="AG156" s="108"/>
      <c r="AH156" s="109"/>
      <c r="AI156" s="108"/>
      <c r="AJ156" s="111"/>
      <c r="AK156" s="100"/>
      <c r="AL156" s="110"/>
      <c r="AM156" s="110"/>
      <c r="AN156" s="100"/>
      <c r="AO156" s="100"/>
      <c r="AP156" s="100"/>
      <c r="AQ156" s="100"/>
      <c r="AR156" s="100"/>
      <c r="AS156" s="100"/>
      <c r="AT156" s="100"/>
      <c r="AU156" s="111"/>
      <c r="AV156" s="111"/>
    </row>
    <row r="157" spans="1:48" ht="16.3">
      <c r="A157" s="246" t="s">
        <v>5</v>
      </c>
      <c r="B157" s="538">
        <f>SUM(L157+M157+N157+O157+P157+U157+X157+Y157+Z157+AC157+AK157+AL157+AK157+AO157+AR157+AS157+AU157+AV157+AW157+AX157+AP157)+3</f>
        <v>3</v>
      </c>
      <c r="C157" s="215">
        <f>SUM(L157+M157+N157+O157+P157+U157+Y157+Z157+X157+AC157+AL157+AK157+AL157+AP157+AS157+AO157+AV157+AW157+AX157+AY157+AR157+AU157)+9</f>
        <v>9</v>
      </c>
      <c r="D157" s="133"/>
      <c r="E157" s="134"/>
      <c r="F157" s="135"/>
      <c r="G157" s="136"/>
      <c r="H157" s="683"/>
      <c r="I157" s="676"/>
      <c r="J157" s="96">
        <v>1</v>
      </c>
      <c r="K157" s="96">
        <v>4</v>
      </c>
      <c r="L157" s="104"/>
      <c r="M157" s="75"/>
      <c r="N157" s="75"/>
      <c r="O157" s="75"/>
      <c r="P157" s="75"/>
      <c r="Q157" s="105"/>
      <c r="R157" s="105"/>
      <c r="S157" s="96">
        <v>3</v>
      </c>
      <c r="T157" s="109">
        <v>4</v>
      </c>
      <c r="U157" s="100"/>
      <c r="V157" s="110"/>
      <c r="W157" s="110"/>
      <c r="X157" s="100"/>
      <c r="Y157" s="100"/>
      <c r="Z157" s="100"/>
      <c r="AA157" s="110"/>
      <c r="AB157" s="110"/>
      <c r="AC157" s="100"/>
      <c r="AD157" s="109">
        <v>5</v>
      </c>
      <c r="AE157" s="109">
        <v>5</v>
      </c>
      <c r="AF157" s="109">
        <v>3</v>
      </c>
      <c r="AG157" s="108"/>
      <c r="AH157" s="109"/>
      <c r="AI157" s="108"/>
      <c r="AJ157" s="111"/>
      <c r="AK157" s="100"/>
      <c r="AL157" s="110"/>
      <c r="AM157" s="110"/>
      <c r="AN157" s="100"/>
      <c r="AO157" s="100"/>
      <c r="AP157" s="100"/>
      <c r="AQ157" s="100"/>
      <c r="AR157" s="100"/>
      <c r="AS157" s="100"/>
      <c r="AT157" s="100"/>
      <c r="AU157" s="111"/>
      <c r="AV157" s="111"/>
    </row>
    <row r="158" spans="1:48" ht="16.3">
      <c r="A158" s="246" t="s">
        <v>6</v>
      </c>
      <c r="B158" s="538">
        <f>SUM(L158+M158+N158+O158+P158+U158+X158+Y158+Z158+AC158+AK158+AL158+AK158+AO158+AR158+AS158+AU158+AV158+AW158+AX158+AP158)+3</f>
        <v>3</v>
      </c>
      <c r="C158" s="215">
        <f>SUM(L158+M158+N158+O158+P158+U158+Y158+Z158+X158+AC158+AL158+AK158+AL158+AP158+AS158+AO158+AV158+AW158+AX158+AY158+AR158+AU158)+9</f>
        <v>9</v>
      </c>
      <c r="D158" s="133"/>
      <c r="E158" s="134"/>
      <c r="F158" s="135"/>
      <c r="G158" s="136"/>
      <c r="H158" s="683"/>
      <c r="I158" s="676"/>
      <c r="J158" s="96">
        <v>2</v>
      </c>
      <c r="K158" s="96">
        <v>6</v>
      </c>
      <c r="L158" s="104"/>
      <c r="M158" s="75"/>
      <c r="N158" s="75"/>
      <c r="O158" s="75"/>
      <c r="P158" s="75"/>
      <c r="Q158" s="105"/>
      <c r="R158" s="105"/>
      <c r="S158" s="96">
        <v>8</v>
      </c>
      <c r="T158" s="109">
        <v>7</v>
      </c>
      <c r="U158" s="100"/>
      <c r="V158" s="110"/>
      <c r="W158" s="110"/>
      <c r="X158" s="100"/>
      <c r="Y158" s="100"/>
      <c r="Z158" s="100"/>
      <c r="AA158" s="110"/>
      <c r="AB158" s="110"/>
      <c r="AC158" s="100"/>
      <c r="AD158" s="109">
        <v>5</v>
      </c>
      <c r="AE158" s="109">
        <v>6</v>
      </c>
      <c r="AF158" s="109">
        <v>3</v>
      </c>
      <c r="AG158" s="108"/>
      <c r="AH158" s="109"/>
      <c r="AI158" s="108"/>
      <c r="AJ158" s="111"/>
      <c r="AK158" s="100"/>
      <c r="AL158" s="110"/>
      <c r="AM158" s="110"/>
      <c r="AN158" s="100"/>
      <c r="AO158" s="100"/>
      <c r="AP158" s="100"/>
      <c r="AQ158" s="100"/>
      <c r="AR158" s="100"/>
      <c r="AS158" s="100"/>
      <c r="AT158" s="100"/>
      <c r="AU158" s="111"/>
      <c r="AV158" s="111"/>
    </row>
    <row r="159" spans="1:48" ht="16.3">
      <c r="A159" s="246" t="s">
        <v>368</v>
      </c>
      <c r="B159" s="538">
        <f>SUM(B157/B158)*100</f>
        <v>100</v>
      </c>
      <c r="C159" s="215">
        <f>SUM(C157/C158)*100</f>
        <v>100</v>
      </c>
      <c r="D159" s="133"/>
      <c r="E159" s="134"/>
      <c r="F159" s="135"/>
      <c r="G159" s="136"/>
      <c r="H159" s="683"/>
      <c r="I159" s="676"/>
      <c r="J159" s="96">
        <v>50</v>
      </c>
      <c r="K159" s="96">
        <v>67</v>
      </c>
      <c r="L159" s="104"/>
      <c r="M159" s="75"/>
      <c r="N159" s="75"/>
      <c r="O159" s="75"/>
      <c r="P159" s="75"/>
      <c r="Q159" s="105"/>
      <c r="R159" s="105"/>
      <c r="S159" s="96">
        <v>38</v>
      </c>
      <c r="T159" s="109">
        <v>57</v>
      </c>
      <c r="U159" s="100"/>
      <c r="V159" s="110"/>
      <c r="W159" s="110"/>
      <c r="X159" s="100"/>
      <c r="Y159" s="100"/>
      <c r="Z159" s="100"/>
      <c r="AA159" s="110"/>
      <c r="AB159" s="110"/>
      <c r="AC159" s="100"/>
      <c r="AD159" s="109">
        <v>100</v>
      </c>
      <c r="AE159" s="109">
        <v>83</v>
      </c>
      <c r="AF159" s="109">
        <v>100</v>
      </c>
      <c r="AG159" s="108"/>
      <c r="AH159" s="109"/>
      <c r="AI159" s="108"/>
      <c r="AJ159" s="111"/>
      <c r="AK159" s="100"/>
      <c r="AL159" s="110"/>
      <c r="AM159" s="110"/>
      <c r="AN159" s="100"/>
      <c r="AO159" s="100"/>
      <c r="AP159" s="100"/>
      <c r="AQ159" s="100"/>
      <c r="AR159" s="100"/>
      <c r="AS159" s="100"/>
      <c r="AT159" s="100"/>
      <c r="AU159" s="111"/>
      <c r="AV159" s="111"/>
    </row>
    <row r="160" spans="1:48" ht="16.3">
      <c r="A160" s="83" t="s">
        <v>3</v>
      </c>
      <c r="B160" s="539">
        <f>SUM(L160+M160+N160+O160+P160+U160+X160+Y160+Z160+AC160+AK160+AL160+AK160+AO160+AR160+AS160+AU160+AV160+AW160+AX160+AP160)</f>
        <v>0</v>
      </c>
      <c r="C160" s="214">
        <f>SUM(L160+M160+N160+O160+P160+U160+Y160+Z160+X160+AC160+AL160+AK160+AL160+AP160+AS160+AO160+AV160+AW160+AX160+AY160+AR160+AU160)</f>
        <v>0</v>
      </c>
      <c r="D160" s="133"/>
      <c r="E160" s="134"/>
      <c r="F160" s="135"/>
      <c r="G160" s="136"/>
      <c r="H160" s="683"/>
      <c r="I160" s="676"/>
      <c r="J160" s="96"/>
      <c r="K160" s="96"/>
      <c r="L160" s="104"/>
      <c r="M160" s="75"/>
      <c r="N160" s="75"/>
      <c r="O160" s="75"/>
      <c r="P160" s="75"/>
      <c r="Q160" s="105"/>
      <c r="R160" s="105"/>
      <c r="S160" s="96"/>
      <c r="T160" s="109"/>
      <c r="U160" s="100"/>
      <c r="V160" s="110"/>
      <c r="W160" s="110"/>
      <c r="X160" s="100"/>
      <c r="Y160" s="100"/>
      <c r="Z160" s="100"/>
      <c r="AA160" s="110"/>
      <c r="AB160" s="110"/>
      <c r="AC160" s="100"/>
      <c r="AD160" s="109"/>
      <c r="AE160" s="109"/>
      <c r="AF160" s="109"/>
      <c r="AG160" s="108"/>
      <c r="AH160" s="109"/>
      <c r="AI160" s="108"/>
      <c r="AJ160" s="111"/>
      <c r="AK160" s="100"/>
      <c r="AL160" s="110"/>
      <c r="AM160" s="110"/>
      <c r="AN160" s="100"/>
      <c r="AO160" s="100"/>
      <c r="AP160" s="100"/>
      <c r="AQ160" s="100"/>
      <c r="AR160" s="100"/>
      <c r="AS160" s="100"/>
      <c r="AT160" s="100"/>
      <c r="AU160" s="111"/>
      <c r="AV160" s="111"/>
    </row>
    <row r="161" spans="1:48" ht="17" thickBot="1">
      <c r="A161" s="85" t="s">
        <v>4</v>
      </c>
      <c r="B161" s="541">
        <f>SUM(L161+M161+N161+O161+P161+U161+X161+Y161+Z161+AC161+AK161+AL161+AK161+AO161+AR161+AS161+AU161+AV161+AW161+AX161+AP161)+6</f>
        <v>6</v>
      </c>
      <c r="C161" s="217">
        <f>SUM(L161+M161+N161+O161+P161+U161+Y161+Z161+X161+AC161+AL161+AK161+AL161+AP161+AS161+AO161+AV161+AW161+AX161+AY161+AR161+AU161)+21</f>
        <v>21</v>
      </c>
      <c r="D161" s="144"/>
      <c r="E161" s="145"/>
      <c r="F161" s="146"/>
      <c r="G161" s="147"/>
      <c r="H161" s="684"/>
      <c r="I161" s="677"/>
      <c r="J161" s="114">
        <v>2</v>
      </c>
      <c r="K161" s="114">
        <v>9</v>
      </c>
      <c r="L161" s="113"/>
      <c r="M161" s="112"/>
      <c r="N161" s="112"/>
      <c r="O161" s="112"/>
      <c r="P161" s="112"/>
      <c r="Q161" s="127"/>
      <c r="R161" s="127"/>
      <c r="S161" s="114">
        <v>6</v>
      </c>
      <c r="T161" s="118">
        <v>8</v>
      </c>
      <c r="U161" s="116"/>
      <c r="V161" s="120"/>
      <c r="W161" s="120"/>
      <c r="X161" s="112"/>
      <c r="Y161" s="116"/>
      <c r="Z161" s="116"/>
      <c r="AA161" s="120"/>
      <c r="AB161" s="120"/>
      <c r="AC161" s="116"/>
      <c r="AD161" s="118">
        <v>10</v>
      </c>
      <c r="AE161" s="118">
        <v>10</v>
      </c>
      <c r="AF161" s="118">
        <v>6</v>
      </c>
      <c r="AG161" s="117"/>
      <c r="AH161" s="118"/>
      <c r="AI161" s="117"/>
      <c r="AJ161" s="121"/>
      <c r="AK161" s="116"/>
      <c r="AL161" s="120"/>
      <c r="AM161" s="120"/>
      <c r="AN161" s="116"/>
      <c r="AO161" s="116"/>
      <c r="AP161" s="116"/>
      <c r="AQ161" s="116"/>
      <c r="AR161" s="116"/>
      <c r="AS161" s="116"/>
      <c r="AT161" s="116"/>
      <c r="AU161" s="121"/>
      <c r="AV161" s="121"/>
    </row>
    <row r="162" spans="1:48" ht="21.1">
      <c r="A162" s="82" t="s">
        <v>486</v>
      </c>
      <c r="B162" s="539"/>
      <c r="C162" s="214"/>
      <c r="D162" s="133"/>
      <c r="E162" s="134"/>
      <c r="F162" s="135"/>
      <c r="G162" s="136"/>
      <c r="H162" s="683"/>
      <c r="I162" s="676"/>
      <c r="J162" s="96"/>
      <c r="K162" s="96" t="s">
        <v>375</v>
      </c>
      <c r="L162" s="104"/>
      <c r="M162" s="75"/>
      <c r="N162" s="75"/>
      <c r="O162" s="75"/>
      <c r="P162" s="75"/>
      <c r="Q162" s="105"/>
      <c r="R162" s="105"/>
      <c r="S162" s="96" t="s">
        <v>375</v>
      </c>
      <c r="T162" s="109" t="s">
        <v>379</v>
      </c>
      <c r="U162" s="100"/>
      <c r="V162" s="110"/>
      <c r="W162" s="110"/>
      <c r="X162" s="100"/>
      <c r="Y162" s="100"/>
      <c r="Z162" s="100"/>
      <c r="AA162" s="110"/>
      <c r="AB162" s="110" t="s">
        <v>984</v>
      </c>
      <c r="AC162" s="100" t="s">
        <v>984</v>
      </c>
      <c r="AD162" s="109" t="s">
        <v>375</v>
      </c>
      <c r="AE162" s="109" t="s">
        <v>984</v>
      </c>
      <c r="AF162" s="109"/>
      <c r="AG162" s="108"/>
      <c r="AH162" s="109">
        <v>15</v>
      </c>
      <c r="AI162" s="108"/>
      <c r="AJ162" s="111"/>
      <c r="AK162" s="100"/>
      <c r="AL162" s="110"/>
      <c r="AM162" s="110"/>
      <c r="AN162" s="100"/>
      <c r="AO162" s="100"/>
      <c r="AP162" s="100"/>
      <c r="AQ162" s="100"/>
      <c r="AR162" s="100"/>
      <c r="AS162" s="100"/>
      <c r="AT162" s="100"/>
      <c r="AU162" s="111"/>
      <c r="AV162" s="111"/>
    </row>
    <row r="163" spans="1:48" ht="16.3">
      <c r="A163" s="246" t="s">
        <v>1</v>
      </c>
      <c r="B163" s="538">
        <f>SUM(L163+M163+N163+O163+P163+U163+X163+Y163+Z163+AC163+AK163+AL163+AK163+AO163+AR163+AS163+AU163+AV163+AW163+AX163+AP163)</f>
        <v>0</v>
      </c>
      <c r="C163" s="215">
        <f>SUM(L163+M163+N163+O163+P163+U163+Y163+Z163+X163+AC163+AL163+AK163+AL163+AP163+AS163+AO163+AV163+AW163+AX163+AY163+AR163+AU163)</f>
        <v>0</v>
      </c>
      <c r="D163" s="133"/>
      <c r="E163" s="134"/>
      <c r="F163" s="135"/>
      <c r="G163" s="136"/>
      <c r="H163" s="683"/>
      <c r="I163" s="676"/>
      <c r="J163" s="96"/>
      <c r="K163" s="96"/>
      <c r="L163" s="104"/>
      <c r="M163" s="75"/>
      <c r="N163" s="75"/>
      <c r="O163" s="75"/>
      <c r="P163" s="75"/>
      <c r="Q163" s="105"/>
      <c r="R163" s="105"/>
      <c r="S163" s="96"/>
      <c r="T163" s="109">
        <v>1</v>
      </c>
      <c r="U163" s="100"/>
      <c r="V163" s="110"/>
      <c r="W163" s="110"/>
      <c r="X163" s="100"/>
      <c r="Y163" s="100"/>
      <c r="Z163" s="100"/>
      <c r="AA163" s="110"/>
      <c r="AB163" s="110"/>
      <c r="AC163" s="100"/>
      <c r="AD163" s="109"/>
      <c r="AE163" s="109"/>
      <c r="AF163" s="109"/>
      <c r="AG163" s="108"/>
      <c r="AH163" s="109">
        <v>1</v>
      </c>
      <c r="AI163" s="108"/>
      <c r="AJ163" s="111"/>
      <c r="AK163" s="100"/>
      <c r="AL163" s="110"/>
      <c r="AM163" s="110"/>
      <c r="AN163" s="100"/>
      <c r="AO163" s="100"/>
      <c r="AP163" s="100"/>
      <c r="AQ163" s="100"/>
      <c r="AR163" s="100"/>
      <c r="AS163" s="100"/>
      <c r="AT163" s="100"/>
      <c r="AU163" s="111"/>
      <c r="AV163" s="111"/>
    </row>
    <row r="164" spans="1:48" ht="16.3">
      <c r="A164" s="246" t="s">
        <v>2</v>
      </c>
      <c r="B164" s="538">
        <f>SUM(L164+M164+N164+O164+P164+U164+X164+Y164+Z164+AC164+AK164+AL164+AK164+AO164+AR164+AS164+AU164+AV164+AW164+AX164+AP164)</f>
        <v>0</v>
      </c>
      <c r="C164" s="215">
        <f>SUM(L164+M164+N164+O164+P164+U164+Y164+Z164+X164+AC164+AL164+AK164+AL164+AP164+AS164+AO164+AV164+AW164+AX164+AY164+AR164+AU164)</f>
        <v>0</v>
      </c>
      <c r="D164" s="133"/>
      <c r="E164" s="134"/>
      <c r="F164" s="135"/>
      <c r="G164" s="136"/>
      <c r="H164" s="683"/>
      <c r="I164" s="676"/>
      <c r="J164" s="96"/>
      <c r="K164" s="96">
        <v>1</v>
      </c>
      <c r="L164" s="104"/>
      <c r="M164" s="75"/>
      <c r="N164" s="75"/>
      <c r="O164" s="75"/>
      <c r="P164" s="75"/>
      <c r="Q164" s="105"/>
      <c r="R164" s="105"/>
      <c r="S164" s="96">
        <v>1</v>
      </c>
      <c r="T164" s="109"/>
      <c r="U164" s="100"/>
      <c r="V164" s="110"/>
      <c r="W164" s="110"/>
      <c r="X164" s="100"/>
      <c r="Y164" s="100"/>
      <c r="Z164" s="100"/>
      <c r="AA164" s="110"/>
      <c r="AB164" s="110"/>
      <c r="AC164" s="100"/>
      <c r="AD164" s="109">
        <v>1</v>
      </c>
      <c r="AE164" s="109"/>
      <c r="AF164" s="109"/>
      <c r="AG164" s="108"/>
      <c r="AH164" s="109"/>
      <c r="AI164" s="108"/>
      <c r="AJ164" s="111"/>
      <c r="AK164" s="100"/>
      <c r="AL164" s="110"/>
      <c r="AM164" s="110"/>
      <c r="AN164" s="100"/>
      <c r="AO164" s="100"/>
      <c r="AP164" s="100"/>
      <c r="AQ164" s="100"/>
      <c r="AR164" s="100"/>
      <c r="AS164" s="100"/>
      <c r="AT164" s="100"/>
      <c r="AU164" s="111"/>
      <c r="AV164" s="111"/>
    </row>
    <row r="165" spans="1:48" ht="16.3">
      <c r="A165" s="83" t="s">
        <v>363</v>
      </c>
      <c r="B165" s="539">
        <f>SUM(B163+B164)</f>
        <v>0</v>
      </c>
      <c r="C165" s="214">
        <f>SUM(C163+C164)</f>
        <v>0</v>
      </c>
      <c r="D165" s="133"/>
      <c r="E165" s="134"/>
      <c r="F165" s="135"/>
      <c r="G165" s="136"/>
      <c r="H165" s="683"/>
      <c r="I165" s="676"/>
      <c r="J165" s="96"/>
      <c r="K165" s="96"/>
      <c r="L165" s="104"/>
      <c r="M165" s="75"/>
      <c r="N165" s="75"/>
      <c r="O165" s="75"/>
      <c r="P165" s="75"/>
      <c r="Q165" s="105"/>
      <c r="R165" s="105"/>
      <c r="S165" s="96"/>
      <c r="T165" s="109"/>
      <c r="U165" s="100"/>
      <c r="V165" s="110"/>
      <c r="W165" s="110"/>
      <c r="X165" s="100"/>
      <c r="Y165" s="100"/>
      <c r="Z165" s="100"/>
      <c r="AA165" s="110"/>
      <c r="AB165" s="110"/>
      <c r="AC165" s="100"/>
      <c r="AD165" s="109"/>
      <c r="AE165" s="109"/>
      <c r="AF165" s="109"/>
      <c r="AG165" s="108"/>
      <c r="AH165" s="109"/>
      <c r="AI165" s="108"/>
      <c r="AJ165" s="111"/>
      <c r="AK165" s="100"/>
      <c r="AL165" s="110"/>
      <c r="AM165" s="110"/>
      <c r="AN165" s="100"/>
      <c r="AO165" s="100"/>
      <c r="AP165" s="100"/>
      <c r="AQ165" s="100"/>
      <c r="AR165" s="100"/>
      <c r="AS165" s="100"/>
      <c r="AT165" s="100"/>
      <c r="AU165" s="111"/>
      <c r="AV165" s="111"/>
    </row>
    <row r="166" spans="1:48" ht="16.3">
      <c r="A166" s="83" t="s">
        <v>3</v>
      </c>
      <c r="B166" s="539">
        <f>SUM(L166+M166+N166+O166+P166+U166+X166+Y166+Z166+AC166+AK166+AL166+AK166+AO166+AR166+AS166+AU166+AV166+AW166+AX166+AP166)</f>
        <v>0</v>
      </c>
      <c r="C166" s="214">
        <f>SUM(L166+M166+N166+O166+P166+U166+Y166+Z166+X166+AC166+AL166+AK166+AL166+AP166+AS166+AO166+AV166+AW166+AX166+AY166+AR166+AU166)</f>
        <v>0</v>
      </c>
      <c r="D166" s="133"/>
      <c r="E166" s="134"/>
      <c r="F166" s="135"/>
      <c r="G166" s="136"/>
      <c r="H166" s="683"/>
      <c r="I166" s="676"/>
      <c r="J166" s="96"/>
      <c r="K166" s="96"/>
      <c r="L166" s="104"/>
      <c r="M166" s="75"/>
      <c r="N166" s="75"/>
      <c r="O166" s="75"/>
      <c r="P166" s="75"/>
      <c r="Q166" s="105"/>
      <c r="R166" s="105"/>
      <c r="S166" s="96"/>
      <c r="T166" s="109">
        <v>1</v>
      </c>
      <c r="U166" s="100"/>
      <c r="V166" s="110"/>
      <c r="W166" s="110"/>
      <c r="X166" s="100"/>
      <c r="Y166" s="100"/>
      <c r="Z166" s="100"/>
      <c r="AA166" s="110"/>
      <c r="AB166" s="110"/>
      <c r="AC166" s="100"/>
      <c r="AD166" s="109"/>
      <c r="AE166" s="109"/>
      <c r="AF166" s="109"/>
      <c r="AG166" s="108"/>
      <c r="AH166" s="109"/>
      <c r="AI166" s="108"/>
      <c r="AJ166" s="111"/>
      <c r="AK166" s="100"/>
      <c r="AL166" s="110"/>
      <c r="AM166" s="110"/>
      <c r="AN166" s="100"/>
      <c r="AO166" s="100"/>
      <c r="AP166" s="100"/>
      <c r="AQ166" s="100"/>
      <c r="AR166" s="100"/>
      <c r="AS166" s="100"/>
      <c r="AT166" s="100"/>
      <c r="AU166" s="111"/>
      <c r="AV166" s="111"/>
    </row>
    <row r="167" spans="1:48" ht="17" thickBot="1">
      <c r="A167" s="85" t="s">
        <v>4</v>
      </c>
      <c r="B167" s="541">
        <f>SUM(L167+M167+N167+O167+P167+U167+X167+Y167+Z167+AC167+AK167+AL167+AK167+AO167+AR167+AS167+AU167+AV167+AW167+AX167+AP167)</f>
        <v>0</v>
      </c>
      <c r="C167" s="217">
        <f>SUM(L167+M167+N167+O167+P167+U167+Y167+Z167+X167+AC167+AL167+AK167+AL167+AP167+AS167+AO167+AV167+AW167+AX167+AY167+AR167+AU167)</f>
        <v>0</v>
      </c>
      <c r="D167" s="144"/>
      <c r="E167" s="145"/>
      <c r="F167" s="146"/>
      <c r="G167" s="147"/>
      <c r="H167" s="684"/>
      <c r="I167" s="677"/>
      <c r="J167" s="114"/>
      <c r="K167" s="114"/>
      <c r="L167" s="113"/>
      <c r="M167" s="112"/>
      <c r="N167" s="112"/>
      <c r="O167" s="112"/>
      <c r="P167" s="112"/>
      <c r="Q167" s="127"/>
      <c r="R167" s="127"/>
      <c r="S167" s="114"/>
      <c r="T167" s="118">
        <v>5</v>
      </c>
      <c r="U167" s="116"/>
      <c r="V167" s="120"/>
      <c r="W167" s="120"/>
      <c r="X167" s="116"/>
      <c r="Y167" s="116"/>
      <c r="Z167" s="116"/>
      <c r="AA167" s="120"/>
      <c r="AB167" s="120"/>
      <c r="AC167" s="116"/>
      <c r="AD167" s="118"/>
      <c r="AE167" s="118"/>
      <c r="AF167" s="118"/>
      <c r="AG167" s="127"/>
      <c r="AH167" s="109"/>
      <c r="AI167" s="108"/>
      <c r="AJ167" s="111"/>
      <c r="AK167" s="100"/>
      <c r="AL167" s="110"/>
      <c r="AM167" s="110"/>
      <c r="AN167" s="100"/>
      <c r="AO167" s="100"/>
      <c r="AP167" s="100"/>
      <c r="AQ167" s="100"/>
      <c r="AR167" s="100"/>
      <c r="AS167" s="100"/>
      <c r="AT167" s="100"/>
      <c r="AU167" s="111"/>
      <c r="AV167" s="111"/>
    </row>
    <row r="168" spans="1:48" ht="21.1">
      <c r="A168" s="82" t="s">
        <v>94</v>
      </c>
      <c r="B168" s="539"/>
      <c r="C168" s="214"/>
      <c r="D168" s="133"/>
      <c r="E168" s="134"/>
      <c r="F168" s="135"/>
      <c r="G168" s="136"/>
      <c r="H168" s="683"/>
      <c r="I168" s="676"/>
      <c r="J168" s="96" t="s">
        <v>375</v>
      </c>
      <c r="K168" s="96"/>
      <c r="L168" s="122" t="s">
        <v>684</v>
      </c>
      <c r="M168" s="165" t="s">
        <v>684</v>
      </c>
      <c r="N168" s="104" t="s">
        <v>684</v>
      </c>
      <c r="O168" s="75" t="s">
        <v>339</v>
      </c>
      <c r="P168" s="75" t="s">
        <v>339</v>
      </c>
      <c r="Q168" s="105"/>
      <c r="R168" s="105"/>
      <c r="S168" s="96"/>
      <c r="T168" s="96" t="s">
        <v>375</v>
      </c>
      <c r="U168" s="104" t="s">
        <v>684</v>
      </c>
      <c r="V168" s="110" t="s">
        <v>710</v>
      </c>
      <c r="W168" s="110"/>
      <c r="X168" s="100" t="s">
        <v>710</v>
      </c>
      <c r="Y168" s="100" t="s">
        <v>684</v>
      </c>
      <c r="Z168" s="100" t="s">
        <v>684</v>
      </c>
      <c r="AA168" s="110" t="s">
        <v>378</v>
      </c>
      <c r="AB168" s="110" t="s">
        <v>378</v>
      </c>
      <c r="AC168" s="100" t="s">
        <v>375</v>
      </c>
      <c r="AD168" s="109"/>
      <c r="AE168" s="109"/>
      <c r="AF168" s="109" t="s">
        <v>375</v>
      </c>
      <c r="AG168" s="108"/>
      <c r="AH168" s="99"/>
      <c r="AI168" s="98"/>
      <c r="AJ168" s="103"/>
      <c r="AK168" s="102"/>
      <c r="AL168" s="101"/>
      <c r="AM168" s="101"/>
      <c r="AN168" s="102"/>
      <c r="AO168" s="102"/>
      <c r="AP168" s="102"/>
      <c r="AQ168" s="102"/>
      <c r="AR168" s="102"/>
      <c r="AS168" s="102"/>
      <c r="AT168" s="102"/>
      <c r="AU168" s="103"/>
      <c r="AV168" s="103"/>
    </row>
    <row r="169" spans="1:48" ht="16.3">
      <c r="A169" s="246" t="s">
        <v>1</v>
      </c>
      <c r="B169" s="538">
        <f>SUM(L169+M169+N169+O169+P169+U169+X169+Y169+Z169+AC169+AK169+AL169+AK169+AO169+AR169+AS169+AU169+AV169+AW169+AX169+AP169)+53</f>
        <v>60</v>
      </c>
      <c r="C169" s="215">
        <f>SUM(L169+M169+N169+O169+P169+U169+Y169+Z169+X169+AC169+AL169+AK169+AL169+AP169+AS169+AO169+AV169+AW169+AX169+AY169+AR169+AU169)+53</f>
        <v>60</v>
      </c>
      <c r="D169" s="133"/>
      <c r="E169" s="134"/>
      <c r="F169" s="135"/>
      <c r="G169" s="136"/>
      <c r="H169" s="683"/>
      <c r="I169" s="676"/>
      <c r="J169" s="96"/>
      <c r="K169" s="96"/>
      <c r="L169" s="75">
        <v>1</v>
      </c>
      <c r="M169" s="128">
        <v>1</v>
      </c>
      <c r="N169" s="104">
        <v>1</v>
      </c>
      <c r="O169" s="75"/>
      <c r="P169" s="75"/>
      <c r="Q169" s="105"/>
      <c r="R169" s="105"/>
      <c r="S169" s="96"/>
      <c r="T169" s="96"/>
      <c r="U169" s="104">
        <v>1</v>
      </c>
      <c r="V169" s="106">
        <v>1</v>
      </c>
      <c r="W169" s="106"/>
      <c r="X169" s="75">
        <v>1</v>
      </c>
      <c r="Y169" s="75">
        <v>1</v>
      </c>
      <c r="Z169" s="75">
        <v>1</v>
      </c>
      <c r="AA169" s="106">
        <v>1</v>
      </c>
      <c r="AB169" s="106">
        <v>1</v>
      </c>
      <c r="AC169" s="75"/>
      <c r="AD169" s="96"/>
      <c r="AE169" s="96"/>
      <c r="AF169" s="96"/>
      <c r="AG169" s="105"/>
      <c r="AH169" s="96"/>
      <c r="AI169" s="105"/>
      <c r="AJ169" s="107"/>
      <c r="AK169" s="75"/>
      <c r="AL169" s="106"/>
      <c r="AM169" s="106"/>
      <c r="AN169" s="75"/>
      <c r="AO169" s="75"/>
      <c r="AP169" s="75"/>
      <c r="AQ169" s="75"/>
      <c r="AR169" s="75"/>
      <c r="AS169" s="75"/>
      <c r="AT169" s="75"/>
      <c r="AU169" s="107"/>
      <c r="AV169" s="107"/>
    </row>
    <row r="170" spans="1:48" ht="16.3">
      <c r="A170" s="246" t="s">
        <v>2</v>
      </c>
      <c r="B170" s="538">
        <f>SUM(L170+M170+N170+O170+P170+U170+X170+Y170+Z170+AC170+AK170+AL170+AK170+AO170+AR170+AS170+AU170+AV170+AW170+AX170+AP170)+20</f>
        <v>21</v>
      </c>
      <c r="C170" s="215">
        <f>SUM(L170+M170+N170+O170+P170+U170+Y170+Z170+X170+AC170+AL170+AK170+AL170+AP170+AS170+AO170+AV170+AW170+AX170+AY170+AR170+AU170)+20</f>
        <v>21</v>
      </c>
      <c r="D170" s="133"/>
      <c r="E170" s="134"/>
      <c r="F170" s="135"/>
      <c r="G170" s="136"/>
      <c r="H170" s="683"/>
      <c r="I170" s="676"/>
      <c r="J170" s="96">
        <v>1</v>
      </c>
      <c r="K170" s="96"/>
      <c r="L170" s="75"/>
      <c r="M170" s="128"/>
      <c r="N170" s="104"/>
      <c r="O170" s="75"/>
      <c r="P170" s="75"/>
      <c r="Q170" s="105"/>
      <c r="R170" s="105"/>
      <c r="S170" s="96"/>
      <c r="T170" s="96">
        <v>1</v>
      </c>
      <c r="U170" s="104"/>
      <c r="V170" s="110"/>
      <c r="W170" s="110"/>
      <c r="X170" s="100"/>
      <c r="Y170" s="100"/>
      <c r="Z170" s="100"/>
      <c r="AA170" s="110"/>
      <c r="AB170" s="110"/>
      <c r="AC170" s="100">
        <v>1</v>
      </c>
      <c r="AD170" s="109"/>
      <c r="AE170" s="109"/>
      <c r="AF170" s="109">
        <v>1</v>
      </c>
      <c r="AG170" s="108"/>
      <c r="AH170" s="109"/>
      <c r="AI170" s="108"/>
      <c r="AJ170" s="111"/>
      <c r="AK170" s="100"/>
      <c r="AL170" s="110"/>
      <c r="AM170" s="110"/>
      <c r="AN170" s="100"/>
      <c r="AO170" s="100"/>
      <c r="AP170" s="100"/>
      <c r="AQ170" s="100"/>
      <c r="AR170" s="100"/>
      <c r="AS170" s="100"/>
      <c r="AT170" s="100"/>
      <c r="AU170" s="111"/>
      <c r="AV170" s="111"/>
    </row>
    <row r="171" spans="1:48" ht="16.3">
      <c r="A171" s="83" t="s">
        <v>363</v>
      </c>
      <c r="B171" s="539">
        <f>SUM(B169+B170)</f>
        <v>81</v>
      </c>
      <c r="C171" s="214">
        <f>SUM(C169+C170)</f>
        <v>81</v>
      </c>
      <c r="D171" s="133"/>
      <c r="E171" s="134"/>
      <c r="F171" s="135"/>
      <c r="G171" s="136"/>
      <c r="H171" s="683"/>
      <c r="I171" s="676"/>
      <c r="J171" s="96"/>
      <c r="K171" s="96"/>
      <c r="L171" s="75"/>
      <c r="M171" s="128"/>
      <c r="N171" s="104"/>
      <c r="O171" s="75"/>
      <c r="P171" s="75"/>
      <c r="Q171" s="105"/>
      <c r="R171" s="105"/>
      <c r="S171" s="96"/>
      <c r="T171" s="96"/>
      <c r="U171" s="104"/>
      <c r="V171" s="110"/>
      <c r="W171" s="110"/>
      <c r="X171" s="100"/>
      <c r="Y171" s="100"/>
      <c r="Z171" s="100"/>
      <c r="AA171" s="110"/>
      <c r="AB171" s="110"/>
      <c r="AC171" s="100"/>
      <c r="AD171" s="109"/>
      <c r="AE171" s="109"/>
      <c r="AF171" s="109"/>
      <c r="AG171" s="108"/>
      <c r="AH171" s="109"/>
      <c r="AI171" s="108"/>
      <c r="AJ171" s="111"/>
      <c r="AK171" s="100"/>
      <c r="AL171" s="110"/>
      <c r="AM171" s="110"/>
      <c r="AN171" s="100"/>
      <c r="AO171" s="100"/>
      <c r="AP171" s="100"/>
      <c r="AQ171" s="100"/>
      <c r="AR171" s="100"/>
      <c r="AS171" s="100"/>
      <c r="AT171" s="100"/>
      <c r="AU171" s="111"/>
      <c r="AV171" s="111"/>
    </row>
    <row r="172" spans="1:48" ht="16.3">
      <c r="A172" s="246" t="s">
        <v>366</v>
      </c>
      <c r="B172" s="538">
        <f>SUM(L172+M172+N172+O172+P172+U172+X172+Y172+Z172+AC172+AK172+AL172+AK172+AO172+AR172+AS172+AU172+AV172+AW172+AX172+AP172)+4</f>
        <v>11</v>
      </c>
      <c r="C172" s="215">
        <f>SUM(L172+M172+N172+O172+P172+U172+Y172+Z172+X172+AC172+AL172+AK172+AL172+AP172+AS172+AO172+AV172+AW172+AX172+AY172+AR172+AU172)+4</f>
        <v>11</v>
      </c>
      <c r="D172" s="133"/>
      <c r="E172" s="134"/>
      <c r="F172" s="135"/>
      <c r="G172" s="136"/>
      <c r="H172" s="683"/>
      <c r="I172" s="676"/>
      <c r="J172" s="96"/>
      <c r="K172" s="96"/>
      <c r="L172" s="75">
        <v>1</v>
      </c>
      <c r="M172" s="128">
        <v>1</v>
      </c>
      <c r="N172" s="104">
        <v>1</v>
      </c>
      <c r="O172" s="75"/>
      <c r="P172" s="75"/>
      <c r="Q172" s="105"/>
      <c r="R172" s="105"/>
      <c r="S172" s="96"/>
      <c r="T172" s="96"/>
      <c r="U172" s="104">
        <v>1</v>
      </c>
      <c r="V172" s="110">
        <v>1</v>
      </c>
      <c r="W172" s="110"/>
      <c r="X172" s="100">
        <v>1</v>
      </c>
      <c r="Y172" s="100">
        <v>1</v>
      </c>
      <c r="Z172" s="100">
        <v>1</v>
      </c>
      <c r="AA172" s="110"/>
      <c r="AB172" s="110"/>
      <c r="AC172" s="100"/>
      <c r="AD172" s="109"/>
      <c r="AE172" s="109"/>
      <c r="AF172" s="109"/>
      <c r="AG172" s="108"/>
      <c r="AH172" s="109"/>
      <c r="AI172" s="108"/>
      <c r="AJ172" s="111"/>
      <c r="AK172" s="100"/>
      <c r="AL172" s="110"/>
      <c r="AM172" s="110"/>
      <c r="AN172" s="100"/>
      <c r="AO172" s="100"/>
      <c r="AP172" s="100"/>
      <c r="AQ172" s="100"/>
      <c r="AR172" s="100"/>
      <c r="AS172" s="100"/>
      <c r="AT172" s="100"/>
      <c r="AU172" s="111"/>
      <c r="AV172" s="111"/>
    </row>
    <row r="173" spans="1:48" ht="16.3">
      <c r="A173" s="246" t="s">
        <v>362</v>
      </c>
      <c r="B173" s="538">
        <f>SUM(L173+M173+N173+O173+P173+U173+X173+Y173+Z173+AC173+AK173+AL173+AK173+AO173+AR173+AS173+AU173+AV173+AW173+AX173+AP173)+1</f>
        <v>1</v>
      </c>
      <c r="C173" s="215">
        <f>SUM(L173+M173+N173+O173+P173+U173+Y173+Z173+X173+AC173+AL173+AK173+AL173+AP173+AS173+AO173+AV173+AW173+AX173+AY173+AR173+AU173)+1</f>
        <v>1</v>
      </c>
      <c r="D173" s="133"/>
      <c r="E173" s="134"/>
      <c r="F173" s="135"/>
      <c r="G173" s="136"/>
      <c r="H173" s="683"/>
      <c r="I173" s="676"/>
      <c r="J173" s="96"/>
      <c r="K173" s="96"/>
      <c r="L173" s="104"/>
      <c r="M173" s="75"/>
      <c r="N173" s="128"/>
      <c r="O173" s="75"/>
      <c r="P173" s="75"/>
      <c r="Q173" s="105"/>
      <c r="R173" s="105"/>
      <c r="S173" s="96"/>
      <c r="T173" s="96"/>
      <c r="U173" s="100"/>
      <c r="V173" s="110"/>
      <c r="W173" s="110"/>
      <c r="X173" s="100"/>
      <c r="Y173" s="100"/>
      <c r="Z173" s="100"/>
      <c r="AA173" s="110"/>
      <c r="AB173" s="110"/>
      <c r="AC173" s="100"/>
      <c r="AD173" s="109"/>
      <c r="AE173" s="109"/>
      <c r="AF173" s="109"/>
      <c r="AG173" s="108"/>
      <c r="AH173" s="109"/>
      <c r="AI173" s="108"/>
      <c r="AJ173" s="111"/>
      <c r="AK173" s="100"/>
      <c r="AL173" s="110"/>
      <c r="AM173" s="110"/>
      <c r="AN173" s="100"/>
      <c r="AO173" s="100"/>
      <c r="AP173" s="100"/>
      <c r="AQ173" s="100"/>
      <c r="AR173" s="100"/>
      <c r="AS173" s="100"/>
      <c r="AT173" s="100"/>
      <c r="AU173" s="111"/>
      <c r="AV173" s="111"/>
    </row>
    <row r="174" spans="1:48" ht="16.3">
      <c r="A174" s="83" t="s">
        <v>3</v>
      </c>
      <c r="B174" s="539">
        <f>SUM(L174+M174+N174+O174+P174+U174+X174+Y174+Z174+AC174+AK174+AL174+AK174+AO174+AR174+AS174+AU174+AV174+AW174+AX174+AP174)+10</f>
        <v>11</v>
      </c>
      <c r="C174" s="214">
        <f>SUM(L174+M174+N174+O174+P174+U174+Y174+Z174+X174+AC174+AL174+AK174+AL174+AP174+AS174+AO174+AV174+AW174+AX174+AY174+AR174+AU174)+10</f>
        <v>11</v>
      </c>
      <c r="D174" s="133"/>
      <c r="E174" s="134"/>
      <c r="F174" s="135"/>
      <c r="G174" s="136"/>
      <c r="H174" s="683"/>
      <c r="I174" s="676"/>
      <c r="J174" s="96"/>
      <c r="K174" s="96"/>
      <c r="L174" s="104"/>
      <c r="M174" s="75"/>
      <c r="N174" s="128"/>
      <c r="O174" s="75"/>
      <c r="P174" s="75"/>
      <c r="Q174" s="105"/>
      <c r="R174" s="105"/>
      <c r="S174" s="96"/>
      <c r="T174" s="109">
        <v>1</v>
      </c>
      <c r="U174" s="100"/>
      <c r="V174" s="110"/>
      <c r="W174" s="110"/>
      <c r="X174" s="100"/>
      <c r="Y174" s="100">
        <v>1</v>
      </c>
      <c r="Z174" s="100"/>
      <c r="AA174" s="110"/>
      <c r="AB174" s="110"/>
      <c r="AC174" s="100"/>
      <c r="AD174" s="109"/>
      <c r="AE174" s="109"/>
      <c r="AF174" s="109"/>
      <c r="AG174" s="108"/>
      <c r="AH174" s="109"/>
      <c r="AI174" s="108"/>
      <c r="AJ174" s="111"/>
      <c r="AK174" s="100"/>
      <c r="AL174" s="110"/>
      <c r="AM174" s="110"/>
      <c r="AN174" s="100"/>
      <c r="AO174" s="100"/>
      <c r="AP174" s="100"/>
      <c r="AQ174" s="100"/>
      <c r="AR174" s="100"/>
      <c r="AS174" s="100"/>
      <c r="AT174" s="100"/>
      <c r="AU174" s="111"/>
      <c r="AV174" s="111"/>
    </row>
    <row r="175" spans="1:48" ht="17" thickBot="1">
      <c r="A175" s="85" t="s">
        <v>4</v>
      </c>
      <c r="B175" s="541">
        <f>SUM(L175+M175+N175+O175+P175+U175+X175+Y175+Z175+AC175+AK175+AL175+AK175+AO175+AR175+AS175+AU175+AV175+AW175+AX175+AP175)+50</f>
        <v>55</v>
      </c>
      <c r="C175" s="217">
        <f>SUM(L175+M175+N175+O175+P175+U175+Y175+Z175+X175+AC175+AL175+AK175+AL175+AP175+AS175+AO175+AV175+AW175+AX175+AY175+AR175+AU175)+50</f>
        <v>55</v>
      </c>
      <c r="D175" s="144"/>
      <c r="E175" s="145"/>
      <c r="F175" s="146"/>
      <c r="G175" s="147"/>
      <c r="H175" s="684"/>
      <c r="I175" s="677"/>
      <c r="J175" s="114"/>
      <c r="K175" s="114"/>
      <c r="L175" s="113"/>
      <c r="M175" s="112"/>
      <c r="N175" s="129"/>
      <c r="O175" s="112"/>
      <c r="P175" s="112"/>
      <c r="Q175" s="127"/>
      <c r="R175" s="127"/>
      <c r="S175" s="114"/>
      <c r="T175" s="118">
        <v>5</v>
      </c>
      <c r="U175" s="116"/>
      <c r="V175" s="119"/>
      <c r="W175" s="120"/>
      <c r="X175" s="116"/>
      <c r="Y175" s="116">
        <v>5</v>
      </c>
      <c r="Z175" s="116"/>
      <c r="AA175" s="120"/>
      <c r="AB175" s="120"/>
      <c r="AC175" s="116"/>
      <c r="AD175" s="118"/>
      <c r="AE175" s="118"/>
      <c r="AF175" s="118"/>
      <c r="AG175" s="117"/>
      <c r="AH175" s="118"/>
      <c r="AI175" s="117"/>
      <c r="AJ175" s="121"/>
      <c r="AK175" s="116"/>
      <c r="AL175" s="120"/>
      <c r="AM175" s="119"/>
      <c r="AN175" s="100"/>
      <c r="AO175" s="100"/>
      <c r="AP175" s="100"/>
      <c r="AQ175" s="100"/>
      <c r="AR175" s="100"/>
      <c r="AS175" s="100"/>
      <c r="AT175" s="100"/>
      <c r="AU175" s="111"/>
      <c r="AV175" s="111"/>
    </row>
    <row r="176" spans="1:48" ht="21.1">
      <c r="A176" s="82" t="s">
        <v>28</v>
      </c>
      <c r="B176" s="542"/>
      <c r="C176" s="218"/>
      <c r="D176" s="153"/>
      <c r="E176" s="154"/>
      <c r="F176" s="155"/>
      <c r="G176" s="156"/>
      <c r="H176" s="683"/>
      <c r="I176" s="676"/>
      <c r="J176" s="96"/>
      <c r="K176" s="96" t="s">
        <v>375</v>
      </c>
      <c r="L176" s="104"/>
      <c r="M176" s="75"/>
      <c r="N176" s="75"/>
      <c r="O176" s="75" t="s">
        <v>375</v>
      </c>
      <c r="P176" s="75" t="s">
        <v>375</v>
      </c>
      <c r="Q176" s="105"/>
      <c r="R176" s="105"/>
      <c r="S176" s="96" t="s">
        <v>378</v>
      </c>
      <c r="T176" s="109"/>
      <c r="U176" s="100"/>
      <c r="V176" s="110"/>
      <c r="W176" s="110" t="s">
        <v>375</v>
      </c>
      <c r="X176" s="102"/>
      <c r="Y176" s="102"/>
      <c r="Z176" s="102"/>
      <c r="AA176" s="101"/>
      <c r="AB176" s="101"/>
      <c r="AC176" s="102"/>
      <c r="AD176" s="99" t="s">
        <v>375</v>
      </c>
      <c r="AE176" s="99" t="s">
        <v>375</v>
      </c>
      <c r="AF176" s="99" t="s">
        <v>378</v>
      </c>
      <c r="AG176" s="98"/>
      <c r="AH176" s="99" t="s">
        <v>378</v>
      </c>
      <c r="AI176" s="98"/>
      <c r="AJ176" s="103"/>
      <c r="AK176" s="102"/>
      <c r="AL176" s="101"/>
      <c r="AM176" s="101"/>
      <c r="AN176" s="102"/>
      <c r="AO176" s="102"/>
      <c r="AP176" s="102"/>
      <c r="AQ176" s="102"/>
      <c r="AR176" s="102"/>
      <c r="AS176" s="102"/>
      <c r="AT176" s="102"/>
      <c r="AU176" s="103"/>
      <c r="AV176" s="103"/>
    </row>
    <row r="177" spans="1:48" ht="16.3">
      <c r="A177" s="246" t="s">
        <v>1</v>
      </c>
      <c r="B177" s="538">
        <f>SUM(L177+M177+N177+O177+P177+U177+X177+Y177+Z177+AC177+AK177+AL177+AK177+AO177+AR177+AS177+AU177+AV177+AW177+AX177+AP177)+2</f>
        <v>2</v>
      </c>
      <c r="C177" s="215">
        <f>SUM(L177+M177+N177+O177+P177+U177+Y177+Z177+X177+AC177+AL177+AK177+AL177+AP177+AS177+AO177+AV177+AW177+AX177+AY177+AR177+AU177)+20</f>
        <v>20</v>
      </c>
      <c r="D177" s="133"/>
      <c r="E177" s="134"/>
      <c r="F177" s="135"/>
      <c r="G177" s="136"/>
      <c r="H177" s="683"/>
      <c r="I177" s="676"/>
      <c r="J177" s="96"/>
      <c r="K177" s="96"/>
      <c r="L177" s="104"/>
      <c r="M177" s="75"/>
      <c r="N177" s="75"/>
      <c r="O177" s="75"/>
      <c r="P177" s="75"/>
      <c r="Q177" s="105"/>
      <c r="R177" s="105"/>
      <c r="S177" s="96">
        <v>1</v>
      </c>
      <c r="T177" s="96"/>
      <c r="U177" s="75"/>
      <c r="V177" s="106"/>
      <c r="W177" s="106"/>
      <c r="X177" s="75"/>
      <c r="Y177" s="75"/>
      <c r="Z177" s="75"/>
      <c r="AA177" s="106"/>
      <c r="AB177" s="106"/>
      <c r="AC177" s="75"/>
      <c r="AD177" s="96"/>
      <c r="AE177" s="96"/>
      <c r="AF177" s="96">
        <v>1</v>
      </c>
      <c r="AG177" s="105"/>
      <c r="AH177" s="96">
        <v>1</v>
      </c>
      <c r="AI177" s="105"/>
      <c r="AJ177" s="107"/>
      <c r="AK177" s="75"/>
      <c r="AL177" s="106"/>
      <c r="AM177" s="106"/>
      <c r="AN177" s="75"/>
      <c r="AO177" s="75"/>
      <c r="AP177" s="75"/>
      <c r="AQ177" s="75"/>
      <c r="AR177" s="75"/>
      <c r="AS177" s="75"/>
      <c r="AT177" s="75"/>
      <c r="AU177" s="107"/>
      <c r="AV177" s="107"/>
    </row>
    <row r="178" spans="1:48" ht="16.3">
      <c r="A178" s="246" t="s">
        <v>2</v>
      </c>
      <c r="B178" s="538">
        <f>SUM(L178+M178+N178+O178+P178+U178+X178+Y178+Z178+AC178+AK178+AL178+AK178+AO178+AR178+AS178+AU178+AV178+AW178+AX178+AP178)+19</f>
        <v>21</v>
      </c>
      <c r="C178" s="215">
        <f>SUM(L178+M178+N178+O178+P178+U178+Y178+Z178+X178+AC178+AL178+AK178+AL178+AP178+AS178+AO178+AV178+AW178+AX178+AY178+AR178+AU178)+40</f>
        <v>42</v>
      </c>
      <c r="D178" s="133"/>
      <c r="E178" s="134"/>
      <c r="F178" s="135"/>
      <c r="G178" s="136"/>
      <c r="H178" s="683"/>
      <c r="I178" s="676"/>
      <c r="J178" s="96"/>
      <c r="K178" s="96">
        <v>1</v>
      </c>
      <c r="L178" s="104"/>
      <c r="M178" s="75"/>
      <c r="N178" s="75"/>
      <c r="O178" s="75">
        <v>1</v>
      </c>
      <c r="P178" s="75">
        <v>1</v>
      </c>
      <c r="Q178" s="105"/>
      <c r="R178" s="105"/>
      <c r="S178" s="96"/>
      <c r="T178" s="109"/>
      <c r="U178" s="100"/>
      <c r="V178" s="110"/>
      <c r="W178" s="110">
        <v>1</v>
      </c>
      <c r="X178" s="100"/>
      <c r="Y178" s="100"/>
      <c r="Z178" s="100"/>
      <c r="AA178" s="110"/>
      <c r="AB178" s="110"/>
      <c r="AC178" s="100"/>
      <c r="AD178" s="109">
        <v>1</v>
      </c>
      <c r="AE178" s="109">
        <v>1</v>
      </c>
      <c r="AF178" s="109"/>
      <c r="AG178" s="108"/>
      <c r="AH178" s="109"/>
      <c r="AI178" s="108"/>
      <c r="AJ178" s="111"/>
      <c r="AK178" s="100"/>
      <c r="AL178" s="110"/>
      <c r="AM178" s="110"/>
      <c r="AN178" s="100"/>
      <c r="AO178" s="100"/>
      <c r="AP178" s="100"/>
      <c r="AQ178" s="100"/>
      <c r="AR178" s="100"/>
      <c r="AS178" s="100"/>
      <c r="AT178" s="100"/>
      <c r="AU178" s="111"/>
      <c r="AV178" s="111"/>
    </row>
    <row r="179" spans="1:48" ht="16.3">
      <c r="A179" s="83" t="s">
        <v>363</v>
      </c>
      <c r="B179" s="539">
        <f t="shared" ref="B179:C179" si="21">SUM(B177+B178)</f>
        <v>23</v>
      </c>
      <c r="C179" s="214">
        <f t="shared" si="21"/>
        <v>62</v>
      </c>
      <c r="D179" s="133"/>
      <c r="E179" s="134"/>
      <c r="F179" s="135"/>
      <c r="G179" s="136"/>
      <c r="H179" s="683"/>
      <c r="I179" s="676"/>
      <c r="J179" s="96"/>
      <c r="K179" s="96"/>
      <c r="L179" s="104"/>
      <c r="M179" s="75"/>
      <c r="N179" s="75"/>
      <c r="O179" s="75"/>
      <c r="P179" s="75"/>
      <c r="Q179" s="105"/>
      <c r="R179" s="105"/>
      <c r="S179" s="96"/>
      <c r="T179" s="109"/>
      <c r="U179" s="100"/>
      <c r="V179" s="110"/>
      <c r="W179" s="110"/>
      <c r="X179" s="100"/>
      <c r="Y179" s="100"/>
      <c r="Z179" s="100"/>
      <c r="AA179" s="110"/>
      <c r="AB179" s="110"/>
      <c r="AC179" s="100"/>
      <c r="AD179" s="109"/>
      <c r="AE179" s="109"/>
      <c r="AF179" s="109"/>
      <c r="AG179" s="108"/>
      <c r="AH179" s="109"/>
      <c r="AI179" s="108"/>
      <c r="AJ179" s="111"/>
      <c r="AK179" s="100"/>
      <c r="AL179" s="110"/>
      <c r="AM179" s="110"/>
      <c r="AN179" s="100"/>
      <c r="AO179" s="100"/>
      <c r="AP179" s="100"/>
      <c r="AQ179" s="100"/>
      <c r="AR179" s="100"/>
      <c r="AS179" s="100"/>
      <c r="AT179" s="100"/>
      <c r="AU179" s="111"/>
      <c r="AV179" s="111"/>
    </row>
    <row r="180" spans="1:48" ht="16.3">
      <c r="A180" s="83" t="s">
        <v>3</v>
      </c>
      <c r="B180" s="539">
        <f>SUM(L180+M180+N180+O180+P180+U180+X180+Y180+Z180+AC180+AK180+AL180+AK180+AO180+AR180+AS180+AU180+AV180+AW180+AX180+AP180)+2</f>
        <v>2</v>
      </c>
      <c r="C180" s="214">
        <f>SUM(L180+M180+N180+O180+P180+U180+Y180+Z180+X180+AC180+AL180+AK180+AL180+AP180+AS180+AO180+AV180+AW180+AX180+AY180+AR180+AU180)+8</f>
        <v>8</v>
      </c>
      <c r="D180" s="133"/>
      <c r="E180" s="134"/>
      <c r="F180" s="135"/>
      <c r="G180" s="136"/>
      <c r="H180" s="683"/>
      <c r="I180" s="676"/>
      <c r="J180" s="96"/>
      <c r="K180" s="96"/>
      <c r="L180" s="104"/>
      <c r="M180" s="75"/>
      <c r="N180" s="75"/>
      <c r="O180" s="75"/>
      <c r="P180" s="75"/>
      <c r="Q180" s="105"/>
      <c r="R180" s="105"/>
      <c r="S180" s="96"/>
      <c r="T180" s="109"/>
      <c r="U180" s="100"/>
      <c r="V180" s="110"/>
      <c r="W180" s="110"/>
      <c r="X180" s="100"/>
      <c r="Y180" s="100"/>
      <c r="Z180" s="100"/>
      <c r="AA180" s="110"/>
      <c r="AB180" s="110"/>
      <c r="AC180" s="100"/>
      <c r="AD180" s="109">
        <v>1</v>
      </c>
      <c r="AE180" s="109"/>
      <c r="AF180" s="109"/>
      <c r="AG180" s="108"/>
      <c r="AH180" s="109"/>
      <c r="AI180" s="108"/>
      <c r="AJ180" s="111"/>
      <c r="AK180" s="100"/>
      <c r="AL180" s="110"/>
      <c r="AM180" s="110"/>
      <c r="AN180" s="100"/>
      <c r="AO180" s="100"/>
      <c r="AP180" s="100"/>
      <c r="AQ180" s="100"/>
      <c r="AR180" s="100"/>
      <c r="AS180" s="100"/>
      <c r="AT180" s="100"/>
      <c r="AU180" s="111"/>
      <c r="AV180" s="111"/>
    </row>
    <row r="181" spans="1:48" ht="17" thickBot="1">
      <c r="A181" s="85" t="s">
        <v>4</v>
      </c>
      <c r="B181" s="541">
        <f>SUM(L181+M181+N181+O181+P181+U181+X181+Y181+Z181+AC181+AK181+AL181+AK181+AO181+AR181+AS181+AU181+AV181+AW181+AX181+AP181)+10</f>
        <v>10</v>
      </c>
      <c r="C181" s="217">
        <f>SUM(L181+M181+N181+O181+P181+U181+Y181+Z181+X181+AC181+AL181+AK181+AL181+AP181+AS181+AO181+AV181+AW181+AX181+AY181+AR181+AU181)+40</f>
        <v>40</v>
      </c>
      <c r="D181" s="144"/>
      <c r="E181" s="145"/>
      <c r="F181" s="146"/>
      <c r="G181" s="147"/>
      <c r="H181" s="684"/>
      <c r="I181" s="677"/>
      <c r="J181" s="114"/>
      <c r="K181" s="114"/>
      <c r="L181" s="113"/>
      <c r="M181" s="112"/>
      <c r="N181" s="112"/>
      <c r="O181" s="112"/>
      <c r="P181" s="112"/>
      <c r="Q181" s="127"/>
      <c r="R181" s="127"/>
      <c r="S181" s="114"/>
      <c r="T181" s="118"/>
      <c r="U181" s="116"/>
      <c r="V181" s="119"/>
      <c r="W181" s="120"/>
      <c r="X181" s="116"/>
      <c r="Y181" s="116"/>
      <c r="Z181" s="116"/>
      <c r="AA181" s="120"/>
      <c r="AB181" s="120"/>
      <c r="AC181" s="116"/>
      <c r="AD181" s="118">
        <v>5</v>
      </c>
      <c r="AE181" s="118"/>
      <c r="AF181" s="118"/>
      <c r="AG181" s="117"/>
      <c r="AH181" s="118"/>
      <c r="AI181" s="117"/>
      <c r="AJ181" s="121"/>
      <c r="AK181" s="116"/>
      <c r="AL181" s="120"/>
      <c r="AM181" s="120"/>
      <c r="AN181" s="116"/>
      <c r="AO181" s="116"/>
      <c r="AP181" s="116"/>
      <c r="AQ181" s="116"/>
      <c r="AR181" s="116"/>
      <c r="AS181" s="116"/>
      <c r="AT181" s="116"/>
      <c r="AU181" s="121"/>
      <c r="AV181" s="121"/>
    </row>
    <row r="182" spans="1:48" ht="21.1">
      <c r="A182" s="82" t="s">
        <v>207</v>
      </c>
      <c r="B182" s="539"/>
      <c r="C182" s="214"/>
      <c r="D182" s="133"/>
      <c r="E182" s="134"/>
      <c r="F182" s="135"/>
      <c r="G182" s="136"/>
      <c r="H182" s="683"/>
      <c r="I182" s="676"/>
      <c r="J182" s="96" t="s">
        <v>378</v>
      </c>
      <c r="K182" s="96" t="s">
        <v>378</v>
      </c>
      <c r="L182" s="104" t="s">
        <v>375</v>
      </c>
      <c r="M182" s="75" t="s">
        <v>375</v>
      </c>
      <c r="N182" s="75" t="s">
        <v>375</v>
      </c>
      <c r="O182" s="75" t="s">
        <v>378</v>
      </c>
      <c r="P182" s="75" t="s">
        <v>378</v>
      </c>
      <c r="Q182" s="105"/>
      <c r="R182" s="105"/>
      <c r="S182" s="96" t="s">
        <v>375</v>
      </c>
      <c r="T182" s="109" t="s">
        <v>378</v>
      </c>
      <c r="U182" s="100" t="s">
        <v>375</v>
      </c>
      <c r="V182" s="110" t="s">
        <v>375</v>
      </c>
      <c r="W182" s="110">
        <v>9</v>
      </c>
      <c r="X182" s="100" t="s">
        <v>393</v>
      </c>
      <c r="Y182" s="100" t="s">
        <v>375</v>
      </c>
      <c r="Z182" s="100" t="s">
        <v>375</v>
      </c>
      <c r="AA182" s="110" t="s">
        <v>375</v>
      </c>
      <c r="AB182" s="110" t="s">
        <v>375</v>
      </c>
      <c r="AC182" s="100" t="s">
        <v>378</v>
      </c>
      <c r="AD182" s="109" t="s">
        <v>378</v>
      </c>
      <c r="AE182" s="109" t="s">
        <v>378</v>
      </c>
      <c r="AF182" s="109"/>
      <c r="AG182" s="108"/>
      <c r="AH182" s="109"/>
      <c r="AI182" s="108"/>
      <c r="AJ182" s="111"/>
      <c r="AK182" s="100"/>
      <c r="AL182" s="110"/>
      <c r="AM182" s="110"/>
      <c r="AN182" s="100"/>
      <c r="AO182" s="100"/>
      <c r="AP182" s="100"/>
      <c r="AQ182" s="100"/>
      <c r="AR182" s="100"/>
      <c r="AS182" s="100"/>
      <c r="AT182" s="100"/>
      <c r="AU182" s="111"/>
      <c r="AV182" s="111"/>
    </row>
    <row r="183" spans="1:48" ht="16.3">
      <c r="A183" s="246" t="s">
        <v>1</v>
      </c>
      <c r="B183" s="538">
        <f>SUM(L183+M183+N183+O183+P183+U183+X183+Y183+Z183+AC183+AK183+AL183+AK183+AO183+AR183+AS183+AU183+AV183+AW183+AX183+AP183)</f>
        <v>3</v>
      </c>
      <c r="C183" s="215">
        <f>SUM(L183+M183+N183+O183+P183+U183+Y183+Z183+X183+AC183+AL183+AK183+AL183+AP183+AS183+AO183+AV183+AW183+AX183+AY183+AR183+AU183)</f>
        <v>3</v>
      </c>
      <c r="D183" s="133"/>
      <c r="E183" s="134"/>
      <c r="F183" s="135"/>
      <c r="G183" s="136"/>
      <c r="H183" s="683"/>
      <c r="I183" s="676"/>
      <c r="J183" s="96">
        <v>1</v>
      </c>
      <c r="K183" s="96">
        <v>1</v>
      </c>
      <c r="L183" s="104"/>
      <c r="M183" s="75"/>
      <c r="N183" s="75"/>
      <c r="O183" s="75">
        <v>1</v>
      </c>
      <c r="P183" s="75">
        <v>1</v>
      </c>
      <c r="Q183" s="105"/>
      <c r="R183" s="105"/>
      <c r="S183" s="96"/>
      <c r="T183" s="109">
        <v>1</v>
      </c>
      <c r="U183" s="100"/>
      <c r="V183" s="110"/>
      <c r="W183" s="110">
        <v>1</v>
      </c>
      <c r="X183" s="100"/>
      <c r="Y183" s="100"/>
      <c r="Z183" s="100"/>
      <c r="AA183" s="110"/>
      <c r="AB183" s="110"/>
      <c r="AC183" s="100">
        <v>1</v>
      </c>
      <c r="AD183" s="109">
        <v>1</v>
      </c>
      <c r="AE183" s="109">
        <v>1</v>
      </c>
      <c r="AF183" s="109"/>
      <c r="AG183" s="108"/>
      <c r="AH183" s="109"/>
      <c r="AI183" s="108"/>
      <c r="AJ183" s="111"/>
      <c r="AK183" s="100"/>
      <c r="AL183" s="110"/>
      <c r="AM183" s="110"/>
      <c r="AN183" s="100"/>
      <c r="AO183" s="100"/>
      <c r="AP183" s="100"/>
      <c r="AQ183" s="100"/>
      <c r="AR183" s="100"/>
      <c r="AS183" s="100"/>
      <c r="AT183" s="100"/>
      <c r="AU183" s="111"/>
      <c r="AV183" s="111"/>
    </row>
    <row r="184" spans="1:48" ht="16.3">
      <c r="A184" s="246" t="s">
        <v>2</v>
      </c>
      <c r="B184" s="538">
        <f>SUM(L184+M184+N184+O184+P184+U184+X184+Y184+Z184+AC184+AK184+AL184+AK184+AO184+AR184+AS184+AU184+AV184+AW184+AX184+AP184)+10</f>
        <v>16</v>
      </c>
      <c r="C184" s="215">
        <f>SUM(L184+M184+N184+O184+P184+U184+Y184+Z184+X184+AC184+AL184+AK184+AL184+AP184+AS184+AO184+AV184+AW184+AX184+AY184+AR184+AU184)+10</f>
        <v>16</v>
      </c>
      <c r="D184" s="133"/>
      <c r="E184" s="134"/>
      <c r="F184" s="135"/>
      <c r="G184" s="136"/>
      <c r="H184" s="683"/>
      <c r="I184" s="676"/>
      <c r="J184" s="96"/>
      <c r="K184" s="96"/>
      <c r="L184" s="104">
        <v>1</v>
      </c>
      <c r="M184" s="75">
        <v>1</v>
      </c>
      <c r="N184" s="75">
        <v>1</v>
      </c>
      <c r="O184" s="75"/>
      <c r="P184" s="75"/>
      <c r="Q184" s="105"/>
      <c r="R184" s="105"/>
      <c r="S184" s="96">
        <v>1</v>
      </c>
      <c r="T184" s="109"/>
      <c r="U184" s="100">
        <v>1</v>
      </c>
      <c r="V184" s="110">
        <v>1</v>
      </c>
      <c r="W184" s="110"/>
      <c r="X184" s="100"/>
      <c r="Y184" s="100">
        <v>1</v>
      </c>
      <c r="Z184" s="100">
        <v>1</v>
      </c>
      <c r="AA184" s="110">
        <v>1</v>
      </c>
      <c r="AB184" s="110">
        <v>1</v>
      </c>
      <c r="AC184" s="100"/>
      <c r="AD184" s="109"/>
      <c r="AE184" s="109"/>
      <c r="AF184" s="109"/>
      <c r="AG184" s="108"/>
      <c r="AH184" s="109"/>
      <c r="AI184" s="108"/>
      <c r="AJ184" s="111"/>
      <c r="AK184" s="100"/>
      <c r="AL184" s="110"/>
      <c r="AM184" s="110"/>
      <c r="AN184" s="100"/>
      <c r="AO184" s="100"/>
      <c r="AP184" s="100"/>
      <c r="AQ184" s="100"/>
      <c r="AR184" s="100"/>
      <c r="AS184" s="100"/>
      <c r="AT184" s="100"/>
      <c r="AU184" s="111"/>
      <c r="AV184" s="111"/>
    </row>
    <row r="185" spans="1:48" ht="16.3">
      <c r="A185" s="83" t="s">
        <v>363</v>
      </c>
      <c r="B185" s="539">
        <f t="shared" ref="B185" si="22">SUM(B183+B184)</f>
        <v>19</v>
      </c>
      <c r="C185" s="214">
        <f t="shared" ref="C185" si="23">SUM(C183+C184)</f>
        <v>19</v>
      </c>
      <c r="D185" s="133"/>
      <c r="E185" s="134"/>
      <c r="F185" s="135"/>
      <c r="G185" s="136"/>
      <c r="H185" s="683"/>
      <c r="I185" s="676"/>
      <c r="J185" s="96"/>
      <c r="K185" s="96"/>
      <c r="L185" s="104"/>
      <c r="M185" s="75"/>
      <c r="N185" s="75"/>
      <c r="O185" s="75"/>
      <c r="P185" s="75"/>
      <c r="Q185" s="105"/>
      <c r="R185" s="105"/>
      <c r="S185" s="96"/>
      <c r="T185" s="109"/>
      <c r="U185" s="100"/>
      <c r="V185" s="110"/>
      <c r="W185" s="110"/>
      <c r="X185" s="100"/>
      <c r="Y185" s="100"/>
      <c r="Z185" s="100"/>
      <c r="AA185" s="110"/>
      <c r="AB185" s="110"/>
      <c r="AC185" s="100"/>
      <c r="AD185" s="109"/>
      <c r="AE185" s="109"/>
      <c r="AF185" s="109"/>
      <c r="AG185" s="108"/>
      <c r="AH185" s="109"/>
      <c r="AI185" s="108"/>
      <c r="AJ185" s="111"/>
      <c r="AK185" s="100"/>
      <c r="AL185" s="110"/>
      <c r="AM185" s="110"/>
      <c r="AN185" s="100"/>
      <c r="AO185" s="100"/>
      <c r="AP185" s="100"/>
      <c r="AQ185" s="100"/>
      <c r="AR185" s="100"/>
      <c r="AS185" s="100"/>
      <c r="AT185" s="100"/>
      <c r="AU185" s="111"/>
      <c r="AV185" s="111"/>
    </row>
    <row r="186" spans="1:48" ht="16.3">
      <c r="A186" s="83" t="s">
        <v>3</v>
      </c>
      <c r="B186" s="539">
        <f>SUM(L186+M186+N186+O186+P186+U186+X186+Y186+Z186+AC186+AK186+AL186+AK186+AO186+AR186+AS186+AU186+AV186+AW186+AX186+AP186)+1</f>
        <v>2</v>
      </c>
      <c r="C186" s="214">
        <f>SUM(L186+M186+N186+O186+P186+U186+Y186+Z186+X186+AC186+AL186+AK186+AL186+AP186+AS186+AO186+AV186+AW186+AX186+AY186+AR186+AU186)+1</f>
        <v>2</v>
      </c>
      <c r="D186" s="133"/>
      <c r="E186" s="134"/>
      <c r="F186" s="135"/>
      <c r="G186" s="136"/>
      <c r="H186" s="683"/>
      <c r="I186" s="676"/>
      <c r="J186" s="96"/>
      <c r="K186" s="96"/>
      <c r="L186" s="104"/>
      <c r="M186" s="75"/>
      <c r="N186" s="75"/>
      <c r="O186" s="75"/>
      <c r="P186" s="75"/>
      <c r="Q186" s="105"/>
      <c r="R186" s="105"/>
      <c r="S186" s="96"/>
      <c r="T186" s="109">
        <v>1</v>
      </c>
      <c r="U186" s="100"/>
      <c r="V186" s="110"/>
      <c r="W186" s="110"/>
      <c r="X186" s="100"/>
      <c r="Y186" s="100"/>
      <c r="Z186" s="100">
        <v>1</v>
      </c>
      <c r="AA186" s="110"/>
      <c r="AB186" s="110"/>
      <c r="AC186" s="100"/>
      <c r="AD186" s="109">
        <v>1</v>
      </c>
      <c r="AE186" s="109">
        <v>1</v>
      </c>
      <c r="AF186" s="109"/>
      <c r="AG186" s="108"/>
      <c r="AH186" s="109"/>
      <c r="AI186" s="108"/>
      <c r="AJ186" s="111"/>
      <c r="AK186" s="100"/>
      <c r="AL186" s="110"/>
      <c r="AM186" s="110"/>
      <c r="AN186" s="100"/>
      <c r="AO186" s="100"/>
      <c r="AP186" s="100"/>
      <c r="AQ186" s="100"/>
      <c r="AR186" s="100"/>
      <c r="AS186" s="100"/>
      <c r="AT186" s="100"/>
      <c r="AU186" s="111"/>
      <c r="AV186" s="111"/>
    </row>
    <row r="187" spans="1:48" ht="17" thickBot="1">
      <c r="A187" s="85" t="s">
        <v>4</v>
      </c>
      <c r="B187" s="541">
        <f>SUM(L187+M187+N187+O187+P187+U187+X187+Y187+Z187+AC187+AK187+AL187+AK187+AO187+AR187+AS187+AU187+AV187+AW187+AX187+AP187)+5</f>
        <v>10</v>
      </c>
      <c r="C187" s="217">
        <f>SUM(L187+M187+N187+O187+P187+U187+Y187+Z187+X187+AC187+AL187+AK187+AL187+AP187+AS187+AO187+AV187+AW187+AX187+AY187+AR187+AU187)+5</f>
        <v>10</v>
      </c>
      <c r="D187" s="144"/>
      <c r="E187" s="145"/>
      <c r="F187" s="146"/>
      <c r="G187" s="147"/>
      <c r="H187" s="684"/>
      <c r="I187" s="677"/>
      <c r="J187" s="114"/>
      <c r="K187" s="114"/>
      <c r="L187" s="113"/>
      <c r="M187" s="112"/>
      <c r="N187" s="112"/>
      <c r="O187" s="112"/>
      <c r="P187" s="112"/>
      <c r="Q187" s="127"/>
      <c r="R187" s="127"/>
      <c r="S187" s="114"/>
      <c r="T187" s="118">
        <v>5</v>
      </c>
      <c r="U187" s="116"/>
      <c r="V187" s="120"/>
      <c r="W187" s="120"/>
      <c r="X187" s="112"/>
      <c r="Y187" s="100"/>
      <c r="Z187" s="100">
        <v>5</v>
      </c>
      <c r="AA187" s="110"/>
      <c r="AB187" s="110"/>
      <c r="AC187" s="100"/>
      <c r="AD187" s="109">
        <v>5</v>
      </c>
      <c r="AE187" s="109">
        <v>5</v>
      </c>
      <c r="AF187" s="109"/>
      <c r="AG187" s="108"/>
      <c r="AH187" s="109"/>
      <c r="AI187" s="108"/>
      <c r="AJ187" s="111"/>
      <c r="AK187" s="100"/>
      <c r="AL187" s="110"/>
      <c r="AM187" s="110"/>
      <c r="AN187" s="100"/>
      <c r="AO187" s="100"/>
      <c r="AP187" s="100"/>
      <c r="AQ187" s="100"/>
      <c r="AR187" s="100"/>
      <c r="AS187" s="100"/>
      <c r="AT187" s="100"/>
      <c r="AU187" s="111"/>
      <c r="AV187" s="111"/>
    </row>
    <row r="188" spans="1:48" ht="21.1">
      <c r="A188" s="82" t="s">
        <v>95</v>
      </c>
      <c r="B188" s="539"/>
      <c r="C188" s="214"/>
      <c r="D188" s="133"/>
      <c r="E188" s="134"/>
      <c r="F188" s="135"/>
      <c r="G188" s="136"/>
      <c r="H188" s="683"/>
      <c r="I188" s="676"/>
      <c r="J188" s="96" t="s">
        <v>346</v>
      </c>
      <c r="K188" s="96" t="s">
        <v>346</v>
      </c>
      <c r="L188" s="104" t="s">
        <v>375</v>
      </c>
      <c r="M188" s="75" t="s">
        <v>375</v>
      </c>
      <c r="N188" s="75" t="s">
        <v>375</v>
      </c>
      <c r="O188" s="75" t="s">
        <v>369</v>
      </c>
      <c r="P188" s="75" t="s">
        <v>369</v>
      </c>
      <c r="Q188" s="105"/>
      <c r="R188" s="105"/>
      <c r="S188" s="96" t="s">
        <v>346</v>
      </c>
      <c r="T188" s="109" t="s">
        <v>346</v>
      </c>
      <c r="U188" s="100" t="s">
        <v>375</v>
      </c>
      <c r="V188" s="110" t="s">
        <v>375</v>
      </c>
      <c r="W188" s="110" t="s">
        <v>369</v>
      </c>
      <c r="X188" s="100" t="s">
        <v>375</v>
      </c>
      <c r="Y188" s="102" t="s">
        <v>375</v>
      </c>
      <c r="Z188" s="102" t="s">
        <v>375</v>
      </c>
      <c r="AA188" s="101" t="s">
        <v>369</v>
      </c>
      <c r="AB188" s="101" t="s">
        <v>369</v>
      </c>
      <c r="AC188" s="102" t="s">
        <v>375</v>
      </c>
      <c r="AD188" s="99"/>
      <c r="AE188" s="99"/>
      <c r="AF188" s="99"/>
      <c r="AG188" s="98"/>
      <c r="AH188" s="99"/>
      <c r="AI188" s="98"/>
      <c r="AJ188" s="103"/>
      <c r="AK188" s="102"/>
      <c r="AL188" s="101"/>
      <c r="AM188" s="101"/>
      <c r="AN188" s="102"/>
      <c r="AO188" s="102"/>
      <c r="AP188" s="102"/>
      <c r="AQ188" s="102"/>
      <c r="AR188" s="102"/>
      <c r="AS188" s="102"/>
      <c r="AT188" s="102"/>
      <c r="AU188" s="103"/>
      <c r="AV188" s="103"/>
    </row>
    <row r="189" spans="1:48" ht="16.3">
      <c r="A189" s="246" t="s">
        <v>1</v>
      </c>
      <c r="B189" s="538">
        <f>SUM(L189+M189+N189+O189+P189+U189+X189+Y189+Z189+AC189+AK189+AL189+AK189+AO189+AR189+AS189+AU189+AV189+AW189+AX189+AP189)+21</f>
        <v>23</v>
      </c>
      <c r="C189" s="215">
        <f>SUM(L189+M189+N189+O189+P189+U189+Y189+Z189+X189+AC189+AL189+AK189+AL189+AP189+AS189+AO189+AV189+AW189+AX189+AY189+AR189+AU189)+21</f>
        <v>23</v>
      </c>
      <c r="D189" s="133"/>
      <c r="E189" s="134"/>
      <c r="F189" s="135"/>
      <c r="G189" s="136"/>
      <c r="H189" s="683"/>
      <c r="I189" s="676"/>
      <c r="J189" s="96"/>
      <c r="K189" s="96"/>
      <c r="L189" s="104"/>
      <c r="M189" s="75"/>
      <c r="N189" s="75"/>
      <c r="O189" s="75">
        <v>1</v>
      </c>
      <c r="P189" s="75">
        <v>1</v>
      </c>
      <c r="Q189" s="105"/>
      <c r="R189" s="105"/>
      <c r="S189" s="96"/>
      <c r="T189" s="109"/>
      <c r="U189" s="100"/>
      <c r="V189" s="110"/>
      <c r="W189" s="110">
        <v>1</v>
      </c>
      <c r="X189" s="100"/>
      <c r="Y189" s="100"/>
      <c r="Z189" s="100"/>
      <c r="AA189" s="110">
        <v>1</v>
      </c>
      <c r="AB189" s="110">
        <v>1</v>
      </c>
      <c r="AC189" s="100"/>
      <c r="AD189" s="109"/>
      <c r="AE189" s="109"/>
      <c r="AF189" s="109"/>
      <c r="AG189" s="108"/>
      <c r="AH189" s="109"/>
      <c r="AI189" s="108"/>
      <c r="AJ189" s="111"/>
      <c r="AK189" s="100"/>
      <c r="AL189" s="110"/>
      <c r="AM189" s="110"/>
      <c r="AN189" s="100"/>
      <c r="AO189" s="100"/>
      <c r="AP189" s="100"/>
      <c r="AQ189" s="100"/>
      <c r="AR189" s="100"/>
      <c r="AS189" s="100"/>
      <c r="AT189" s="100"/>
      <c r="AU189" s="111"/>
      <c r="AV189" s="111"/>
    </row>
    <row r="190" spans="1:48" ht="16.3">
      <c r="A190" s="246" t="s">
        <v>2</v>
      </c>
      <c r="B190" s="538">
        <f>SUM(L190+M190+N190+O190+P190+U190+X190+Y190+Z190+AC190+AK190+AL190+AK190+AO190+AR190+AS190+AU190+AV190+AW190+AX190+AP190)+38</f>
        <v>46</v>
      </c>
      <c r="C190" s="215">
        <f>SUM(L190+M190+N190+O190+P190+U190+Y190+Z190+X190+AC190+AL190+AK190+AL190+AP190+AS190+AO190+AV190+AW190+AX190+AY190+AR190+AU190)+38</f>
        <v>46</v>
      </c>
      <c r="D190" s="133"/>
      <c r="E190" s="134"/>
      <c r="F190" s="135"/>
      <c r="G190" s="136"/>
      <c r="H190" s="683"/>
      <c r="I190" s="676"/>
      <c r="J190" s="96"/>
      <c r="K190" s="96"/>
      <c r="L190" s="104">
        <v>1</v>
      </c>
      <c r="M190" s="75">
        <v>1</v>
      </c>
      <c r="N190" s="75">
        <v>1</v>
      </c>
      <c r="O190" s="75"/>
      <c r="P190" s="75"/>
      <c r="Q190" s="105"/>
      <c r="R190" s="105"/>
      <c r="S190" s="96"/>
      <c r="T190" s="109"/>
      <c r="U190" s="100">
        <v>1</v>
      </c>
      <c r="V190" s="110">
        <v>1</v>
      </c>
      <c r="W190" s="110"/>
      <c r="X190" s="100">
        <v>1</v>
      </c>
      <c r="Y190" s="100">
        <v>1</v>
      </c>
      <c r="Z190" s="100">
        <v>1</v>
      </c>
      <c r="AA190" s="110"/>
      <c r="AB190" s="110"/>
      <c r="AC190" s="100">
        <v>1</v>
      </c>
      <c r="AD190" s="109"/>
      <c r="AE190" s="109"/>
      <c r="AF190" s="109"/>
      <c r="AG190" s="108"/>
      <c r="AH190" s="109"/>
      <c r="AI190" s="108"/>
      <c r="AJ190" s="111"/>
      <c r="AK190" s="100"/>
      <c r="AL190" s="110"/>
      <c r="AM190" s="110"/>
      <c r="AN190" s="100"/>
      <c r="AO190" s="100"/>
      <c r="AP190" s="100"/>
      <c r="AQ190" s="100"/>
      <c r="AR190" s="100"/>
      <c r="AS190" s="100"/>
      <c r="AT190" s="100"/>
      <c r="AU190" s="111"/>
      <c r="AV190" s="111"/>
    </row>
    <row r="191" spans="1:48" ht="16.3">
      <c r="A191" s="83" t="s">
        <v>363</v>
      </c>
      <c r="B191" s="539">
        <f t="shared" ref="B191" si="24">SUM(B189+B190)</f>
        <v>69</v>
      </c>
      <c r="C191" s="214">
        <f t="shared" ref="C191" si="25">SUM(C189+C190)</f>
        <v>69</v>
      </c>
      <c r="D191" s="133"/>
      <c r="E191" s="134"/>
      <c r="F191" s="135"/>
      <c r="G191" s="136"/>
      <c r="H191" s="683"/>
      <c r="I191" s="676"/>
      <c r="J191" s="96"/>
      <c r="K191" s="96"/>
      <c r="L191" s="104"/>
      <c r="M191" s="75"/>
      <c r="N191" s="75"/>
      <c r="O191" s="75"/>
      <c r="P191" s="75"/>
      <c r="Q191" s="105"/>
      <c r="R191" s="105"/>
      <c r="S191" s="96"/>
      <c r="T191" s="109"/>
      <c r="U191" s="100"/>
      <c r="V191" s="110"/>
      <c r="W191" s="110"/>
      <c r="X191" s="100"/>
      <c r="Y191" s="100"/>
      <c r="Z191" s="100"/>
      <c r="AA191" s="110"/>
      <c r="AB191" s="110"/>
      <c r="AC191" s="100"/>
      <c r="AD191" s="109"/>
      <c r="AE191" s="109"/>
      <c r="AF191" s="109"/>
      <c r="AG191" s="108"/>
      <c r="AH191" s="109"/>
      <c r="AI191" s="108"/>
      <c r="AJ191" s="111"/>
      <c r="AK191" s="100"/>
      <c r="AL191" s="110"/>
      <c r="AM191" s="110"/>
      <c r="AN191" s="100"/>
      <c r="AO191" s="100"/>
      <c r="AP191" s="100"/>
      <c r="AQ191" s="100"/>
      <c r="AR191" s="100"/>
      <c r="AS191" s="100"/>
      <c r="AT191" s="100"/>
      <c r="AU191" s="111"/>
      <c r="AV191" s="111"/>
    </row>
    <row r="192" spans="1:48" ht="16.3">
      <c r="A192" s="246" t="s">
        <v>362</v>
      </c>
      <c r="B192" s="538">
        <f>SUM(L192+M192+N192+O192+P192+U192+X192+Y192+Z192+AC192+AK192+AL192+AK192+AO192+AR192+AS192+AU192+AV192+AW192+AX192+AP192)+1</f>
        <v>1</v>
      </c>
      <c r="C192" s="215">
        <f>SUM(L192+M192+N192+O192+P192+U192+Y192+Z192+X192+AC192+AL192+AK192+AL192+AP192+AS192+AO192+AV192+AW192+AX192+AY192+AR192+AU192)+1</f>
        <v>1</v>
      </c>
      <c r="D192" s="133"/>
      <c r="E192" s="134"/>
      <c r="F192" s="135"/>
      <c r="G192" s="136"/>
      <c r="H192" s="683"/>
      <c r="I192" s="676"/>
      <c r="J192" s="96"/>
      <c r="K192" s="96"/>
      <c r="L192" s="104"/>
      <c r="M192" s="75"/>
      <c r="N192" s="75"/>
      <c r="O192" s="75"/>
      <c r="P192" s="75"/>
      <c r="Q192" s="105"/>
      <c r="R192" s="105"/>
      <c r="S192" s="96"/>
      <c r="T192" s="109"/>
      <c r="U192" s="100"/>
      <c r="V192" s="110"/>
      <c r="W192" s="110"/>
      <c r="X192" s="100"/>
      <c r="Y192" s="100"/>
      <c r="Z192" s="100"/>
      <c r="AA192" s="110"/>
      <c r="AB192" s="110"/>
      <c r="AC192" s="100"/>
      <c r="AD192" s="109"/>
      <c r="AE192" s="109"/>
      <c r="AF192" s="109"/>
      <c r="AG192" s="108"/>
      <c r="AH192" s="109"/>
      <c r="AI192" s="108"/>
      <c r="AJ192" s="111"/>
      <c r="AK192" s="100"/>
      <c r="AL192" s="110"/>
      <c r="AM192" s="110"/>
      <c r="AN192" s="100"/>
      <c r="AO192" s="100"/>
      <c r="AP192" s="100"/>
      <c r="AQ192" s="100"/>
      <c r="AR192" s="100"/>
      <c r="AS192" s="100"/>
      <c r="AT192" s="100"/>
      <c r="AU192" s="111"/>
      <c r="AV192" s="111"/>
    </row>
    <row r="193" spans="1:48" ht="16.3">
      <c r="A193" s="83" t="s">
        <v>3</v>
      </c>
      <c r="B193" s="539">
        <f>SUM(L193+M193+N193+O193+P193+U193+X193+Y193+Z193+AC193+AK193+AL193+AK193+AO193+AR193+AS193+AU193+AV193+AW193+AX193+AP193)+6</f>
        <v>7</v>
      </c>
      <c r="C193" s="214">
        <f>SUM(L193+M193+N193+O193+P193+U193+Y193+Z193+X193+AC193+AL193+AK193+AL193+AP193+AS193+AO193+AV193+AW193+AX193+AY193+AR193+AU193)+6</f>
        <v>7</v>
      </c>
      <c r="D193" s="133"/>
      <c r="E193" s="134"/>
      <c r="F193" s="135"/>
      <c r="G193" s="136"/>
      <c r="H193" s="683"/>
      <c r="I193" s="676"/>
      <c r="J193" s="96"/>
      <c r="K193" s="96"/>
      <c r="L193" s="104"/>
      <c r="M193" s="75"/>
      <c r="N193" s="75"/>
      <c r="O193" s="75"/>
      <c r="P193" s="75"/>
      <c r="Q193" s="105"/>
      <c r="R193" s="105"/>
      <c r="S193" s="96"/>
      <c r="T193" s="109"/>
      <c r="U193" s="100"/>
      <c r="V193" s="110"/>
      <c r="W193" s="110"/>
      <c r="X193" s="100"/>
      <c r="Y193" s="100"/>
      <c r="Z193" s="100"/>
      <c r="AA193" s="110"/>
      <c r="AB193" s="110"/>
      <c r="AC193" s="100">
        <v>1</v>
      </c>
      <c r="AD193" s="109"/>
      <c r="AE193" s="109"/>
      <c r="AF193" s="109"/>
      <c r="AG193" s="108"/>
      <c r="AH193" s="109"/>
      <c r="AI193" s="108"/>
      <c r="AJ193" s="111"/>
      <c r="AK193" s="100"/>
      <c r="AL193" s="110"/>
      <c r="AM193" s="110"/>
      <c r="AN193" s="100"/>
      <c r="AO193" s="100"/>
      <c r="AP193" s="100"/>
      <c r="AQ193" s="100"/>
      <c r="AR193" s="100"/>
      <c r="AS193" s="100"/>
      <c r="AT193" s="100"/>
      <c r="AU193" s="111"/>
      <c r="AV193" s="111"/>
    </row>
    <row r="194" spans="1:48" ht="17" thickBot="1">
      <c r="A194" s="85" t="s">
        <v>4</v>
      </c>
      <c r="B194" s="541">
        <f>SUM(L194+M194+N194+O194+P194+U194+X194+Y194+Z194+AC194+AK194+AL194+AK194+AO194+AR194+AS194+AU194+AV194+AW194+AX194+AP194)+30</f>
        <v>35</v>
      </c>
      <c r="C194" s="217">
        <f>SUM(L194+M194+N194+O194+P194+U194+Y194+Z194+X194+AC194+AL194+AK194+AL194+AP194+AS194+AO194+AV194+AW194+AX194+AY194+AR194+AU194)+30</f>
        <v>35</v>
      </c>
      <c r="D194" s="144"/>
      <c r="E194" s="145"/>
      <c r="F194" s="146"/>
      <c r="G194" s="147"/>
      <c r="H194" s="684"/>
      <c r="I194" s="677"/>
      <c r="J194" s="114"/>
      <c r="K194" s="114"/>
      <c r="L194" s="113"/>
      <c r="M194" s="112"/>
      <c r="N194" s="112"/>
      <c r="O194" s="112"/>
      <c r="P194" s="112"/>
      <c r="Q194" s="127"/>
      <c r="R194" s="127"/>
      <c r="S194" s="114"/>
      <c r="T194" s="118"/>
      <c r="U194" s="116"/>
      <c r="V194" s="119"/>
      <c r="W194" s="120"/>
      <c r="X194" s="116"/>
      <c r="Y194" s="116"/>
      <c r="Z194" s="116"/>
      <c r="AA194" s="120"/>
      <c r="AB194" s="120"/>
      <c r="AC194" s="116">
        <v>5</v>
      </c>
      <c r="AD194" s="118"/>
      <c r="AE194" s="118"/>
      <c r="AF194" s="118"/>
      <c r="AG194" s="117"/>
      <c r="AH194" s="118"/>
      <c r="AI194" s="117"/>
      <c r="AJ194" s="121"/>
      <c r="AK194" s="116"/>
      <c r="AL194" s="120"/>
      <c r="AM194" s="120"/>
      <c r="AN194" s="116"/>
      <c r="AO194" s="116"/>
      <c r="AP194" s="116"/>
      <c r="AQ194" s="116"/>
      <c r="AR194" s="116"/>
      <c r="AS194" s="116"/>
      <c r="AT194" s="116"/>
      <c r="AU194" s="121"/>
      <c r="AV194" s="121"/>
    </row>
    <row r="195" spans="1:48" ht="21.1">
      <c r="A195" s="82" t="s">
        <v>340</v>
      </c>
      <c r="B195" s="539"/>
      <c r="C195" s="214"/>
      <c r="D195" s="133"/>
      <c r="E195" s="134"/>
      <c r="F195" s="135"/>
      <c r="G195" s="136"/>
      <c r="H195" s="683"/>
      <c r="I195" s="676"/>
      <c r="J195" s="96" t="s">
        <v>369</v>
      </c>
      <c r="K195" s="96" t="s">
        <v>369</v>
      </c>
      <c r="L195" s="104" t="s">
        <v>369</v>
      </c>
      <c r="M195" s="75" t="s">
        <v>369</v>
      </c>
      <c r="N195" s="75" t="s">
        <v>369</v>
      </c>
      <c r="O195" s="75" t="s">
        <v>375</v>
      </c>
      <c r="P195" s="75" t="s">
        <v>375</v>
      </c>
      <c r="Q195" s="105"/>
      <c r="R195" s="105"/>
      <c r="S195" s="96" t="s">
        <v>803</v>
      </c>
      <c r="T195" s="109" t="s">
        <v>803</v>
      </c>
      <c r="U195" s="100" t="s">
        <v>369</v>
      </c>
      <c r="V195" s="110" t="s">
        <v>369</v>
      </c>
      <c r="W195" s="110"/>
      <c r="X195" s="100" t="s">
        <v>369</v>
      </c>
      <c r="Y195" s="102" t="s">
        <v>369</v>
      </c>
      <c r="Z195" s="102" t="s">
        <v>369</v>
      </c>
      <c r="AA195" s="101" t="s">
        <v>375</v>
      </c>
      <c r="AB195" s="101" t="s">
        <v>375</v>
      </c>
      <c r="AC195" s="102" t="s">
        <v>369</v>
      </c>
      <c r="AD195" s="99"/>
      <c r="AE195" s="99" t="s">
        <v>803</v>
      </c>
      <c r="AF195" s="99" t="s">
        <v>803</v>
      </c>
      <c r="AG195" s="98"/>
      <c r="AH195" s="99"/>
      <c r="AI195" s="98"/>
      <c r="AJ195" s="103"/>
      <c r="AK195" s="102"/>
      <c r="AL195" s="101"/>
      <c r="AM195" s="101"/>
      <c r="AN195" s="102"/>
      <c r="AO195" s="102"/>
      <c r="AP195" s="102"/>
      <c r="AQ195" s="102"/>
      <c r="AR195" s="102"/>
      <c r="AS195" s="102"/>
      <c r="AT195" s="102"/>
      <c r="AU195" s="103"/>
      <c r="AV195" s="103"/>
    </row>
    <row r="196" spans="1:48" ht="16.3">
      <c r="A196" s="246" t="s">
        <v>1</v>
      </c>
      <c r="B196" s="538">
        <f>SUM(L196+M196+N196+O196+P196+U196+X196+Y196+Z196+AC196+AK196+AL196+AK196+AO196+AR196+AS196+AU196+AV196+AW196+AX196+AP196)+11</f>
        <v>19</v>
      </c>
      <c r="C196" s="215">
        <f>SUM(L196+M196+N196+O196+P196+U196+Y196+Z196+X196+AC196+AL196+AK196+AL196+AP196+AS196+AO196+AV196+AW196+AX196+AY196+AR196+AU196)+11</f>
        <v>19</v>
      </c>
      <c r="D196" s="133"/>
      <c r="E196" s="134"/>
      <c r="F196" s="135"/>
      <c r="G196" s="136"/>
      <c r="H196" s="683"/>
      <c r="I196" s="676"/>
      <c r="J196" s="96">
        <v>1</v>
      </c>
      <c r="K196" s="96">
        <v>1</v>
      </c>
      <c r="L196" s="104">
        <v>1</v>
      </c>
      <c r="M196" s="75">
        <v>1</v>
      </c>
      <c r="N196" s="75">
        <v>1</v>
      </c>
      <c r="O196" s="75"/>
      <c r="P196" s="75"/>
      <c r="Q196" s="105"/>
      <c r="R196" s="105"/>
      <c r="S196" s="96"/>
      <c r="T196" s="109"/>
      <c r="U196" s="100">
        <v>1</v>
      </c>
      <c r="V196" s="110">
        <v>1</v>
      </c>
      <c r="W196" s="110"/>
      <c r="X196" s="100">
        <v>1</v>
      </c>
      <c r="Y196" s="100">
        <v>1</v>
      </c>
      <c r="Z196" s="100">
        <v>1</v>
      </c>
      <c r="AA196" s="110"/>
      <c r="AB196" s="110"/>
      <c r="AC196" s="100">
        <v>1</v>
      </c>
      <c r="AD196" s="109"/>
      <c r="AE196" s="109"/>
      <c r="AF196" s="109"/>
      <c r="AG196" s="108"/>
      <c r="AH196" s="109"/>
      <c r="AI196" s="108"/>
      <c r="AJ196" s="111"/>
      <c r="AK196" s="100"/>
      <c r="AL196" s="110"/>
      <c r="AM196" s="110"/>
      <c r="AN196" s="100"/>
      <c r="AO196" s="100"/>
      <c r="AP196" s="100"/>
      <c r="AQ196" s="100"/>
      <c r="AR196" s="100"/>
      <c r="AS196" s="100"/>
      <c r="AT196" s="100"/>
      <c r="AU196" s="111"/>
      <c r="AV196" s="111"/>
    </row>
    <row r="197" spans="1:48" ht="16.3">
      <c r="A197" s="246" t="s">
        <v>2</v>
      </c>
      <c r="B197" s="538">
        <f>SUM(L197+M197+N197+O197+P197+U197+X197+Y197+Z197+AC197+AK197+AL197+AK197+AO197+AR197+AS197+AU197+AV197+AW197+AX197+AP197)+6</f>
        <v>8</v>
      </c>
      <c r="C197" s="215">
        <f>SUM(L197+M197+N197+O197+P197+U197+Y197+Z197+X197+AC197+AL197+AK197+AL197+AP197+AS197+AO197+AV197+AW197+AX197+AY197+AR197+AU197)+6</f>
        <v>8</v>
      </c>
      <c r="D197" s="133"/>
      <c r="E197" s="134"/>
      <c r="F197" s="135"/>
      <c r="G197" s="136"/>
      <c r="H197" s="683"/>
      <c r="I197" s="676"/>
      <c r="J197" s="96"/>
      <c r="K197" s="96"/>
      <c r="L197" s="104"/>
      <c r="M197" s="75"/>
      <c r="N197" s="75"/>
      <c r="O197" s="75">
        <v>1</v>
      </c>
      <c r="P197" s="75">
        <v>1</v>
      </c>
      <c r="Q197" s="105"/>
      <c r="R197" s="105"/>
      <c r="S197" s="96"/>
      <c r="T197" s="109"/>
      <c r="U197" s="100"/>
      <c r="V197" s="110"/>
      <c r="W197" s="110"/>
      <c r="X197" s="100"/>
      <c r="Y197" s="100"/>
      <c r="Z197" s="100"/>
      <c r="AA197" s="110">
        <v>1</v>
      </c>
      <c r="AB197" s="110">
        <v>1</v>
      </c>
      <c r="AC197" s="100"/>
      <c r="AD197" s="109"/>
      <c r="AE197" s="109"/>
      <c r="AF197" s="109"/>
      <c r="AG197" s="108"/>
      <c r="AH197" s="109"/>
      <c r="AI197" s="108"/>
      <c r="AJ197" s="111"/>
      <c r="AK197" s="100"/>
      <c r="AL197" s="110"/>
      <c r="AM197" s="110"/>
      <c r="AN197" s="100"/>
      <c r="AO197" s="100"/>
      <c r="AP197" s="100"/>
      <c r="AQ197" s="100"/>
      <c r="AR197" s="100"/>
      <c r="AS197" s="100"/>
      <c r="AT197" s="100"/>
      <c r="AU197" s="111"/>
      <c r="AV197" s="111"/>
    </row>
    <row r="198" spans="1:48" ht="16.3">
      <c r="A198" s="83" t="s">
        <v>363</v>
      </c>
      <c r="B198" s="539">
        <f>SUM(B196+B197)</f>
        <v>27</v>
      </c>
      <c r="C198" s="214">
        <f>SUM(C196+C197)</f>
        <v>27</v>
      </c>
      <c r="D198" s="133"/>
      <c r="E198" s="134"/>
      <c r="F198" s="135"/>
      <c r="G198" s="136"/>
      <c r="H198" s="683"/>
      <c r="I198" s="676"/>
      <c r="J198" s="96"/>
      <c r="K198" s="96"/>
      <c r="L198" s="104"/>
      <c r="M198" s="75"/>
      <c r="N198" s="75"/>
      <c r="O198" s="75"/>
      <c r="P198" s="75"/>
      <c r="Q198" s="105"/>
      <c r="R198" s="105"/>
      <c r="S198" s="96"/>
      <c r="T198" s="109"/>
      <c r="U198" s="100"/>
      <c r="V198" s="110"/>
      <c r="W198" s="110"/>
      <c r="X198" s="100"/>
      <c r="Y198" s="100"/>
      <c r="Z198" s="100"/>
      <c r="AA198" s="110"/>
      <c r="AB198" s="110"/>
      <c r="AC198" s="100"/>
      <c r="AD198" s="109"/>
      <c r="AE198" s="109"/>
      <c r="AF198" s="109"/>
      <c r="AG198" s="108"/>
      <c r="AH198" s="109"/>
      <c r="AI198" s="108"/>
      <c r="AJ198" s="111"/>
      <c r="AK198" s="100"/>
      <c r="AL198" s="110"/>
      <c r="AM198" s="110"/>
      <c r="AN198" s="100"/>
      <c r="AO198" s="100"/>
      <c r="AP198" s="100"/>
      <c r="AQ198" s="100"/>
      <c r="AR198" s="100"/>
      <c r="AS198" s="100"/>
      <c r="AT198" s="100"/>
      <c r="AU198" s="111"/>
      <c r="AV198" s="111"/>
    </row>
    <row r="199" spans="1:48" ht="16.3">
      <c r="A199" s="83" t="s">
        <v>3</v>
      </c>
      <c r="B199" s="539">
        <f>SUM(L199+M199+N199+O199+P199+U199+X199+Y199+Z199+AC199+AK199+AL199+AK199+AO199+AR199+AS199+AU199+AV199+AW199+AX199+AP199)+2</f>
        <v>3</v>
      </c>
      <c r="C199" s="214">
        <f>SUM(L199+M199+N199+O199+P199+U199+Y199+Z199+X199+AC199+AL199+AK199+AL199+AP199+AS199+AO199+AV199+AW199+AX199+AY199+AR199+AU199)+2</f>
        <v>3</v>
      </c>
      <c r="D199" s="133"/>
      <c r="E199" s="134"/>
      <c r="F199" s="135"/>
      <c r="G199" s="136"/>
      <c r="H199" s="683"/>
      <c r="I199" s="676"/>
      <c r="J199" s="96"/>
      <c r="K199" s="96"/>
      <c r="L199" s="104"/>
      <c r="M199" s="75"/>
      <c r="N199" s="75"/>
      <c r="O199" s="75"/>
      <c r="P199" s="75"/>
      <c r="Q199" s="105"/>
      <c r="R199" s="105"/>
      <c r="S199" s="96"/>
      <c r="T199" s="109"/>
      <c r="U199" s="100"/>
      <c r="V199" s="110"/>
      <c r="W199" s="110"/>
      <c r="X199" s="100"/>
      <c r="Y199" s="100"/>
      <c r="Z199" s="100">
        <v>1</v>
      </c>
      <c r="AA199" s="110"/>
      <c r="AB199" s="110"/>
      <c r="AC199" s="100"/>
      <c r="AD199" s="109"/>
      <c r="AE199" s="109"/>
      <c r="AF199" s="109"/>
      <c r="AG199" s="108"/>
      <c r="AH199" s="109"/>
      <c r="AI199" s="108"/>
      <c r="AJ199" s="111"/>
      <c r="AK199" s="100"/>
      <c r="AL199" s="110"/>
      <c r="AM199" s="110"/>
      <c r="AN199" s="100"/>
      <c r="AO199" s="100"/>
      <c r="AP199" s="100"/>
      <c r="AQ199" s="100"/>
      <c r="AR199" s="100"/>
      <c r="AS199" s="100"/>
      <c r="AT199" s="100"/>
      <c r="AU199" s="111"/>
      <c r="AV199" s="111"/>
    </row>
    <row r="200" spans="1:48" ht="17" thickBot="1">
      <c r="A200" s="85" t="s">
        <v>4</v>
      </c>
      <c r="B200" s="541">
        <f>SUM(L200+M200+N200+O200+P200+U200+X200+Y200+Z200+AC200+AK200+AL200+AK200+AO200+AR200+AS200+AU200+AV200+AW200+AX200+AP200)+10</f>
        <v>15</v>
      </c>
      <c r="C200" s="217">
        <f>SUM(L200+M200+N200+O200+P200+U200+Y200+Z200+X200+AC200+AL200+AK200+AL200+AP200+AS200+AO200+AV200+AW200+AX200+AY200+AR200+AU200)+10</f>
        <v>15</v>
      </c>
      <c r="D200" s="144"/>
      <c r="E200" s="145"/>
      <c r="F200" s="146"/>
      <c r="G200" s="147"/>
      <c r="H200" s="684"/>
      <c r="I200" s="677"/>
      <c r="J200" s="114"/>
      <c r="K200" s="114"/>
      <c r="L200" s="113"/>
      <c r="M200" s="112"/>
      <c r="N200" s="112"/>
      <c r="O200" s="112"/>
      <c r="P200" s="112"/>
      <c r="Q200" s="127"/>
      <c r="R200" s="127"/>
      <c r="S200" s="114"/>
      <c r="T200" s="118"/>
      <c r="U200" s="116"/>
      <c r="V200" s="119"/>
      <c r="W200" s="120"/>
      <c r="X200" s="116"/>
      <c r="Y200" s="116"/>
      <c r="Z200" s="116">
        <v>5</v>
      </c>
      <c r="AA200" s="120"/>
      <c r="AB200" s="120"/>
      <c r="AC200" s="116"/>
      <c r="AD200" s="118"/>
      <c r="AE200" s="118"/>
      <c r="AF200" s="118"/>
      <c r="AG200" s="117"/>
      <c r="AH200" s="118"/>
      <c r="AI200" s="117"/>
      <c r="AJ200" s="121"/>
      <c r="AK200" s="116"/>
      <c r="AL200" s="120"/>
      <c r="AM200" s="120"/>
      <c r="AN200" s="116"/>
      <c r="AO200" s="116"/>
      <c r="AP200" s="116"/>
      <c r="AQ200" s="116"/>
      <c r="AR200" s="116"/>
      <c r="AS200" s="116"/>
      <c r="AT200" s="116"/>
      <c r="AU200" s="121"/>
      <c r="AV200" s="121"/>
    </row>
    <row r="201" spans="1:48" ht="21.1">
      <c r="A201" s="82" t="s">
        <v>611</v>
      </c>
      <c r="B201" s="539"/>
      <c r="C201" s="214"/>
      <c r="D201" s="133"/>
      <c r="E201" s="134"/>
      <c r="F201" s="135"/>
      <c r="G201" s="136"/>
      <c r="H201" s="683"/>
      <c r="I201" s="676"/>
      <c r="J201" s="96" t="s">
        <v>432</v>
      </c>
      <c r="K201" s="96" t="s">
        <v>441</v>
      </c>
      <c r="L201" s="122" t="s">
        <v>501</v>
      </c>
      <c r="M201" s="122" t="s">
        <v>501</v>
      </c>
      <c r="N201" s="104" t="s">
        <v>501</v>
      </c>
      <c r="O201" s="75"/>
      <c r="P201" s="75"/>
      <c r="Q201" s="105"/>
      <c r="R201" s="105"/>
      <c r="S201" s="96" t="s">
        <v>790</v>
      </c>
      <c r="T201" s="109" t="s">
        <v>375</v>
      </c>
      <c r="U201" s="100"/>
      <c r="V201" s="110"/>
      <c r="W201" s="110"/>
      <c r="X201" s="102"/>
      <c r="Y201" s="102" t="s">
        <v>375</v>
      </c>
      <c r="Z201" s="102"/>
      <c r="AA201" s="101" t="s">
        <v>393</v>
      </c>
      <c r="AB201" s="101"/>
      <c r="AC201" s="102" t="s">
        <v>370</v>
      </c>
      <c r="AD201" s="99" t="s">
        <v>370</v>
      </c>
      <c r="AE201" s="99"/>
      <c r="AF201" s="99" t="s">
        <v>441</v>
      </c>
      <c r="AG201" s="98"/>
      <c r="AH201" s="99" t="s">
        <v>375</v>
      </c>
      <c r="AI201" s="98"/>
      <c r="AJ201" s="103"/>
      <c r="AK201" s="102"/>
      <c r="AL201" s="101"/>
      <c r="AM201" s="101"/>
      <c r="AN201" s="102"/>
      <c r="AO201" s="102"/>
      <c r="AP201" s="102"/>
      <c r="AQ201" s="102"/>
      <c r="AR201" s="102"/>
      <c r="AS201" s="102"/>
      <c r="AT201" s="102"/>
      <c r="AU201" s="103"/>
      <c r="AV201" s="103"/>
    </row>
    <row r="202" spans="1:48" ht="16.3">
      <c r="A202" s="246" t="s">
        <v>1</v>
      </c>
      <c r="B202" s="538">
        <f>SUM(L202+M202+N202+O202+P202+U202+X202+Y202+Z202+AC202+AK202+AL202+AK202+AO202+AR202+AS202+AU202+AV202+AW202+AX202+AP202)</f>
        <v>1</v>
      </c>
      <c r="C202" s="215">
        <f>SUM(L202+M202+N202+O202+P202+U202+Y202+Z202+X202+AC202+AL202+AK202+AL202+AP202+AS202+AO202+AV202+AW202+AX202+AY202+AR202+AU202)</f>
        <v>1</v>
      </c>
      <c r="D202" s="133"/>
      <c r="E202" s="134"/>
      <c r="F202" s="135"/>
      <c r="G202" s="136"/>
      <c r="H202" s="683"/>
      <c r="I202" s="676"/>
      <c r="J202" s="96"/>
      <c r="K202" s="96"/>
      <c r="L202" s="75"/>
      <c r="M202" s="128"/>
      <c r="N202" s="75"/>
      <c r="O202" s="75"/>
      <c r="P202" s="75"/>
      <c r="Q202" s="105"/>
      <c r="R202" s="105"/>
      <c r="S202" s="96"/>
      <c r="T202" s="109"/>
      <c r="U202" s="100"/>
      <c r="V202" s="110"/>
      <c r="W202" s="110"/>
      <c r="X202" s="100"/>
      <c r="Y202" s="100"/>
      <c r="Z202" s="100"/>
      <c r="AA202" s="110"/>
      <c r="AB202" s="110"/>
      <c r="AC202" s="100">
        <v>1</v>
      </c>
      <c r="AD202" s="109">
        <v>1</v>
      </c>
      <c r="AE202" s="109"/>
      <c r="AF202" s="109"/>
      <c r="AG202" s="108"/>
      <c r="AH202" s="109"/>
      <c r="AI202" s="108"/>
      <c r="AJ202" s="111"/>
      <c r="AK202" s="100"/>
      <c r="AL202" s="110"/>
      <c r="AM202" s="110"/>
      <c r="AN202" s="100"/>
      <c r="AO202" s="100"/>
      <c r="AP202" s="100"/>
      <c r="AQ202" s="100"/>
      <c r="AR202" s="100"/>
      <c r="AS202" s="100"/>
      <c r="AT202" s="100"/>
      <c r="AU202" s="111"/>
      <c r="AV202" s="111"/>
    </row>
    <row r="203" spans="1:48" ht="16.3">
      <c r="A203" s="246" t="s">
        <v>2</v>
      </c>
      <c r="B203" s="538">
        <f>SUM(L203+M203+N203+O203+P203+U203+X203+Y203+Z203+AC203+AK203+AL203+AK203+AO203+AR203+AS203+AU203+AV203+AW203+AX203+AP203)</f>
        <v>1</v>
      </c>
      <c r="C203" s="215">
        <f>SUM(L203+M203+N203+O203+P203+U203+Y203+Z203+X203+AC203+AL203+AK203+AL203+AP203+AS203+AO203+AV203+AW203+AX203+AY203+AR203+AU203)</f>
        <v>1</v>
      </c>
      <c r="D203" s="133"/>
      <c r="E203" s="134"/>
      <c r="F203" s="135"/>
      <c r="G203" s="136"/>
      <c r="H203" s="683"/>
      <c r="I203" s="676"/>
      <c r="J203" s="96">
        <v>1</v>
      </c>
      <c r="K203" s="96">
        <v>1</v>
      </c>
      <c r="L203" s="75"/>
      <c r="M203" s="128"/>
      <c r="N203" s="75"/>
      <c r="O203" s="75"/>
      <c r="P203" s="75"/>
      <c r="Q203" s="105"/>
      <c r="R203" s="105"/>
      <c r="S203" s="96"/>
      <c r="T203" s="109">
        <v>1</v>
      </c>
      <c r="U203" s="100"/>
      <c r="V203" s="110"/>
      <c r="W203" s="110"/>
      <c r="X203" s="100"/>
      <c r="Y203" s="100">
        <v>1</v>
      </c>
      <c r="Z203" s="100"/>
      <c r="AA203" s="110"/>
      <c r="AB203" s="110"/>
      <c r="AC203" s="100"/>
      <c r="AD203" s="109"/>
      <c r="AE203" s="109"/>
      <c r="AF203" s="109">
        <v>1</v>
      </c>
      <c r="AG203" s="108"/>
      <c r="AH203" s="109">
        <v>1</v>
      </c>
      <c r="AI203" s="108"/>
      <c r="AJ203" s="111"/>
      <c r="AK203" s="100"/>
      <c r="AL203" s="110"/>
      <c r="AM203" s="110"/>
      <c r="AN203" s="100"/>
      <c r="AO203" s="100"/>
      <c r="AP203" s="100"/>
      <c r="AQ203" s="100"/>
      <c r="AR203" s="100"/>
      <c r="AS203" s="100"/>
      <c r="AT203" s="100"/>
      <c r="AU203" s="111"/>
      <c r="AV203" s="111"/>
    </row>
    <row r="204" spans="1:48" ht="16.3">
      <c r="A204" s="83" t="s">
        <v>363</v>
      </c>
      <c r="B204" s="539">
        <f t="shared" ref="B204" si="26">SUM(B202+B203)</f>
        <v>2</v>
      </c>
      <c r="C204" s="214">
        <f t="shared" ref="C204" si="27">SUM(C202+C203)</f>
        <v>2</v>
      </c>
      <c r="D204" s="133"/>
      <c r="E204" s="134"/>
      <c r="F204" s="135"/>
      <c r="G204" s="136"/>
      <c r="H204" s="683"/>
      <c r="I204" s="676"/>
      <c r="J204" s="96"/>
      <c r="K204" s="96"/>
      <c r="L204" s="75"/>
      <c r="M204" s="128"/>
      <c r="N204" s="75"/>
      <c r="O204" s="75"/>
      <c r="P204" s="75"/>
      <c r="Q204" s="105"/>
      <c r="R204" s="105"/>
      <c r="S204" s="96"/>
      <c r="T204" s="109"/>
      <c r="U204" s="100"/>
      <c r="V204" s="110"/>
      <c r="W204" s="110"/>
      <c r="X204" s="100"/>
      <c r="Y204" s="100"/>
      <c r="Z204" s="100"/>
      <c r="AA204" s="110"/>
      <c r="AB204" s="110"/>
      <c r="AC204" s="100"/>
      <c r="AD204" s="109"/>
      <c r="AE204" s="109"/>
      <c r="AF204" s="109"/>
      <c r="AG204" s="108"/>
      <c r="AH204" s="109"/>
      <c r="AI204" s="108"/>
      <c r="AJ204" s="111"/>
      <c r="AK204" s="100"/>
      <c r="AL204" s="110"/>
      <c r="AM204" s="110"/>
      <c r="AN204" s="100"/>
      <c r="AO204" s="100"/>
      <c r="AP204" s="100"/>
      <c r="AQ204" s="100"/>
      <c r="AR204" s="100"/>
      <c r="AS204" s="100"/>
      <c r="AT204" s="100"/>
      <c r="AU204" s="111"/>
      <c r="AV204" s="111"/>
    </row>
    <row r="205" spans="1:48" ht="16.3">
      <c r="A205" s="246" t="s">
        <v>362</v>
      </c>
      <c r="B205" s="538">
        <f>SUM(L205+M205+N205+O205+P205+U205+X205+Y205+Z205+AC205+AK205+AL205+AK205+AO205+AR205+AS205+AU205+AV205+AW205+AX205+AP205)</f>
        <v>0</v>
      </c>
      <c r="C205" s="215">
        <f>SUM(L205+M205+N205+O205+P205+U205+Y205+Z205+X205+AC205+AL205+AK205+AL205+AP205+AS205+AO205+AV205+AW205+AX205+AY205+AR205+AU205)</f>
        <v>0</v>
      </c>
      <c r="D205" s="133"/>
      <c r="E205" s="134"/>
      <c r="F205" s="135"/>
      <c r="G205" s="136"/>
      <c r="H205" s="683"/>
      <c r="I205" s="676"/>
      <c r="J205" s="96"/>
      <c r="K205" s="96">
        <v>1</v>
      </c>
      <c r="L205" s="75"/>
      <c r="M205" s="128"/>
      <c r="N205" s="75"/>
      <c r="O205" s="75"/>
      <c r="P205" s="75"/>
      <c r="Q205" s="105"/>
      <c r="R205" s="105"/>
      <c r="S205" s="96"/>
      <c r="T205" s="109"/>
      <c r="U205" s="100"/>
      <c r="V205" s="110"/>
      <c r="W205" s="110"/>
      <c r="X205" s="100"/>
      <c r="Y205" s="100"/>
      <c r="Z205" s="100"/>
      <c r="AA205" s="110"/>
      <c r="AB205" s="110"/>
      <c r="AC205" s="100"/>
      <c r="AD205" s="109"/>
      <c r="AE205" s="109"/>
      <c r="AF205" s="109">
        <v>1</v>
      </c>
      <c r="AG205" s="108"/>
      <c r="AH205" s="109"/>
      <c r="AI205" s="108"/>
      <c r="AJ205" s="111"/>
      <c r="AK205" s="100"/>
      <c r="AL205" s="110"/>
      <c r="AM205" s="110"/>
      <c r="AN205" s="100"/>
      <c r="AO205" s="100"/>
      <c r="AP205" s="100"/>
      <c r="AQ205" s="100"/>
      <c r="AR205" s="100"/>
      <c r="AS205" s="100"/>
      <c r="AT205" s="100"/>
      <c r="AU205" s="111"/>
      <c r="AV205" s="111"/>
    </row>
    <row r="206" spans="1:48" ht="16.3">
      <c r="A206" s="83" t="s">
        <v>3</v>
      </c>
      <c r="B206" s="539">
        <f>SUM(L206+M206+N206+O206+P206+U206+X206+Y206+Z206+AC206+AK206+AL206+AK206+AO206+AR206+AS206+AU206+AV206+AW206+AX206+AP206)</f>
        <v>0</v>
      </c>
      <c r="C206" s="214">
        <f>SUM(L206+M206+N206+O206+P206+U206+Y206+Z206+X206+AC206+AL206+AK206+AL206+AP206+AS206+AO206+AV206+AW206+AX206+AY206+AR206+AU206)</f>
        <v>0</v>
      </c>
      <c r="D206" s="133"/>
      <c r="E206" s="134"/>
      <c r="F206" s="135"/>
      <c r="G206" s="136"/>
      <c r="H206" s="683"/>
      <c r="I206" s="676"/>
      <c r="J206" s="96"/>
      <c r="K206" s="96"/>
      <c r="L206" s="75"/>
      <c r="M206" s="128"/>
      <c r="N206" s="75"/>
      <c r="O206" s="75"/>
      <c r="P206" s="75"/>
      <c r="Q206" s="105"/>
      <c r="R206" s="105"/>
      <c r="S206" s="96"/>
      <c r="T206" s="109"/>
      <c r="U206" s="100"/>
      <c r="V206" s="110"/>
      <c r="W206" s="110"/>
      <c r="X206" s="100"/>
      <c r="Y206" s="100"/>
      <c r="Z206" s="100"/>
      <c r="AA206" s="110"/>
      <c r="AB206" s="110"/>
      <c r="AC206" s="100"/>
      <c r="AD206" s="109"/>
      <c r="AE206" s="109"/>
      <c r="AF206" s="109"/>
      <c r="AG206" s="108"/>
      <c r="AH206" s="109"/>
      <c r="AI206" s="108"/>
      <c r="AJ206" s="111"/>
      <c r="AK206" s="100"/>
      <c r="AL206" s="110"/>
      <c r="AM206" s="110"/>
      <c r="AN206" s="100"/>
      <c r="AO206" s="100"/>
      <c r="AP206" s="100"/>
      <c r="AQ206" s="100"/>
      <c r="AR206" s="100"/>
      <c r="AS206" s="100"/>
      <c r="AT206" s="100"/>
      <c r="AU206" s="111"/>
      <c r="AV206" s="111"/>
    </row>
    <row r="207" spans="1:48" ht="17" thickBot="1">
      <c r="A207" s="85" t="s">
        <v>4</v>
      </c>
      <c r="B207" s="541">
        <f>SUM(L207+M207+N207+O207+P207+U207+X207+Y207+Z207+AC207+AK207+AL207+AK207+AO207+AR207+AS207+AU207+AV207+AW207+AX207+AP207)</f>
        <v>0</v>
      </c>
      <c r="C207" s="217">
        <f>SUM(L207+M207+N207+O207+P207+U207+Y207+Z207+X207+AC207+AL207+AK207+AL207+AP207+AS207+AO207+AV207+AW207+AX207+AY207+AR207+AU207)</f>
        <v>0</v>
      </c>
      <c r="D207" s="144"/>
      <c r="E207" s="145"/>
      <c r="F207" s="146"/>
      <c r="G207" s="147"/>
      <c r="H207" s="684"/>
      <c r="I207" s="677"/>
      <c r="J207" s="114"/>
      <c r="K207" s="114"/>
      <c r="L207" s="112"/>
      <c r="M207" s="129"/>
      <c r="N207" s="112"/>
      <c r="O207" s="112"/>
      <c r="P207" s="112"/>
      <c r="Q207" s="127"/>
      <c r="R207" s="127"/>
      <c r="S207" s="114"/>
      <c r="T207" s="118"/>
      <c r="U207" s="116"/>
      <c r="V207" s="119"/>
      <c r="W207" s="119"/>
      <c r="X207" s="100"/>
      <c r="Y207" s="100"/>
      <c r="Z207" s="100"/>
      <c r="AA207" s="110"/>
      <c r="AB207" s="110"/>
      <c r="AC207" s="100"/>
      <c r="AD207" s="109"/>
      <c r="AE207" s="109"/>
      <c r="AF207" s="109"/>
      <c r="AG207" s="108"/>
      <c r="AH207" s="109"/>
      <c r="AI207" s="108"/>
      <c r="AJ207" s="111"/>
      <c r="AK207" s="100"/>
      <c r="AL207" s="110"/>
      <c r="AM207" s="110"/>
      <c r="AN207" s="100"/>
      <c r="AO207" s="100"/>
      <c r="AP207" s="100"/>
      <c r="AQ207" s="100"/>
      <c r="AR207" s="100"/>
      <c r="AS207" s="100"/>
      <c r="AT207" s="100"/>
      <c r="AU207" s="111"/>
      <c r="AV207" s="111"/>
    </row>
    <row r="208" spans="1:48" ht="21.1">
      <c r="A208" s="82" t="s">
        <v>341</v>
      </c>
      <c r="B208" s="539"/>
      <c r="C208" s="214"/>
      <c r="D208" s="133"/>
      <c r="E208" s="134"/>
      <c r="F208" s="135"/>
      <c r="G208" s="136"/>
      <c r="H208" s="683"/>
      <c r="I208" s="676"/>
      <c r="J208" s="96" t="s">
        <v>339</v>
      </c>
      <c r="K208" s="96" t="s">
        <v>339</v>
      </c>
      <c r="L208" s="104" t="s">
        <v>339</v>
      </c>
      <c r="M208" s="75" t="s">
        <v>339</v>
      </c>
      <c r="N208" s="75" t="s">
        <v>339</v>
      </c>
      <c r="O208" s="75" t="s">
        <v>339</v>
      </c>
      <c r="P208" s="75" t="s">
        <v>339</v>
      </c>
      <c r="Q208" s="105"/>
      <c r="R208" s="105"/>
      <c r="S208" s="96" t="s">
        <v>339</v>
      </c>
      <c r="T208" s="109" t="s">
        <v>339</v>
      </c>
      <c r="U208" s="100" t="s">
        <v>339</v>
      </c>
      <c r="V208" s="110" t="s">
        <v>339</v>
      </c>
      <c r="W208" s="110" t="s">
        <v>339</v>
      </c>
      <c r="X208" s="102" t="s">
        <v>339</v>
      </c>
      <c r="Y208" s="102" t="s">
        <v>339</v>
      </c>
      <c r="Z208" s="102" t="s">
        <v>339</v>
      </c>
      <c r="AA208" s="101" t="s">
        <v>339</v>
      </c>
      <c r="AB208" s="101" t="s">
        <v>339</v>
      </c>
      <c r="AC208" s="102" t="s">
        <v>339</v>
      </c>
      <c r="AD208" s="99" t="s">
        <v>369</v>
      </c>
      <c r="AE208" s="99" t="s">
        <v>369</v>
      </c>
      <c r="AF208" s="99" t="s">
        <v>369</v>
      </c>
      <c r="AG208" s="98"/>
      <c r="AH208" s="99" t="s">
        <v>369</v>
      </c>
      <c r="AI208" s="98"/>
      <c r="AJ208" s="103"/>
      <c r="AK208" s="102"/>
      <c r="AL208" s="101"/>
      <c r="AM208" s="101"/>
      <c r="AN208" s="102"/>
      <c r="AO208" s="102"/>
      <c r="AP208" s="102"/>
      <c r="AQ208" s="102"/>
      <c r="AR208" s="102"/>
      <c r="AS208" s="102"/>
      <c r="AT208" s="102"/>
      <c r="AU208" s="103"/>
      <c r="AV208" s="103"/>
    </row>
    <row r="209" spans="1:50" ht="16.3">
      <c r="A209" s="246" t="s">
        <v>1</v>
      </c>
      <c r="B209" s="538">
        <f>SUM(L209+M209+N209+O209+P209+U209+X209+Y209+Z209+AC209+AK209+AL209+AK209+AO209+AR209+AS209+AU209+AV209+AW209+AX209+AP209)+2</f>
        <v>2</v>
      </c>
      <c r="C209" s="215">
        <f>SUM(L209+M209+N209+O209+P209+U209+Y209+Z209+X209+AC209+AL209+AK209+AL209+AP209+AS209+AO209+AV209+AW209+AX209+AY209+AR209+AU209)+12</f>
        <v>12</v>
      </c>
      <c r="D209" s="133"/>
      <c r="E209" s="134"/>
      <c r="F209" s="135"/>
      <c r="G209" s="136"/>
      <c r="H209" s="683"/>
      <c r="I209" s="676"/>
      <c r="J209" s="96"/>
      <c r="K209" s="96"/>
      <c r="L209" s="104"/>
      <c r="M209" s="75"/>
      <c r="N209" s="75"/>
      <c r="O209" s="75"/>
      <c r="P209" s="75"/>
      <c r="Q209" s="105"/>
      <c r="R209" s="105"/>
      <c r="S209" s="96"/>
      <c r="T209" s="96"/>
      <c r="U209" s="75"/>
      <c r="V209" s="106"/>
      <c r="W209" s="106"/>
      <c r="X209" s="75"/>
      <c r="Y209" s="75"/>
      <c r="Z209" s="75"/>
      <c r="AA209" s="106"/>
      <c r="AB209" s="106"/>
      <c r="AC209" s="75"/>
      <c r="AD209" s="96">
        <v>1</v>
      </c>
      <c r="AE209" s="96">
        <v>1</v>
      </c>
      <c r="AF209" s="96">
        <v>1</v>
      </c>
      <c r="AG209" s="105"/>
      <c r="AH209" s="96">
        <v>1</v>
      </c>
      <c r="AI209" s="105"/>
      <c r="AJ209" s="107"/>
      <c r="AK209" s="75"/>
      <c r="AL209" s="106"/>
      <c r="AM209" s="106"/>
      <c r="AN209" s="75"/>
      <c r="AO209" s="75"/>
      <c r="AP209" s="75"/>
      <c r="AQ209" s="75"/>
      <c r="AR209" s="75"/>
      <c r="AS209" s="75"/>
      <c r="AT209" s="75"/>
      <c r="AU209" s="107"/>
      <c r="AV209" s="107"/>
    </row>
    <row r="210" spans="1:50" ht="16.3">
      <c r="A210" s="246" t="s">
        <v>2</v>
      </c>
      <c r="B210" s="538">
        <f>SUM(L210+M210+N210+O210+P210+U210+X210+Y210+Z210+AC210+AK210+AL210+AK210+AO210+AR210+AS210+AU210+AV210+AW210+AX210+AP210)+6</f>
        <v>6</v>
      </c>
      <c r="C210" s="215">
        <f>SUM(L210+M210+N210+O210+P210+U210+Y210+Z210+X210+AC210+AL210+AK210+AL210+AP210+AS210+AO210+AV210+AW210+AX210+AY210+AR210+AU210)+16</f>
        <v>16</v>
      </c>
      <c r="D210" s="133"/>
      <c r="E210" s="134"/>
      <c r="F210" s="135"/>
      <c r="G210" s="136"/>
      <c r="H210" s="683"/>
      <c r="I210" s="676"/>
      <c r="J210" s="96"/>
      <c r="K210" s="96"/>
      <c r="L210" s="104"/>
      <c r="M210" s="75"/>
      <c r="N210" s="75"/>
      <c r="O210" s="75"/>
      <c r="P210" s="75"/>
      <c r="Q210" s="105"/>
      <c r="R210" s="105"/>
      <c r="S210" s="96"/>
      <c r="T210" s="109"/>
      <c r="U210" s="100"/>
      <c r="V210" s="110"/>
      <c r="W210" s="110"/>
      <c r="X210" s="100"/>
      <c r="Y210" s="100"/>
      <c r="Z210" s="100"/>
      <c r="AA210" s="110"/>
      <c r="AB210" s="110"/>
      <c r="AC210" s="100"/>
      <c r="AD210" s="109"/>
      <c r="AE210" s="109"/>
      <c r="AF210" s="109"/>
      <c r="AG210" s="108"/>
      <c r="AH210" s="109"/>
      <c r="AI210" s="108"/>
      <c r="AJ210" s="111"/>
      <c r="AK210" s="100"/>
      <c r="AL210" s="110"/>
      <c r="AM210" s="110"/>
      <c r="AN210" s="100"/>
      <c r="AO210" s="100"/>
      <c r="AP210" s="100"/>
      <c r="AQ210" s="100"/>
      <c r="AR210" s="100"/>
      <c r="AS210" s="100"/>
      <c r="AT210" s="100"/>
      <c r="AU210" s="111"/>
      <c r="AV210" s="111"/>
    </row>
    <row r="211" spans="1:50" ht="16.3">
      <c r="A211" s="83" t="s">
        <v>363</v>
      </c>
      <c r="B211" s="539">
        <f t="shared" ref="B211" si="28">SUM(B209+B210)</f>
        <v>8</v>
      </c>
      <c r="C211" s="214">
        <f t="shared" ref="C211" si="29">SUM(C209+C210)</f>
        <v>28</v>
      </c>
      <c r="D211" s="133"/>
      <c r="E211" s="134"/>
      <c r="F211" s="135"/>
      <c r="G211" s="136"/>
      <c r="H211" s="683"/>
      <c r="I211" s="676"/>
      <c r="J211" s="96"/>
      <c r="K211" s="96"/>
      <c r="L211" s="104"/>
      <c r="M211" s="75"/>
      <c r="N211" s="75"/>
      <c r="O211" s="75"/>
      <c r="P211" s="75"/>
      <c r="Q211" s="105"/>
      <c r="R211" s="105"/>
      <c r="S211" s="96"/>
      <c r="T211" s="109"/>
      <c r="U211" s="100"/>
      <c r="V211" s="110"/>
      <c r="W211" s="110"/>
      <c r="X211" s="100"/>
      <c r="Y211" s="100"/>
      <c r="Z211" s="100"/>
      <c r="AA211" s="110"/>
      <c r="AB211" s="110"/>
      <c r="AC211" s="100"/>
      <c r="AD211" s="109"/>
      <c r="AE211" s="109"/>
      <c r="AF211" s="109"/>
      <c r="AG211" s="108"/>
      <c r="AH211" s="109"/>
      <c r="AI211" s="108"/>
      <c r="AJ211" s="111"/>
      <c r="AK211" s="100"/>
      <c r="AL211" s="110"/>
      <c r="AM211" s="110"/>
      <c r="AN211" s="100"/>
      <c r="AO211" s="100"/>
      <c r="AP211" s="100"/>
      <c r="AQ211" s="100"/>
      <c r="AR211" s="100"/>
      <c r="AS211" s="100"/>
      <c r="AT211" s="100"/>
      <c r="AU211" s="111"/>
      <c r="AV211" s="111"/>
    </row>
    <row r="212" spans="1:50" ht="16.3">
      <c r="A212" s="246" t="s">
        <v>362</v>
      </c>
      <c r="B212" s="538">
        <f>SUM(L212+M212+N212+O212+P212+U212+X212+Y212+Z212+AC212+AK212+AL212+AK212+AO212+AR212+AS212+AU212+AV212+AW212+AX212+AP212)</f>
        <v>0</v>
      </c>
      <c r="C212" s="215">
        <f>SUM(L212+M212+N212+O212+P212+U212+Y212+Z212+X212+AC212+AL212+AK212+AL212+AP212+AS212+AO212+AV212+AW212+AX212+AY212+AR212+AU212)+1</f>
        <v>1</v>
      </c>
      <c r="D212" s="133"/>
      <c r="E212" s="134"/>
      <c r="F212" s="135"/>
      <c r="G212" s="136"/>
      <c r="H212" s="683"/>
      <c r="I212" s="676"/>
      <c r="J212" s="96"/>
      <c r="K212" s="96"/>
      <c r="L212" s="104"/>
      <c r="M212" s="75"/>
      <c r="N212" s="75"/>
      <c r="O212" s="75"/>
      <c r="P212" s="75"/>
      <c r="Q212" s="105"/>
      <c r="R212" s="105"/>
      <c r="S212" s="96"/>
      <c r="T212" s="109"/>
      <c r="U212" s="100"/>
      <c r="V212" s="110"/>
      <c r="W212" s="110"/>
      <c r="X212" s="100"/>
      <c r="Y212" s="100"/>
      <c r="Z212" s="100"/>
      <c r="AA212" s="110"/>
      <c r="AB212" s="110"/>
      <c r="AC212" s="100"/>
      <c r="AD212" s="109"/>
      <c r="AE212" s="109"/>
      <c r="AF212" s="109"/>
      <c r="AG212" s="108"/>
      <c r="AH212" s="109"/>
      <c r="AI212" s="108"/>
      <c r="AJ212" s="111"/>
      <c r="AK212" s="100"/>
      <c r="AL212" s="110"/>
      <c r="AM212" s="110"/>
      <c r="AN212" s="100"/>
      <c r="AO212" s="100"/>
      <c r="AP212" s="100"/>
      <c r="AQ212" s="100"/>
      <c r="AR212" s="100"/>
      <c r="AS212" s="100"/>
      <c r="AT212" s="100"/>
      <c r="AU212" s="111"/>
      <c r="AV212" s="111"/>
    </row>
    <row r="213" spans="1:50" ht="16.3">
      <c r="A213" s="83" t="s">
        <v>3</v>
      </c>
      <c r="B213" s="539">
        <f>SUM(L213+M213+N213+O213+P213+U213+X213+Y213+Z213+AC213+AK213+AL213+AK213+AO213+AR213+AS213+AU213+AV213+AW213+AX213+AP213)</f>
        <v>0</v>
      </c>
      <c r="C213" s="214">
        <f>SUM(L213+M213+N213+O213+P213+U213+Y213+Z213+X213+AC213+AL213+AK213+AL213+AP213+AS213+AO213+AV213+AW213+AX213+AY213+AR213+AU213)</f>
        <v>0</v>
      </c>
      <c r="D213" s="133"/>
      <c r="E213" s="134"/>
      <c r="F213" s="135"/>
      <c r="G213" s="136"/>
      <c r="H213" s="683"/>
      <c r="I213" s="676"/>
      <c r="J213" s="96"/>
      <c r="K213" s="96"/>
      <c r="L213" s="104"/>
      <c r="M213" s="75"/>
      <c r="N213" s="75"/>
      <c r="O213" s="75"/>
      <c r="P213" s="75"/>
      <c r="Q213" s="105"/>
      <c r="R213" s="105"/>
      <c r="S213" s="96"/>
      <c r="T213" s="109"/>
      <c r="U213" s="100"/>
      <c r="V213" s="110"/>
      <c r="W213" s="110"/>
      <c r="X213" s="100"/>
      <c r="Y213" s="100"/>
      <c r="Z213" s="100"/>
      <c r="AA213" s="110"/>
      <c r="AB213" s="110"/>
      <c r="AC213" s="100"/>
      <c r="AD213" s="109"/>
      <c r="AE213" s="109"/>
      <c r="AF213" s="109"/>
      <c r="AG213" s="108"/>
      <c r="AH213" s="109"/>
      <c r="AI213" s="108"/>
      <c r="AJ213" s="111"/>
      <c r="AK213" s="100"/>
      <c r="AL213" s="110"/>
      <c r="AM213" s="110"/>
      <c r="AN213" s="100"/>
      <c r="AO213" s="100"/>
      <c r="AP213" s="100"/>
      <c r="AQ213" s="100"/>
      <c r="AR213" s="100"/>
      <c r="AS213" s="100"/>
      <c r="AT213" s="100"/>
      <c r="AU213" s="111"/>
      <c r="AV213" s="111"/>
    </row>
    <row r="214" spans="1:50" ht="17" thickBot="1">
      <c r="A214" s="85" t="s">
        <v>4</v>
      </c>
      <c r="B214" s="541">
        <f>SUM(L214+M214+N214+O214+P214+U214+X214+Y214+Z214+AC214+AK214+AL214+AK214+AO214+AR214+AS214+AU214+AV214+AW214+AX214+AP214)</f>
        <v>0</v>
      </c>
      <c r="C214" s="217">
        <f>SUM(L214+M214+N214+O214+P214+U214+Y214+Z214+X214+AC214+AL214+AK214+AL214+AP214+AS214+AO214+AV214+AW214+AX214+AY214+AR214+AU214)</f>
        <v>0</v>
      </c>
      <c r="D214" s="144"/>
      <c r="E214" s="145"/>
      <c r="F214" s="146"/>
      <c r="G214" s="147"/>
      <c r="H214" s="684"/>
      <c r="I214" s="677"/>
      <c r="J214" s="114"/>
      <c r="K214" s="114"/>
      <c r="L214" s="113"/>
      <c r="M214" s="112"/>
      <c r="N214" s="112"/>
      <c r="O214" s="112"/>
      <c r="P214" s="112"/>
      <c r="Q214" s="127"/>
      <c r="R214" s="127"/>
      <c r="S214" s="114"/>
      <c r="T214" s="118"/>
      <c r="U214" s="116"/>
      <c r="V214" s="119"/>
      <c r="W214" s="119"/>
      <c r="X214" s="116"/>
      <c r="Y214" s="116"/>
      <c r="Z214" s="116"/>
      <c r="AA214" s="120"/>
      <c r="AB214" s="120"/>
      <c r="AC214" s="116"/>
      <c r="AD214" s="118"/>
      <c r="AE214" s="118"/>
      <c r="AF214" s="118"/>
      <c r="AG214" s="117"/>
      <c r="AH214" s="118"/>
      <c r="AI214" s="117"/>
      <c r="AJ214" s="121"/>
      <c r="AK214" s="116"/>
      <c r="AL214" s="120"/>
      <c r="AM214" s="120"/>
      <c r="AN214" s="116"/>
      <c r="AO214" s="116"/>
      <c r="AP214" s="112"/>
      <c r="AQ214" s="116"/>
      <c r="AR214" s="116"/>
      <c r="AS214" s="116"/>
      <c r="AT214" s="116"/>
      <c r="AU214" s="121"/>
      <c r="AV214" s="121"/>
    </row>
    <row r="215" spans="1:50" ht="21.1">
      <c r="A215" s="82" t="s">
        <v>642</v>
      </c>
      <c r="B215" s="539"/>
      <c r="C215" s="214"/>
      <c r="D215" s="133"/>
      <c r="E215" s="134"/>
      <c r="F215" s="135"/>
      <c r="G215" s="136"/>
      <c r="H215" s="683"/>
      <c r="I215" s="676"/>
      <c r="J215" s="109"/>
      <c r="K215" s="96" t="s">
        <v>432</v>
      </c>
      <c r="L215" s="104"/>
      <c r="M215" s="75"/>
      <c r="N215" s="75"/>
      <c r="O215" s="75"/>
      <c r="P215" s="75"/>
      <c r="Q215" s="105"/>
      <c r="R215" s="105"/>
      <c r="S215" s="96" t="s">
        <v>369</v>
      </c>
      <c r="T215" s="109" t="s">
        <v>369</v>
      </c>
      <c r="U215" s="100"/>
      <c r="V215" s="110"/>
      <c r="W215" s="110" t="s">
        <v>375</v>
      </c>
      <c r="X215" s="100"/>
      <c r="Y215" s="100"/>
      <c r="Z215" s="100"/>
      <c r="AA215" s="110"/>
      <c r="AB215" s="110"/>
      <c r="AC215" s="100"/>
      <c r="AD215" s="109" t="s">
        <v>375</v>
      </c>
      <c r="AE215" s="109" t="s">
        <v>375</v>
      </c>
      <c r="AF215" s="109" t="s">
        <v>375</v>
      </c>
      <c r="AG215" s="108"/>
      <c r="AH215" s="109" t="s">
        <v>375</v>
      </c>
      <c r="AI215" s="108"/>
      <c r="AJ215" s="111"/>
      <c r="AK215" s="100"/>
      <c r="AL215" s="110"/>
      <c r="AM215" s="110"/>
      <c r="AN215" s="100"/>
      <c r="AO215" s="100"/>
      <c r="AP215" s="100"/>
      <c r="AQ215" s="100"/>
      <c r="AR215" s="100"/>
      <c r="AS215" s="100"/>
      <c r="AT215" s="100"/>
      <c r="AU215" s="111"/>
      <c r="AV215" s="111"/>
    </row>
    <row r="216" spans="1:50" ht="16.3">
      <c r="A216" s="246" t="s">
        <v>1</v>
      </c>
      <c r="B216" s="538">
        <f>SUM(L216+M216+N216+O216+P216+U216+X216+Y216+Z216+AC216+AK216+AL216+AK216+AO216+AR216+AS216+AU216+AV216+AW216+AX216+AP216)</f>
        <v>0</v>
      </c>
      <c r="C216" s="215">
        <f>SUM(L216+M216+N216+O216+P216+U216+Y216+Z216+X216+AC216+AL216+AK216+AL216+AP216+AS216+AO216+AV216+AW216+AX216+AY216+AR216+AU216)</f>
        <v>0</v>
      </c>
      <c r="D216" s="133"/>
      <c r="E216" s="134"/>
      <c r="F216" s="135"/>
      <c r="G216" s="136"/>
      <c r="H216" s="683"/>
      <c r="I216" s="676"/>
      <c r="J216" s="109"/>
      <c r="K216" s="96"/>
      <c r="L216" s="104"/>
      <c r="M216" s="75"/>
      <c r="N216" s="75"/>
      <c r="O216" s="75"/>
      <c r="P216" s="75"/>
      <c r="Q216" s="105"/>
      <c r="R216" s="105"/>
      <c r="S216" s="96">
        <v>1</v>
      </c>
      <c r="T216" s="109">
        <v>1</v>
      </c>
      <c r="U216" s="100"/>
      <c r="V216" s="110"/>
      <c r="W216" s="110"/>
      <c r="X216" s="100"/>
      <c r="Y216" s="100"/>
      <c r="Z216" s="100"/>
      <c r="AA216" s="110"/>
      <c r="AB216" s="110"/>
      <c r="AC216" s="100"/>
      <c r="AD216" s="109"/>
      <c r="AE216" s="109"/>
      <c r="AF216" s="109"/>
      <c r="AG216" s="108"/>
      <c r="AH216" s="109"/>
      <c r="AI216" s="108"/>
      <c r="AJ216" s="111"/>
      <c r="AK216" s="100"/>
      <c r="AL216" s="110"/>
      <c r="AM216" s="110"/>
      <c r="AN216" s="100"/>
      <c r="AO216" s="100"/>
      <c r="AP216" s="100"/>
      <c r="AQ216" s="100"/>
      <c r="AR216" s="100"/>
      <c r="AS216" s="100"/>
      <c r="AT216" s="100"/>
      <c r="AU216" s="111"/>
      <c r="AV216" s="111"/>
    </row>
    <row r="217" spans="1:50" ht="16.3">
      <c r="A217" s="246" t="s">
        <v>2</v>
      </c>
      <c r="B217" s="538">
        <f>SUM(L217+M217+N217+O217+P217+U217+X217+Y217+Z217+AC217+AK217+AL217+AK217+AO217+AR217+AS217+AU217+AV217+AW217+AX217+AP217)</f>
        <v>0</v>
      </c>
      <c r="C217" s="215">
        <f>SUM(L217+M217+N217+O217+P217+U217+Y217+Z217+X217+AC217+AL217+AK217+AL217+AP217+AS217+AO217+AV217+AW217+AX217+AY217+AR217+AU217)</f>
        <v>0</v>
      </c>
      <c r="D217" s="133"/>
      <c r="E217" s="134"/>
      <c r="F217" s="135"/>
      <c r="G217" s="136"/>
      <c r="H217" s="683"/>
      <c r="I217" s="676"/>
      <c r="J217" s="109"/>
      <c r="K217" s="96">
        <v>1</v>
      </c>
      <c r="L217" s="104"/>
      <c r="M217" s="75"/>
      <c r="N217" s="75"/>
      <c r="O217" s="75"/>
      <c r="P217" s="75"/>
      <c r="Q217" s="105"/>
      <c r="R217" s="105"/>
      <c r="S217" s="96"/>
      <c r="T217" s="109"/>
      <c r="U217" s="100"/>
      <c r="V217" s="110"/>
      <c r="W217" s="110">
        <v>1</v>
      </c>
      <c r="X217" s="100"/>
      <c r="Y217" s="100"/>
      <c r="Z217" s="100"/>
      <c r="AA217" s="110"/>
      <c r="AB217" s="110"/>
      <c r="AC217" s="100"/>
      <c r="AD217" s="109">
        <v>1</v>
      </c>
      <c r="AE217" s="109">
        <v>1</v>
      </c>
      <c r="AF217" s="109">
        <v>1</v>
      </c>
      <c r="AG217" s="108"/>
      <c r="AH217" s="109">
        <v>1</v>
      </c>
      <c r="AI217" s="108"/>
      <c r="AJ217" s="111"/>
      <c r="AK217" s="100"/>
      <c r="AL217" s="110"/>
      <c r="AM217" s="110"/>
      <c r="AN217" s="100"/>
      <c r="AO217" s="100"/>
      <c r="AP217" s="100"/>
      <c r="AQ217" s="100"/>
      <c r="AR217" s="100"/>
      <c r="AS217" s="100"/>
      <c r="AT217" s="100"/>
      <c r="AU217" s="111"/>
      <c r="AV217" s="111"/>
    </row>
    <row r="218" spans="1:50" ht="16.3">
      <c r="A218" s="83" t="s">
        <v>363</v>
      </c>
      <c r="B218" s="539">
        <f t="shared" ref="B218:C218" si="30">SUM(B216+B217)</f>
        <v>0</v>
      </c>
      <c r="C218" s="214">
        <f t="shared" si="30"/>
        <v>0</v>
      </c>
      <c r="D218" s="133"/>
      <c r="E218" s="134"/>
      <c r="F218" s="135"/>
      <c r="G218" s="136"/>
      <c r="H218" s="683"/>
      <c r="I218" s="676"/>
      <c r="J218" s="109"/>
      <c r="K218" s="96"/>
      <c r="L218" s="104"/>
      <c r="M218" s="75"/>
      <c r="N218" s="75"/>
      <c r="O218" s="75"/>
      <c r="P218" s="75"/>
      <c r="Q218" s="105"/>
      <c r="R218" s="105"/>
      <c r="S218" s="96"/>
      <c r="T218" s="109"/>
      <c r="U218" s="100"/>
      <c r="V218" s="110"/>
      <c r="W218" s="110"/>
      <c r="X218" s="100"/>
      <c r="Y218" s="100"/>
      <c r="Z218" s="100"/>
      <c r="AA218" s="110"/>
      <c r="AB218" s="110"/>
      <c r="AC218" s="100"/>
      <c r="AD218" s="109"/>
      <c r="AE218" s="109"/>
      <c r="AF218" s="109"/>
      <c r="AG218" s="108"/>
      <c r="AH218" s="109"/>
      <c r="AI218" s="108"/>
      <c r="AJ218" s="111"/>
      <c r="AK218" s="100"/>
      <c r="AL218" s="110"/>
      <c r="AM218" s="110"/>
      <c r="AN218" s="100"/>
      <c r="AO218" s="100"/>
      <c r="AP218" s="100"/>
      <c r="AQ218" s="100"/>
      <c r="AR218" s="100"/>
      <c r="AS218" s="100"/>
      <c r="AT218" s="100"/>
      <c r="AU218" s="111"/>
      <c r="AV218" s="111"/>
    </row>
    <row r="219" spans="1:50" ht="16.3">
      <c r="A219" s="83" t="s">
        <v>3</v>
      </c>
      <c r="B219" s="539">
        <f>SUM(L219+M219+N219+O219+P219+U219+X219+Y219+Z219+AC219+AK219+AL219+AK219+AO219+AR219+AS219+AU219+AV219+AW219+AX219+AP219)</f>
        <v>0</v>
      </c>
      <c r="C219" s="214">
        <f>SUM(L219+M219+N219+O219+P219+U219+Y219+Z219+X219+AC219+AL219+AK219+AL219+AP219+AS219+AO219+AV219+AW219+AX219+AY219+AR219+AU219)</f>
        <v>0</v>
      </c>
      <c r="D219" s="133"/>
      <c r="E219" s="134"/>
      <c r="F219" s="135"/>
      <c r="G219" s="136"/>
      <c r="H219" s="683"/>
      <c r="I219" s="676"/>
      <c r="J219" s="109"/>
      <c r="K219" s="96"/>
      <c r="L219" s="104"/>
      <c r="M219" s="75"/>
      <c r="N219" s="75"/>
      <c r="O219" s="75"/>
      <c r="P219" s="75"/>
      <c r="Q219" s="105"/>
      <c r="R219" s="105"/>
      <c r="S219" s="96"/>
      <c r="T219" s="109"/>
      <c r="U219" s="100"/>
      <c r="V219" s="110"/>
      <c r="W219" s="110"/>
      <c r="X219" s="100"/>
      <c r="Y219" s="100"/>
      <c r="Z219" s="100"/>
      <c r="AA219" s="110"/>
      <c r="AB219" s="110"/>
      <c r="AC219" s="100"/>
      <c r="AD219" s="109"/>
      <c r="AE219" s="109"/>
      <c r="AF219" s="109"/>
      <c r="AG219" s="108"/>
      <c r="AH219" s="109"/>
      <c r="AI219" s="108"/>
      <c r="AJ219" s="111"/>
      <c r="AK219" s="100"/>
      <c r="AL219" s="110"/>
      <c r="AM219" s="110"/>
      <c r="AN219" s="100"/>
      <c r="AO219" s="100"/>
      <c r="AP219" s="100"/>
      <c r="AQ219" s="100"/>
      <c r="AR219" s="100"/>
      <c r="AS219" s="100"/>
      <c r="AT219" s="100"/>
      <c r="AU219" s="111"/>
      <c r="AV219" s="111"/>
    </row>
    <row r="220" spans="1:50" ht="17" thickBot="1">
      <c r="A220" s="85" t="s">
        <v>4</v>
      </c>
      <c r="B220" s="541">
        <f>SUM(L220+M220+N220+O220+P220+U220+X220+Y220+Z220+AC220+AK220+AL220+AK220+AO220+AR220+AS220+AU220+AV220+AW220+AX220+AP220)</f>
        <v>0</v>
      </c>
      <c r="C220" s="217">
        <f>SUM(L220+M220+N220+O220+P220+U220+Y220+Z220+X220+AC220+AL220+AK220+AL220+AP220+AS220+AO220+AV220+AW220+AX220+AY220+AR220+AU220)</f>
        <v>0</v>
      </c>
      <c r="D220" s="144"/>
      <c r="E220" s="145"/>
      <c r="F220" s="146"/>
      <c r="G220" s="147"/>
      <c r="H220" s="684"/>
      <c r="I220" s="677"/>
      <c r="J220" s="118"/>
      <c r="K220" s="114"/>
      <c r="L220" s="113"/>
      <c r="M220" s="112"/>
      <c r="N220" s="112"/>
      <c r="O220" s="112"/>
      <c r="P220" s="112"/>
      <c r="Q220" s="127"/>
      <c r="R220" s="127"/>
      <c r="S220" s="114"/>
      <c r="T220" s="118"/>
      <c r="U220" s="116"/>
      <c r="V220" s="120"/>
      <c r="W220" s="120"/>
      <c r="X220" s="116"/>
      <c r="Y220" s="116"/>
      <c r="Z220" s="116"/>
      <c r="AA220" s="120"/>
      <c r="AB220" s="120"/>
      <c r="AC220" s="116"/>
      <c r="AD220" s="118"/>
      <c r="AE220" s="118"/>
      <c r="AF220" s="118"/>
      <c r="AG220" s="117"/>
      <c r="AH220" s="118"/>
      <c r="AI220" s="117"/>
      <c r="AJ220" s="121"/>
      <c r="AK220" s="116"/>
      <c r="AL220" s="120"/>
      <c r="AM220" s="120"/>
      <c r="AN220" s="116"/>
      <c r="AO220" s="116"/>
      <c r="AP220" s="116"/>
      <c r="AQ220" s="116"/>
      <c r="AR220" s="116"/>
      <c r="AS220" s="116"/>
      <c r="AT220" s="116"/>
      <c r="AU220" s="121"/>
      <c r="AV220" s="121"/>
      <c r="AW220" s="493"/>
      <c r="AX220" s="493"/>
    </row>
    <row r="221" spans="1:50" ht="21.1">
      <c r="A221" s="82" t="s">
        <v>818</v>
      </c>
      <c r="B221" s="539"/>
      <c r="C221" s="214"/>
      <c r="D221" s="133"/>
      <c r="E221" s="134"/>
      <c r="F221" s="135"/>
      <c r="G221" s="136"/>
      <c r="H221" s="683"/>
      <c r="I221" s="676"/>
      <c r="J221" s="109"/>
      <c r="K221" s="96"/>
      <c r="L221" s="104"/>
      <c r="M221" s="75"/>
      <c r="N221" s="75"/>
      <c r="O221" s="75"/>
      <c r="P221" s="75"/>
      <c r="Q221" s="105"/>
      <c r="R221" s="105"/>
      <c r="S221" s="96" t="s">
        <v>375</v>
      </c>
      <c r="T221" s="109" t="s">
        <v>375</v>
      </c>
      <c r="U221" s="100"/>
      <c r="V221" s="110"/>
      <c r="W221" s="110"/>
      <c r="X221" s="100"/>
      <c r="Y221" s="100"/>
      <c r="Z221" s="100"/>
      <c r="AA221" s="110"/>
      <c r="AB221" s="110"/>
      <c r="AC221" s="100"/>
      <c r="AD221" s="109"/>
      <c r="AE221" s="109"/>
      <c r="AF221" s="109"/>
      <c r="AG221" s="108"/>
      <c r="AH221" s="109"/>
      <c r="AI221" s="108"/>
      <c r="AJ221" s="111"/>
      <c r="AK221" s="100"/>
      <c r="AL221" s="110"/>
      <c r="AM221" s="110"/>
      <c r="AN221" s="100"/>
      <c r="AO221" s="100"/>
      <c r="AP221" s="100"/>
      <c r="AQ221" s="100"/>
      <c r="AR221" s="100"/>
      <c r="AS221" s="100"/>
      <c r="AT221" s="100"/>
      <c r="AU221" s="111"/>
      <c r="AV221" s="111"/>
    </row>
    <row r="222" spans="1:50" ht="16.3">
      <c r="A222" s="246" t="s">
        <v>1</v>
      </c>
      <c r="B222" s="538">
        <f>SUM(L222+M222+N222+O222+P222+U222+X222+Y222+Z222+AC222+AK222+AL222+AK222+AO222+AR222+AS222+AU222+AV222+AW222+AX222+AP222)</f>
        <v>0</v>
      </c>
      <c r="C222" s="215">
        <f>SUM(L222+M222+N222+O222+P222+U222+Y222+Z222+X222+AC222+AL222+AK222+AL222+AP222+AS222+AO222+AV222+AW222+AX222+AY222+AR222+AU222)</f>
        <v>0</v>
      </c>
      <c r="D222" s="133"/>
      <c r="E222" s="134"/>
      <c r="F222" s="135"/>
      <c r="G222" s="136"/>
      <c r="H222" s="683"/>
      <c r="I222" s="676"/>
      <c r="J222" s="109"/>
      <c r="K222" s="96"/>
      <c r="L222" s="104"/>
      <c r="M222" s="75"/>
      <c r="N222" s="75"/>
      <c r="O222" s="75"/>
      <c r="P222" s="75"/>
      <c r="Q222" s="105"/>
      <c r="R222" s="105"/>
      <c r="S222" s="96"/>
      <c r="T222" s="109"/>
      <c r="U222" s="100"/>
      <c r="V222" s="110"/>
      <c r="W222" s="110"/>
      <c r="X222" s="100"/>
      <c r="Y222" s="100"/>
      <c r="Z222" s="100"/>
      <c r="AA222" s="110"/>
      <c r="AB222" s="110"/>
      <c r="AC222" s="100"/>
      <c r="AD222" s="109"/>
      <c r="AE222" s="109"/>
      <c r="AF222" s="109"/>
      <c r="AG222" s="108"/>
      <c r="AH222" s="109"/>
      <c r="AI222" s="108"/>
      <c r="AJ222" s="111"/>
      <c r="AK222" s="100"/>
      <c r="AL222" s="110"/>
      <c r="AM222" s="110"/>
      <c r="AN222" s="100"/>
      <c r="AO222" s="100"/>
      <c r="AP222" s="100"/>
      <c r="AQ222" s="100"/>
      <c r="AR222" s="100"/>
      <c r="AS222" s="100"/>
      <c r="AT222" s="100"/>
      <c r="AU222" s="111"/>
      <c r="AV222" s="111"/>
    </row>
    <row r="223" spans="1:50" ht="16.3">
      <c r="A223" s="246" t="s">
        <v>2</v>
      </c>
      <c r="B223" s="538">
        <f>SUM(L223+M223+N223+O223+P223+U223+X223+Y223+Z223+AC223+AK223+AL223+AK223+AO223+AR223+AS223+AU223+AV223+AW223+AX223+AP223)</f>
        <v>0</v>
      </c>
      <c r="C223" s="215">
        <f>SUM(L223+M223+N223+O223+P223+U223+Y223+Z223+X223+AC223+AL223+AK223+AL223+AP223+AS223+AO223+AV223+AW223+AX223+AY223+AR223+AU223)</f>
        <v>0</v>
      </c>
      <c r="D223" s="133"/>
      <c r="E223" s="134"/>
      <c r="F223" s="135"/>
      <c r="G223" s="136"/>
      <c r="H223" s="683"/>
      <c r="I223" s="676"/>
      <c r="J223" s="109"/>
      <c r="K223" s="96"/>
      <c r="L223" s="104"/>
      <c r="M223" s="75"/>
      <c r="N223" s="75"/>
      <c r="O223" s="75"/>
      <c r="P223" s="75"/>
      <c r="Q223" s="105"/>
      <c r="R223" s="105"/>
      <c r="S223" s="96">
        <v>1</v>
      </c>
      <c r="T223" s="109">
        <v>1</v>
      </c>
      <c r="U223" s="100"/>
      <c r="V223" s="110"/>
      <c r="W223" s="110"/>
      <c r="X223" s="100"/>
      <c r="Y223" s="100"/>
      <c r="Z223" s="100"/>
      <c r="AA223" s="110"/>
      <c r="AB223" s="110"/>
      <c r="AC223" s="100"/>
      <c r="AD223" s="109"/>
      <c r="AE223" s="109"/>
      <c r="AF223" s="109"/>
      <c r="AG223" s="108"/>
      <c r="AH223" s="109"/>
      <c r="AI223" s="108"/>
      <c r="AJ223" s="111"/>
      <c r="AK223" s="100"/>
      <c r="AL223" s="110"/>
      <c r="AM223" s="110"/>
      <c r="AN223" s="100"/>
      <c r="AO223" s="100"/>
      <c r="AP223" s="100"/>
      <c r="AQ223" s="100"/>
      <c r="AR223" s="100"/>
      <c r="AS223" s="100"/>
      <c r="AT223" s="100"/>
      <c r="AU223" s="111"/>
      <c r="AV223" s="111"/>
    </row>
    <row r="224" spans="1:50" ht="16.3">
      <c r="A224" s="83" t="s">
        <v>363</v>
      </c>
      <c r="B224" s="539">
        <f t="shared" ref="B224:C224" si="31">SUM(B222+B223)</f>
        <v>0</v>
      </c>
      <c r="C224" s="214">
        <f t="shared" si="31"/>
        <v>0</v>
      </c>
      <c r="D224" s="133"/>
      <c r="E224" s="134"/>
      <c r="F224" s="135"/>
      <c r="G224" s="136"/>
      <c r="H224" s="683"/>
      <c r="I224" s="676"/>
      <c r="J224" s="109"/>
      <c r="K224" s="96"/>
      <c r="L224" s="104"/>
      <c r="M224" s="75"/>
      <c r="N224" s="75"/>
      <c r="O224" s="75"/>
      <c r="P224" s="75"/>
      <c r="Q224" s="105"/>
      <c r="R224" s="105"/>
      <c r="S224" s="96"/>
      <c r="T224" s="109"/>
      <c r="U224" s="100"/>
      <c r="V224" s="110"/>
      <c r="W224" s="110"/>
      <c r="X224" s="100"/>
      <c r="Y224" s="100"/>
      <c r="Z224" s="100"/>
      <c r="AA224" s="110"/>
      <c r="AB224" s="110"/>
      <c r="AC224" s="100"/>
      <c r="AD224" s="109"/>
      <c r="AE224" s="109"/>
      <c r="AF224" s="109"/>
      <c r="AG224" s="108"/>
      <c r="AH224" s="109"/>
      <c r="AI224" s="108"/>
      <c r="AJ224" s="111"/>
      <c r="AK224" s="100"/>
      <c r="AL224" s="110"/>
      <c r="AM224" s="110"/>
      <c r="AN224" s="100"/>
      <c r="AO224" s="100"/>
      <c r="AP224" s="100"/>
      <c r="AQ224" s="100"/>
      <c r="AR224" s="100"/>
      <c r="AS224" s="100"/>
      <c r="AT224" s="100"/>
      <c r="AU224" s="111"/>
      <c r="AV224" s="111"/>
    </row>
    <row r="225" spans="1:48" ht="16.3">
      <c r="A225" s="83" t="s">
        <v>3</v>
      </c>
      <c r="B225" s="539">
        <f>SUM(L225+M225+N225+O225+P225+U225+X225+Y225+Z225+AC225+AK225+AL225+AK225+AO225+AR225+AS225+AU225+AV225+AW225+AX225+AP225)</f>
        <v>0</v>
      </c>
      <c r="C225" s="214">
        <f>SUM(L225+M225+N225+O225+P225+U225+Y225+Z225+X225+AC225+AL225+AK225+AL225+AP225+AS225+AO225+AV225+AW225+AX225+AY225+AR225+AU225)</f>
        <v>0</v>
      </c>
      <c r="D225" s="133"/>
      <c r="E225" s="134"/>
      <c r="F225" s="135"/>
      <c r="G225" s="136"/>
      <c r="H225" s="683"/>
      <c r="I225" s="676"/>
      <c r="J225" s="109"/>
      <c r="K225" s="96"/>
      <c r="L225" s="104"/>
      <c r="M225" s="75"/>
      <c r="N225" s="75"/>
      <c r="O225" s="75"/>
      <c r="P225" s="75"/>
      <c r="Q225" s="105"/>
      <c r="R225" s="105"/>
      <c r="S225" s="96"/>
      <c r="T225" s="109"/>
      <c r="U225" s="100"/>
      <c r="V225" s="110"/>
      <c r="W225" s="110"/>
      <c r="X225" s="100"/>
      <c r="Y225" s="100"/>
      <c r="Z225" s="100"/>
      <c r="AA225" s="110"/>
      <c r="AB225" s="110"/>
      <c r="AC225" s="100"/>
      <c r="AD225" s="109"/>
      <c r="AE225" s="109"/>
      <c r="AF225" s="109"/>
      <c r="AG225" s="108"/>
      <c r="AH225" s="109"/>
      <c r="AI225" s="108"/>
      <c r="AJ225" s="111"/>
      <c r="AK225" s="100"/>
      <c r="AL225" s="110"/>
      <c r="AM225" s="110"/>
      <c r="AN225" s="100"/>
      <c r="AO225" s="100"/>
      <c r="AP225" s="100"/>
      <c r="AQ225" s="100"/>
      <c r="AR225" s="100"/>
      <c r="AS225" s="100"/>
      <c r="AT225" s="100"/>
      <c r="AU225" s="111"/>
      <c r="AV225" s="111"/>
    </row>
    <row r="226" spans="1:48" ht="17" thickBot="1">
      <c r="A226" s="85" t="s">
        <v>4</v>
      </c>
      <c r="B226" s="541">
        <f>SUM(L226+M226+N226+O226+P226+U226+X226+Y226+Z226+AC226+AK226+AL226+AK226+AO226+AR226+AS226+AU226+AV226+AW226+AX226+AP226)</f>
        <v>0</v>
      </c>
      <c r="C226" s="217">
        <f>SUM(L226+M226+N226+O226+P226+U226+Y226+Z226+X226+AC226+AL226+AK226+AL226+AP226+AS226+AO226+AV226+AW226+AX226+AY226+AR226+AU226)</f>
        <v>0</v>
      </c>
      <c r="D226" s="144"/>
      <c r="E226" s="145"/>
      <c r="F226" s="146"/>
      <c r="G226" s="147"/>
      <c r="H226" s="684"/>
      <c r="I226" s="677"/>
      <c r="J226" s="118"/>
      <c r="K226" s="114"/>
      <c r="L226" s="113"/>
      <c r="M226" s="112"/>
      <c r="N226" s="112"/>
      <c r="O226" s="112"/>
      <c r="P226" s="112"/>
      <c r="Q226" s="127"/>
      <c r="R226" s="127"/>
      <c r="S226" s="114"/>
      <c r="T226" s="118"/>
      <c r="U226" s="116"/>
      <c r="V226" s="120"/>
      <c r="W226" s="120"/>
      <c r="X226" s="116"/>
      <c r="Y226" s="116"/>
      <c r="Z226" s="116"/>
      <c r="AA226" s="120"/>
      <c r="AB226" s="120"/>
      <c r="AC226" s="116"/>
      <c r="AD226" s="118"/>
      <c r="AE226" s="118"/>
      <c r="AF226" s="118"/>
      <c r="AG226" s="117"/>
      <c r="AH226" s="118"/>
      <c r="AI226" s="117"/>
      <c r="AJ226" s="121"/>
      <c r="AK226" s="116"/>
      <c r="AL226" s="120"/>
      <c r="AM226" s="120"/>
      <c r="AN226" s="116"/>
      <c r="AO226" s="116"/>
      <c r="AP226" s="116"/>
      <c r="AQ226" s="116"/>
      <c r="AR226" s="116"/>
      <c r="AS226" s="116"/>
      <c r="AT226" s="116"/>
      <c r="AU226" s="121"/>
      <c r="AV226" s="121"/>
    </row>
    <row r="227" spans="1:48" ht="21.1">
      <c r="A227" s="82" t="s">
        <v>162</v>
      </c>
      <c r="B227" s="539"/>
      <c r="C227" s="214"/>
      <c r="D227" s="133"/>
      <c r="E227" s="134"/>
      <c r="F227" s="135"/>
      <c r="G227" s="136"/>
      <c r="H227" s="683"/>
      <c r="I227" s="676"/>
      <c r="J227" s="109" t="s">
        <v>370</v>
      </c>
      <c r="K227" s="96"/>
      <c r="L227" s="104" t="s">
        <v>370</v>
      </c>
      <c r="M227" s="75" t="s">
        <v>370</v>
      </c>
      <c r="N227" s="75" t="s">
        <v>370</v>
      </c>
      <c r="O227" s="75" t="s">
        <v>370</v>
      </c>
      <c r="P227" s="75" t="s">
        <v>764</v>
      </c>
      <c r="Q227" s="105"/>
      <c r="R227" s="105"/>
      <c r="S227" s="96" t="s">
        <v>782</v>
      </c>
      <c r="T227" s="109" t="s">
        <v>782</v>
      </c>
      <c r="U227" s="100" t="s">
        <v>370</v>
      </c>
      <c r="V227" s="110" t="s">
        <v>375</v>
      </c>
      <c r="W227" s="110" t="s">
        <v>370</v>
      </c>
      <c r="X227" s="100" t="s">
        <v>375</v>
      </c>
      <c r="Y227" s="100"/>
      <c r="Z227" s="100" t="s">
        <v>370</v>
      </c>
      <c r="AA227" s="110"/>
      <c r="AB227" s="110" t="s">
        <v>375</v>
      </c>
      <c r="AC227" s="100" t="s">
        <v>339</v>
      </c>
      <c r="AD227" s="109" t="s">
        <v>339</v>
      </c>
      <c r="AE227" s="109" t="s">
        <v>339</v>
      </c>
      <c r="AF227" s="109" t="s">
        <v>339</v>
      </c>
      <c r="AG227" s="108"/>
      <c r="AH227" s="109" t="s">
        <v>339</v>
      </c>
      <c r="AI227" s="108"/>
      <c r="AJ227" s="111"/>
      <c r="AK227" s="100"/>
      <c r="AL227" s="110"/>
      <c r="AM227" s="110"/>
      <c r="AN227" s="100"/>
      <c r="AO227" s="100"/>
      <c r="AP227" s="100"/>
      <c r="AQ227" s="100"/>
      <c r="AR227" s="100"/>
      <c r="AS227" s="100"/>
      <c r="AT227" s="100"/>
      <c r="AU227" s="111"/>
      <c r="AV227" s="111"/>
    </row>
    <row r="228" spans="1:48" ht="16.3">
      <c r="A228" s="246" t="s">
        <v>1</v>
      </c>
      <c r="B228" s="538">
        <f>SUM(L228+M228+N228+O228+P228+U228+X228+Y228+Z228+AC228+AK228+AL228+AK228+AO228+AR228+AS228+AU228+AV228+AW228+AX228+AP228)+34</f>
        <v>41</v>
      </c>
      <c r="C228" s="215">
        <f>SUM(L228+M228+N228+O228+P228+U228+Y228+Z228+X228+AC228+AL228+AK228+AL228+AP228+AS228+AO228+AV228+AW228+AX228+AY228+AR228+AU228)+34</f>
        <v>41</v>
      </c>
      <c r="D228" s="133"/>
      <c r="E228" s="134"/>
      <c r="F228" s="135"/>
      <c r="G228" s="136"/>
      <c r="H228" s="683"/>
      <c r="I228" s="676"/>
      <c r="J228" s="109">
        <v>1</v>
      </c>
      <c r="K228" s="96"/>
      <c r="L228" s="104">
        <v>1</v>
      </c>
      <c r="M228" s="75">
        <v>1</v>
      </c>
      <c r="N228" s="75">
        <v>1</v>
      </c>
      <c r="O228" s="75">
        <v>1</v>
      </c>
      <c r="P228" s="75">
        <v>1</v>
      </c>
      <c r="Q228" s="105"/>
      <c r="R228" s="105"/>
      <c r="S228" s="96"/>
      <c r="T228" s="109"/>
      <c r="U228" s="100">
        <v>1</v>
      </c>
      <c r="V228" s="110"/>
      <c r="W228" s="110">
        <v>1</v>
      </c>
      <c r="X228" s="100"/>
      <c r="Y228" s="100"/>
      <c r="Z228" s="100">
        <v>1</v>
      </c>
      <c r="AA228" s="110"/>
      <c r="AB228" s="110"/>
      <c r="AC228" s="100"/>
      <c r="AD228" s="109"/>
      <c r="AE228" s="109"/>
      <c r="AF228" s="109"/>
      <c r="AG228" s="108"/>
      <c r="AH228" s="109"/>
      <c r="AI228" s="108"/>
      <c r="AJ228" s="111"/>
      <c r="AK228" s="100"/>
      <c r="AL228" s="110"/>
      <c r="AM228" s="110"/>
      <c r="AN228" s="100"/>
      <c r="AO228" s="100"/>
      <c r="AP228" s="100"/>
      <c r="AQ228" s="100"/>
      <c r="AR228" s="100"/>
      <c r="AS228" s="100"/>
      <c r="AT228" s="100"/>
      <c r="AU228" s="111"/>
      <c r="AV228" s="111"/>
    </row>
    <row r="229" spans="1:48" ht="16.3">
      <c r="A229" s="246" t="s">
        <v>2</v>
      </c>
      <c r="B229" s="538">
        <f>SUM(L229+M229+N229+O229+P229+U229+X229+Y229+Z229+AC229+AK229+AL229+AK229+AO229+AR229+AS229+AU229+AV229+AW229+AX229+AP229)+10</f>
        <v>11</v>
      </c>
      <c r="C229" s="215">
        <f>SUM(L229+M229+N229+O229+P229+U229+Y229+Z229+X229+AC229+AL229+AK229+AL229+AP229+AS229+AO229+AV229+AW229+AX229+AY229+AR229+AU229)+10</f>
        <v>11</v>
      </c>
      <c r="D229" s="133"/>
      <c r="E229" s="134"/>
      <c r="F229" s="135"/>
      <c r="G229" s="136"/>
      <c r="H229" s="683"/>
      <c r="I229" s="676"/>
      <c r="J229" s="109"/>
      <c r="K229" s="96"/>
      <c r="L229" s="104"/>
      <c r="M229" s="75"/>
      <c r="N229" s="75"/>
      <c r="O229" s="75"/>
      <c r="P229" s="75"/>
      <c r="Q229" s="105"/>
      <c r="R229" s="105"/>
      <c r="S229" s="96"/>
      <c r="T229" s="109"/>
      <c r="U229" s="100"/>
      <c r="V229" s="110">
        <v>1</v>
      </c>
      <c r="W229" s="110"/>
      <c r="X229" s="100">
        <v>1</v>
      </c>
      <c r="Y229" s="100"/>
      <c r="Z229" s="100"/>
      <c r="AA229" s="110"/>
      <c r="AB229" s="110">
        <v>1</v>
      </c>
      <c r="AC229" s="100"/>
      <c r="AD229" s="109"/>
      <c r="AE229" s="109"/>
      <c r="AF229" s="109"/>
      <c r="AG229" s="108"/>
      <c r="AH229" s="109"/>
      <c r="AI229" s="108"/>
      <c r="AJ229" s="111"/>
      <c r="AK229" s="100"/>
      <c r="AL229" s="110"/>
      <c r="AM229" s="110"/>
      <c r="AN229" s="100"/>
      <c r="AO229" s="100"/>
      <c r="AP229" s="100"/>
      <c r="AQ229" s="100"/>
      <c r="AR229" s="100"/>
      <c r="AS229" s="100"/>
      <c r="AT229" s="100"/>
      <c r="AU229" s="111"/>
      <c r="AV229" s="111"/>
    </row>
    <row r="230" spans="1:48" ht="16.3">
      <c r="A230" s="83" t="s">
        <v>363</v>
      </c>
      <c r="B230" s="539">
        <f t="shared" ref="B230:C230" si="32">SUM(B228+B229)</f>
        <v>52</v>
      </c>
      <c r="C230" s="214">
        <f t="shared" si="32"/>
        <v>52</v>
      </c>
      <c r="D230" s="133"/>
      <c r="E230" s="134"/>
      <c r="F230" s="135"/>
      <c r="G230" s="136"/>
      <c r="H230" s="683"/>
      <c r="I230" s="676"/>
      <c r="J230" s="109"/>
      <c r="K230" s="96"/>
      <c r="L230" s="104"/>
      <c r="M230" s="75"/>
      <c r="N230" s="75"/>
      <c r="O230" s="75"/>
      <c r="P230" s="75"/>
      <c r="Q230" s="105"/>
      <c r="R230" s="105"/>
      <c r="S230" s="96"/>
      <c r="T230" s="109"/>
      <c r="U230" s="100"/>
      <c r="V230" s="110"/>
      <c r="W230" s="110"/>
      <c r="X230" s="100"/>
      <c r="Y230" s="100"/>
      <c r="Z230" s="100"/>
      <c r="AA230" s="110"/>
      <c r="AB230" s="110"/>
      <c r="AC230" s="100"/>
      <c r="AD230" s="109"/>
      <c r="AE230" s="109"/>
      <c r="AF230" s="109"/>
      <c r="AG230" s="108"/>
      <c r="AH230" s="109"/>
      <c r="AI230" s="108"/>
      <c r="AJ230" s="111"/>
      <c r="AK230" s="100"/>
      <c r="AL230" s="110"/>
      <c r="AM230" s="110"/>
      <c r="AN230" s="100"/>
      <c r="AO230" s="100"/>
      <c r="AP230" s="100"/>
      <c r="AQ230" s="100"/>
      <c r="AR230" s="100"/>
      <c r="AS230" s="100"/>
      <c r="AT230" s="100"/>
      <c r="AU230" s="111"/>
      <c r="AV230" s="111"/>
    </row>
    <row r="231" spans="1:48" ht="16.3">
      <c r="A231" s="246" t="s">
        <v>362</v>
      </c>
      <c r="B231" s="538">
        <f>SUM(L231+M231+N231+O231+P231+U231+X231+Y231+Z231+AC231+AK231+AL231+AK231+AO231+AR231+AS231+AU231+AV231+AW231+AX231+AP231)</f>
        <v>1</v>
      </c>
      <c r="C231" s="215">
        <f>SUM(L231+M231+N231+O231+P231+U231+Y231+Z231+X231+AC231+AL231+AK231+AL231+AP231+AS231+AO231+AV231+AW231+AX231+AY231+AR231+AU231)</f>
        <v>1</v>
      </c>
      <c r="D231" s="133"/>
      <c r="E231" s="134"/>
      <c r="F231" s="135"/>
      <c r="G231" s="136"/>
      <c r="H231" s="683"/>
      <c r="I231" s="676"/>
      <c r="J231" s="109"/>
      <c r="K231" s="96"/>
      <c r="L231" s="104"/>
      <c r="M231" s="75"/>
      <c r="N231" s="75"/>
      <c r="O231" s="75"/>
      <c r="P231" s="75">
        <v>1</v>
      </c>
      <c r="Q231" s="105"/>
      <c r="R231" s="105"/>
      <c r="S231" s="96"/>
      <c r="T231" s="109"/>
      <c r="U231" s="100"/>
      <c r="V231" s="110"/>
      <c r="W231" s="110"/>
      <c r="X231" s="100"/>
      <c r="Y231" s="100"/>
      <c r="Z231" s="100"/>
      <c r="AA231" s="110"/>
      <c r="AB231" s="110"/>
      <c r="AC231" s="100"/>
      <c r="AD231" s="109"/>
      <c r="AE231" s="109"/>
      <c r="AF231" s="109"/>
      <c r="AG231" s="108"/>
      <c r="AH231" s="109"/>
      <c r="AI231" s="108"/>
      <c r="AJ231" s="111"/>
      <c r="AK231" s="100"/>
      <c r="AL231" s="110"/>
      <c r="AM231" s="110"/>
      <c r="AN231" s="100"/>
      <c r="AO231" s="100"/>
      <c r="AP231" s="100"/>
      <c r="AQ231" s="100"/>
      <c r="AR231" s="100"/>
      <c r="AS231" s="100"/>
      <c r="AT231" s="100"/>
      <c r="AU231" s="111"/>
      <c r="AV231" s="111"/>
    </row>
    <row r="232" spans="1:48" ht="16.3">
      <c r="A232" s="83" t="s">
        <v>3</v>
      </c>
      <c r="B232" s="539">
        <f>SUM(L232+M232+N232+O232+P232+U232+X232+Y232+Z232+AC232+AK232+AL232+AK232+AO232+AR232+AS232+AU232+AV232+AW232+AX232+AP232)+2</f>
        <v>2</v>
      </c>
      <c r="C232" s="214">
        <f>SUM(L232+M232+N232+O232+P232+U232+Y232+Z232+X232+AC232+AL232+AK232+AL232+AP232+AS232+AO232+AV232+AW232+AX232+AY232+AR232+AU232)+2</f>
        <v>2</v>
      </c>
      <c r="D232" s="133"/>
      <c r="E232" s="134"/>
      <c r="F232" s="135"/>
      <c r="G232" s="136"/>
      <c r="H232" s="683"/>
      <c r="I232" s="676"/>
      <c r="J232" s="109"/>
      <c r="K232" s="96"/>
      <c r="L232" s="104"/>
      <c r="M232" s="75"/>
      <c r="N232" s="75"/>
      <c r="O232" s="75"/>
      <c r="P232" s="75"/>
      <c r="Q232" s="105"/>
      <c r="R232" s="105"/>
      <c r="S232" s="96"/>
      <c r="T232" s="109"/>
      <c r="U232" s="100"/>
      <c r="V232" s="110"/>
      <c r="W232" s="110"/>
      <c r="X232" s="100"/>
      <c r="Y232" s="100"/>
      <c r="Z232" s="100"/>
      <c r="AA232" s="110"/>
      <c r="AB232" s="110"/>
      <c r="AC232" s="100"/>
      <c r="AD232" s="109"/>
      <c r="AE232" s="109"/>
      <c r="AF232" s="109"/>
      <c r="AG232" s="108"/>
      <c r="AH232" s="109"/>
      <c r="AI232" s="108"/>
      <c r="AJ232" s="111"/>
      <c r="AK232" s="100"/>
      <c r="AL232" s="110"/>
      <c r="AM232" s="110"/>
      <c r="AN232" s="100"/>
      <c r="AO232" s="100"/>
      <c r="AP232" s="100"/>
      <c r="AQ232" s="100"/>
      <c r="AR232" s="100"/>
      <c r="AS232" s="100"/>
      <c r="AT232" s="100"/>
      <c r="AU232" s="111"/>
      <c r="AV232" s="111"/>
    </row>
    <row r="233" spans="1:48" ht="17" thickBot="1">
      <c r="A233" s="85" t="s">
        <v>4</v>
      </c>
      <c r="B233" s="541">
        <f>SUM(L233+M233+N233+O233+P233+U233+X233+Y233+Z233+AC233+AK233+AL233+AK233+AO233+AR233+AS233+AU233+AV233+AW233+AX233+AP233)+10</f>
        <v>10</v>
      </c>
      <c r="C233" s="217">
        <f>SUM(L233+M233+N233+O233+P233+U233+Y233+Z233+X233+AC233+AL233+AK233+AL233+AP233+AS233+AO233+AV233+AW233+AX233+AY233+AR233+AU233)+10</f>
        <v>10</v>
      </c>
      <c r="D233" s="144"/>
      <c r="E233" s="145"/>
      <c r="F233" s="146"/>
      <c r="G233" s="147"/>
      <c r="H233" s="684"/>
      <c r="I233" s="677"/>
      <c r="J233" s="118"/>
      <c r="K233" s="114"/>
      <c r="L233" s="113"/>
      <c r="M233" s="112"/>
      <c r="N233" s="112"/>
      <c r="O233" s="112"/>
      <c r="P233" s="112"/>
      <c r="Q233" s="127"/>
      <c r="R233" s="127"/>
      <c r="S233" s="114"/>
      <c r="T233" s="118"/>
      <c r="U233" s="116"/>
      <c r="V233" s="120"/>
      <c r="W233" s="120"/>
      <c r="X233" s="112"/>
      <c r="Y233" s="116"/>
      <c r="Z233" s="116"/>
      <c r="AA233" s="120"/>
      <c r="AB233" s="120"/>
      <c r="AC233" s="116"/>
      <c r="AD233" s="118"/>
      <c r="AE233" s="118"/>
      <c r="AF233" s="118"/>
      <c r="AG233" s="117"/>
      <c r="AH233" s="118"/>
      <c r="AI233" s="117"/>
      <c r="AJ233" s="121"/>
      <c r="AK233" s="116"/>
      <c r="AL233" s="120"/>
      <c r="AM233" s="120"/>
      <c r="AN233" s="116"/>
      <c r="AO233" s="116"/>
      <c r="AP233" s="116"/>
      <c r="AQ233" s="116"/>
      <c r="AR233" s="116"/>
      <c r="AS233" s="116"/>
      <c r="AT233" s="116"/>
      <c r="AU233" s="121"/>
      <c r="AV233" s="121"/>
    </row>
    <row r="234" spans="1:48" ht="21.1">
      <c r="A234" s="82" t="s">
        <v>610</v>
      </c>
      <c r="B234" s="539"/>
      <c r="C234" s="214"/>
      <c r="D234" s="133"/>
      <c r="E234" s="134"/>
      <c r="F234" s="135"/>
      <c r="G234" s="136"/>
      <c r="H234" s="683"/>
      <c r="I234" s="676"/>
      <c r="J234" s="109" t="s">
        <v>432</v>
      </c>
      <c r="K234" s="96" t="s">
        <v>370</v>
      </c>
      <c r="L234" s="104"/>
      <c r="M234" s="75"/>
      <c r="N234" s="75"/>
      <c r="O234" s="75" t="s">
        <v>375</v>
      </c>
      <c r="P234" s="75" t="s">
        <v>375</v>
      </c>
      <c r="Q234" s="105"/>
      <c r="R234" s="105"/>
      <c r="S234" s="96" t="s">
        <v>370</v>
      </c>
      <c r="T234" s="109"/>
      <c r="U234" s="100" t="s">
        <v>375</v>
      </c>
      <c r="V234" s="110" t="s">
        <v>370</v>
      </c>
      <c r="W234" s="110" t="s">
        <v>375</v>
      </c>
      <c r="X234" s="100" t="s">
        <v>370</v>
      </c>
      <c r="Y234" s="100" t="s">
        <v>370</v>
      </c>
      <c r="Z234" s="102" t="s">
        <v>375</v>
      </c>
      <c r="AA234" s="101">
        <v>3</v>
      </c>
      <c r="AB234" s="101" t="s">
        <v>370</v>
      </c>
      <c r="AC234" s="102"/>
      <c r="AD234" s="99"/>
      <c r="AE234" s="99"/>
      <c r="AF234" s="99"/>
      <c r="AG234" s="98"/>
      <c r="AH234" s="99"/>
      <c r="AI234" s="98"/>
      <c r="AJ234" s="103"/>
      <c r="AK234" s="102"/>
      <c r="AL234" s="101"/>
      <c r="AM234" s="101"/>
      <c r="AN234" s="102"/>
      <c r="AO234" s="102"/>
      <c r="AP234" s="102"/>
      <c r="AQ234" s="102"/>
      <c r="AR234" s="102"/>
      <c r="AS234" s="102"/>
      <c r="AT234" s="102"/>
      <c r="AU234" s="103"/>
      <c r="AV234" s="103"/>
    </row>
    <row r="235" spans="1:48" ht="16.3">
      <c r="A235" s="246" t="s">
        <v>1</v>
      </c>
      <c r="B235" s="538">
        <f>SUM(L235+M235+N235+O235+P235+U235+X235+Y235+Z235+AC235+AK235+AL235+AK235+AO235+AR235+AS235+AU235+AV235+AW235+AX235+AP235)</f>
        <v>2</v>
      </c>
      <c r="C235" s="215">
        <f>SUM(L235+M235+N235+O235+P235+U235+Y235+Z235+X235+AC235+AL235+AK235+AL235+AP235+AS235+AO235+AV235+AW235+AX235+AY235+AR235+AU235)+26</f>
        <v>28</v>
      </c>
      <c r="D235" s="133"/>
      <c r="E235" s="134"/>
      <c r="F235" s="135"/>
      <c r="G235" s="136"/>
      <c r="H235" s="683"/>
      <c r="I235" s="676"/>
      <c r="J235" s="96"/>
      <c r="K235" s="96">
        <v>1</v>
      </c>
      <c r="L235" s="104"/>
      <c r="M235" s="75"/>
      <c r="N235" s="75"/>
      <c r="O235" s="75"/>
      <c r="P235" s="75"/>
      <c r="Q235" s="105"/>
      <c r="R235" s="105"/>
      <c r="S235" s="96">
        <v>1</v>
      </c>
      <c r="T235" s="109"/>
      <c r="U235" s="100"/>
      <c r="V235" s="110">
        <v>1</v>
      </c>
      <c r="W235" s="110"/>
      <c r="X235" s="100">
        <v>1</v>
      </c>
      <c r="Y235" s="100">
        <v>1</v>
      </c>
      <c r="Z235" s="100"/>
      <c r="AA235" s="110">
        <v>1</v>
      </c>
      <c r="AB235" s="110">
        <v>1</v>
      </c>
      <c r="AC235" s="100"/>
      <c r="AD235" s="109"/>
      <c r="AE235" s="109"/>
      <c r="AF235" s="109"/>
      <c r="AG235" s="108"/>
      <c r="AH235" s="109"/>
      <c r="AI235" s="108"/>
      <c r="AJ235" s="111"/>
      <c r="AK235" s="100"/>
      <c r="AL235" s="110"/>
      <c r="AM235" s="110"/>
      <c r="AN235" s="100"/>
      <c r="AO235" s="100"/>
      <c r="AP235" s="100"/>
      <c r="AQ235" s="100"/>
      <c r="AR235" s="100"/>
      <c r="AS235" s="100"/>
      <c r="AT235" s="100"/>
      <c r="AU235" s="111"/>
      <c r="AV235" s="111"/>
    </row>
    <row r="236" spans="1:48" ht="16.3">
      <c r="A236" s="246" t="s">
        <v>2</v>
      </c>
      <c r="B236" s="538">
        <f>SUM(L236+M236+N236+O236+P236+U236+X236+Y236+Z236+AC236+AK236+AL236+AK236+AO236+AR236+AS236+AU236+AV236+AW236+AX236+AP236)</f>
        <v>4</v>
      </c>
      <c r="C236" s="215">
        <f>SUM(L236+M236+N236+O236+P236+U236+Y236+Z236+X236+AC236+AL236+AK236+AL236+AP236+AS236+AO236+AV236+AW236+AX236+AY236+AR236+AU236)+45</f>
        <v>49</v>
      </c>
      <c r="D236" s="133"/>
      <c r="E236" s="134"/>
      <c r="F236" s="135"/>
      <c r="G236" s="136"/>
      <c r="H236" s="683"/>
      <c r="I236" s="676"/>
      <c r="J236" s="109">
        <v>1</v>
      </c>
      <c r="K236" s="96"/>
      <c r="L236" s="104"/>
      <c r="M236" s="75"/>
      <c r="N236" s="75"/>
      <c r="O236" s="75">
        <v>1</v>
      </c>
      <c r="P236" s="75">
        <v>1</v>
      </c>
      <c r="Q236" s="105"/>
      <c r="R236" s="105"/>
      <c r="S236" s="96"/>
      <c r="T236" s="109"/>
      <c r="U236" s="100">
        <v>1</v>
      </c>
      <c r="V236" s="110"/>
      <c r="W236" s="110">
        <v>1</v>
      </c>
      <c r="X236" s="100"/>
      <c r="Y236" s="100"/>
      <c r="Z236" s="100">
        <v>1</v>
      </c>
      <c r="AA236" s="110"/>
      <c r="AB236" s="110"/>
      <c r="AC236" s="100"/>
      <c r="AD236" s="109"/>
      <c r="AE236" s="109"/>
      <c r="AF236" s="109"/>
      <c r="AG236" s="108"/>
      <c r="AH236" s="109"/>
      <c r="AI236" s="108"/>
      <c r="AJ236" s="111"/>
      <c r="AK236" s="100"/>
      <c r="AL236" s="110"/>
      <c r="AM236" s="110"/>
      <c r="AN236" s="100"/>
      <c r="AO236" s="100"/>
      <c r="AP236" s="100"/>
      <c r="AQ236" s="100"/>
      <c r="AR236" s="100"/>
      <c r="AS236" s="100"/>
      <c r="AT236" s="100"/>
      <c r="AU236" s="111"/>
      <c r="AV236" s="111"/>
    </row>
    <row r="237" spans="1:48" ht="16.3">
      <c r="A237" s="83" t="s">
        <v>363</v>
      </c>
      <c r="B237" s="539">
        <f t="shared" ref="B237" si="33">SUM(B235+B236)</f>
        <v>6</v>
      </c>
      <c r="C237" s="214">
        <f t="shared" ref="C237" si="34">SUM(C235+C236)</f>
        <v>77</v>
      </c>
      <c r="D237" s="133"/>
      <c r="E237" s="134"/>
      <c r="F237" s="135"/>
      <c r="G237" s="136"/>
      <c r="H237" s="683"/>
      <c r="I237" s="676"/>
      <c r="J237" s="109"/>
      <c r="K237" s="96"/>
      <c r="L237" s="104"/>
      <c r="M237" s="75"/>
      <c r="N237" s="75"/>
      <c r="O237" s="75"/>
      <c r="P237" s="75"/>
      <c r="Q237" s="105"/>
      <c r="R237" s="105"/>
      <c r="S237" s="96"/>
      <c r="T237" s="109"/>
      <c r="U237" s="100"/>
      <c r="V237" s="110"/>
      <c r="W237" s="110"/>
      <c r="X237" s="100"/>
      <c r="Y237" s="100"/>
      <c r="Z237" s="100"/>
      <c r="AA237" s="110"/>
      <c r="AB237" s="110"/>
      <c r="AC237" s="100"/>
      <c r="AD237" s="109"/>
      <c r="AE237" s="109"/>
      <c r="AF237" s="109"/>
      <c r="AG237" s="108"/>
      <c r="AH237" s="109"/>
      <c r="AI237" s="108"/>
      <c r="AJ237" s="111"/>
      <c r="AK237" s="100"/>
      <c r="AL237" s="110"/>
      <c r="AM237" s="110"/>
      <c r="AN237" s="100"/>
      <c r="AO237" s="100"/>
      <c r="AP237" s="100"/>
      <c r="AQ237" s="100"/>
      <c r="AR237" s="100"/>
      <c r="AS237" s="100"/>
      <c r="AT237" s="100"/>
      <c r="AU237" s="111"/>
      <c r="AV237" s="111"/>
    </row>
    <row r="238" spans="1:48" ht="16.3">
      <c r="A238" s="246" t="s">
        <v>362</v>
      </c>
      <c r="B238" s="538">
        <f>SUM(L238+M238+N238+O238+P238+U238+X238+Y238+Z238+AC238+AK238+AL238+AK238+AO238+AR238+AS238+AU238+AV238+AW238+AX238+AP238)</f>
        <v>0</v>
      </c>
      <c r="C238" s="215">
        <f>SUM(L238+M238+N238+O238+P238+U238+Y238+Z238+X238+AC238+AL238+AK238+AL238+AP238+AS238+AO238+AV238+AW238+AX238+AY238+AR238+AU238)</f>
        <v>0</v>
      </c>
      <c r="D238" s="133"/>
      <c r="E238" s="134"/>
      <c r="F238" s="135"/>
      <c r="G238" s="136"/>
      <c r="H238" s="683"/>
      <c r="I238" s="676"/>
      <c r="J238" s="109"/>
      <c r="K238" s="96"/>
      <c r="L238" s="104"/>
      <c r="M238" s="75"/>
      <c r="N238" s="75"/>
      <c r="O238" s="75"/>
      <c r="P238" s="75"/>
      <c r="Q238" s="105"/>
      <c r="R238" s="105"/>
      <c r="S238" s="96"/>
      <c r="T238" s="109"/>
      <c r="U238" s="100"/>
      <c r="V238" s="110"/>
      <c r="W238" s="110"/>
      <c r="X238" s="100"/>
      <c r="Y238" s="100"/>
      <c r="Z238" s="100"/>
      <c r="AA238" s="110"/>
      <c r="AB238" s="110"/>
      <c r="AC238" s="100"/>
      <c r="AD238" s="109"/>
      <c r="AE238" s="109"/>
      <c r="AF238" s="109"/>
      <c r="AG238" s="108"/>
      <c r="AH238" s="109"/>
      <c r="AI238" s="108"/>
      <c r="AJ238" s="111"/>
      <c r="AK238" s="100"/>
      <c r="AL238" s="110"/>
      <c r="AM238" s="110"/>
      <c r="AN238" s="100"/>
      <c r="AO238" s="100"/>
      <c r="AP238" s="100"/>
      <c r="AQ238" s="100"/>
      <c r="AR238" s="100"/>
      <c r="AS238" s="100"/>
      <c r="AT238" s="100"/>
      <c r="AU238" s="111"/>
      <c r="AV238" s="111"/>
    </row>
    <row r="239" spans="1:48" ht="16.3">
      <c r="A239" s="83" t="s">
        <v>3</v>
      </c>
      <c r="B239" s="539">
        <f>SUM(L239+M239+N239+O239+P239+U239+X239+Y239+Z239+AC239+AK239+AL239+AK239+AO239+AR239+AS239+AU239+AV239+AW239+AX239+AP239)</f>
        <v>0</v>
      </c>
      <c r="C239" s="214">
        <f>SUM(L239+M239+N239+O239+P239+U239+Y239+Z239+X239+AC239+AL239+AK239+AL239+AP239+AS239+AO239+AV239+AW239+AX239+AY239+AR239+AU239)+1</f>
        <v>1</v>
      </c>
      <c r="D239" s="133"/>
      <c r="E239" s="134"/>
      <c r="F239" s="135"/>
      <c r="G239" s="136"/>
      <c r="H239" s="683"/>
      <c r="I239" s="676"/>
      <c r="J239" s="96"/>
      <c r="K239" s="96"/>
      <c r="L239" s="104"/>
      <c r="M239" s="75"/>
      <c r="N239" s="75"/>
      <c r="O239" s="75"/>
      <c r="P239" s="75"/>
      <c r="Q239" s="105"/>
      <c r="R239" s="105"/>
      <c r="S239" s="96"/>
      <c r="T239" s="109"/>
      <c r="U239" s="100"/>
      <c r="V239" s="110"/>
      <c r="W239" s="110"/>
      <c r="X239" s="100"/>
      <c r="Y239" s="100"/>
      <c r="Z239" s="100"/>
      <c r="AA239" s="110"/>
      <c r="AB239" s="110"/>
      <c r="AC239" s="100"/>
      <c r="AD239" s="109"/>
      <c r="AE239" s="109"/>
      <c r="AF239" s="109"/>
      <c r="AG239" s="108"/>
      <c r="AH239" s="109"/>
      <c r="AI239" s="108"/>
      <c r="AJ239" s="111"/>
      <c r="AK239" s="100"/>
      <c r="AL239" s="110"/>
      <c r="AM239" s="110"/>
      <c r="AN239" s="100"/>
      <c r="AO239" s="100"/>
      <c r="AP239" s="100"/>
      <c r="AQ239" s="100"/>
      <c r="AR239" s="100"/>
      <c r="AS239" s="100"/>
      <c r="AT239" s="100"/>
      <c r="AU239" s="111"/>
      <c r="AV239" s="111"/>
    </row>
    <row r="240" spans="1:48" ht="17" thickBot="1">
      <c r="A240" s="85" t="s">
        <v>4</v>
      </c>
      <c r="B240" s="541">
        <f>SUM(L240+M240+N240+O240+P240+U240+X240+Y240+Z240+AC240+AK240+AL240+AK240+AO240+AR240+AS240+AU240+AV240+AW240+AX240+AP240)</f>
        <v>0</v>
      </c>
      <c r="C240" s="217">
        <f>SUM(L240+M240+N240+O240+P240+U240+Y240+Z240+X240+AC240+AL240+AK240+AL240+AP240+AS240+AO240+AV240+AW240+AX240+AY240+AR240+AU240)+5</f>
        <v>5</v>
      </c>
      <c r="D240" s="144"/>
      <c r="E240" s="145"/>
      <c r="F240" s="146"/>
      <c r="G240" s="147"/>
      <c r="H240" s="684"/>
      <c r="I240" s="677"/>
      <c r="J240" s="114"/>
      <c r="K240" s="114"/>
      <c r="L240" s="113"/>
      <c r="M240" s="112"/>
      <c r="N240" s="112"/>
      <c r="O240" s="112"/>
      <c r="P240" s="112"/>
      <c r="Q240" s="127"/>
      <c r="R240" s="127"/>
      <c r="S240" s="114"/>
      <c r="T240" s="118"/>
      <c r="U240" s="116"/>
      <c r="V240" s="119"/>
      <c r="W240" s="119"/>
      <c r="X240" s="100"/>
      <c r="Y240" s="100"/>
      <c r="Z240" s="100"/>
      <c r="AA240" s="110"/>
      <c r="AB240" s="110"/>
      <c r="AC240" s="100"/>
      <c r="AD240" s="109"/>
      <c r="AE240" s="109"/>
      <c r="AF240" s="109"/>
      <c r="AG240" s="108"/>
      <c r="AH240" s="109"/>
      <c r="AI240" s="108"/>
      <c r="AJ240" s="111"/>
      <c r="AK240" s="100"/>
      <c r="AL240" s="110"/>
      <c r="AM240" s="110"/>
      <c r="AN240" s="100"/>
      <c r="AO240" s="100"/>
      <c r="AP240" s="100"/>
      <c r="AQ240" s="100"/>
      <c r="AR240" s="100"/>
      <c r="AS240" s="100"/>
      <c r="AT240" s="100"/>
      <c r="AU240" s="111"/>
      <c r="AV240" s="111"/>
    </row>
    <row r="241" spans="1:48" ht="21.1">
      <c r="A241" s="82" t="s">
        <v>101</v>
      </c>
      <c r="B241" s="539"/>
      <c r="C241" s="214"/>
      <c r="D241" s="133"/>
      <c r="E241" s="134"/>
      <c r="F241" s="135"/>
      <c r="G241" s="136"/>
      <c r="H241" s="683"/>
      <c r="I241" s="676"/>
      <c r="J241" s="96"/>
      <c r="K241" s="96"/>
      <c r="L241" s="104" t="s">
        <v>375</v>
      </c>
      <c r="M241" s="75" t="s">
        <v>375</v>
      </c>
      <c r="N241" s="75" t="s">
        <v>375</v>
      </c>
      <c r="O241" s="75"/>
      <c r="P241" s="75"/>
      <c r="Q241" s="105"/>
      <c r="R241" s="105"/>
      <c r="S241" s="96" t="s">
        <v>375</v>
      </c>
      <c r="T241" s="109" t="s">
        <v>339</v>
      </c>
      <c r="U241" s="100" t="s">
        <v>339</v>
      </c>
      <c r="V241" s="110" t="s">
        <v>339</v>
      </c>
      <c r="W241" s="110" t="s">
        <v>339</v>
      </c>
      <c r="X241" s="102" t="s">
        <v>339</v>
      </c>
      <c r="Y241" s="102" t="s">
        <v>339</v>
      </c>
      <c r="Z241" s="102" t="s">
        <v>339</v>
      </c>
      <c r="AA241" s="101" t="s">
        <v>339</v>
      </c>
      <c r="AB241" s="101" t="s">
        <v>339</v>
      </c>
      <c r="AC241" s="102" t="s">
        <v>339</v>
      </c>
      <c r="AD241" s="99" t="s">
        <v>339</v>
      </c>
      <c r="AE241" s="99" t="s">
        <v>339</v>
      </c>
      <c r="AF241" s="99" t="s">
        <v>339</v>
      </c>
      <c r="AG241" s="98"/>
      <c r="AH241" s="99" t="s">
        <v>339</v>
      </c>
      <c r="AI241" s="98"/>
      <c r="AJ241" s="103"/>
      <c r="AK241" s="102"/>
      <c r="AL241" s="101"/>
      <c r="AM241" s="101"/>
      <c r="AN241" s="102"/>
      <c r="AO241" s="102"/>
      <c r="AP241" s="102"/>
      <c r="AQ241" s="102"/>
      <c r="AR241" s="102"/>
      <c r="AS241" s="102"/>
      <c r="AT241" s="102"/>
      <c r="AU241" s="103"/>
      <c r="AV241" s="103"/>
    </row>
    <row r="242" spans="1:48" ht="16.3">
      <c r="A242" s="246" t="s">
        <v>1</v>
      </c>
      <c r="B242" s="538">
        <f>SUM(L242+M242+N242+O242+P242+U242+X242+Y242+Z242+AC242+AK242+AL242+AK242+AO242+AR242+AS242+AU242+AV242+AW242+AX242+AP242)+14</f>
        <v>14</v>
      </c>
      <c r="C242" s="215">
        <f>SUM(L242+M242+N242+O242+P242+U242+Y242+Z242+X242+AC242+AL242+AK242+AL242+AP242+AS242+AO242+AV242+AW242+AX242+AY242+AR242+AU242)+14</f>
        <v>14</v>
      </c>
      <c r="D242" s="133"/>
      <c r="E242" s="134"/>
      <c r="F242" s="135"/>
      <c r="G242" s="136"/>
      <c r="H242" s="683"/>
      <c r="I242" s="676"/>
      <c r="J242" s="96"/>
      <c r="K242" s="96"/>
      <c r="L242" s="104"/>
      <c r="M242" s="75"/>
      <c r="N242" s="75"/>
      <c r="O242" s="75"/>
      <c r="P242" s="75"/>
      <c r="Q242" s="105"/>
      <c r="R242" s="105"/>
      <c r="S242" s="96"/>
      <c r="T242" s="109"/>
      <c r="U242" s="100"/>
      <c r="V242" s="110"/>
      <c r="W242" s="110"/>
      <c r="X242" s="100"/>
      <c r="Y242" s="100"/>
      <c r="Z242" s="100"/>
      <c r="AA242" s="110"/>
      <c r="AB242" s="110"/>
      <c r="AC242" s="100"/>
      <c r="AD242" s="109"/>
      <c r="AE242" s="109"/>
      <c r="AF242" s="109"/>
      <c r="AG242" s="108"/>
      <c r="AH242" s="109"/>
      <c r="AI242" s="108"/>
      <c r="AJ242" s="111"/>
      <c r="AK242" s="100"/>
      <c r="AL242" s="110"/>
      <c r="AM242" s="110"/>
      <c r="AN242" s="100"/>
      <c r="AO242" s="100"/>
      <c r="AP242" s="100"/>
      <c r="AQ242" s="100"/>
      <c r="AR242" s="100"/>
      <c r="AS242" s="100"/>
      <c r="AT242" s="100"/>
      <c r="AU242" s="111"/>
      <c r="AV242" s="111"/>
    </row>
    <row r="243" spans="1:48" ht="16.3">
      <c r="A243" s="246" t="s">
        <v>2</v>
      </c>
      <c r="B243" s="538">
        <f>SUM(L243+M243+N243+O243+P243+U243+X243+Y243+Z243+AC243+AK243+AL243+AK243+AO243+AR243+AS243+AU243+AV243+AW243+AX243+AP243)+37</f>
        <v>40</v>
      </c>
      <c r="C243" s="215">
        <f>SUM(L243+M243+N243+O243+P243+U243+Y243+Z243+X243+AC243+AL243+AK243+AL243+AP243+AS243+AO243+AV243+AW243+AX243+AY243+AR243+AU243)+37</f>
        <v>40</v>
      </c>
      <c r="D243" s="133"/>
      <c r="E243" s="134"/>
      <c r="F243" s="135"/>
      <c r="G243" s="136"/>
      <c r="H243" s="683"/>
      <c r="I243" s="676"/>
      <c r="J243" s="96"/>
      <c r="K243" s="96"/>
      <c r="L243" s="104">
        <v>1</v>
      </c>
      <c r="M243" s="75">
        <v>1</v>
      </c>
      <c r="N243" s="75">
        <v>1</v>
      </c>
      <c r="O243" s="75"/>
      <c r="P243" s="75"/>
      <c r="Q243" s="105"/>
      <c r="R243" s="105"/>
      <c r="S243" s="96">
        <v>1</v>
      </c>
      <c r="T243" s="109"/>
      <c r="U243" s="100"/>
      <c r="V243" s="110"/>
      <c r="W243" s="110"/>
      <c r="X243" s="100"/>
      <c r="Y243" s="100"/>
      <c r="Z243" s="100"/>
      <c r="AA243" s="110"/>
      <c r="AB243" s="110"/>
      <c r="AC243" s="100"/>
      <c r="AD243" s="109"/>
      <c r="AE243" s="109"/>
      <c r="AF243" s="109"/>
      <c r="AG243" s="108"/>
      <c r="AH243" s="109"/>
      <c r="AI243" s="108"/>
      <c r="AJ243" s="111"/>
      <c r="AK243" s="100"/>
      <c r="AL243" s="110"/>
      <c r="AM243" s="110"/>
      <c r="AN243" s="100"/>
      <c r="AO243" s="100"/>
      <c r="AP243" s="100"/>
      <c r="AQ243" s="100"/>
      <c r="AR243" s="100"/>
      <c r="AS243" s="100"/>
      <c r="AT243" s="100"/>
      <c r="AU243" s="111"/>
      <c r="AV243" s="111"/>
    </row>
    <row r="244" spans="1:48" ht="16.3">
      <c r="A244" s="83" t="s">
        <v>363</v>
      </c>
      <c r="B244" s="539">
        <f t="shared" ref="B244" si="35">SUM(B242+B243)</f>
        <v>54</v>
      </c>
      <c r="C244" s="214">
        <f t="shared" ref="C244" si="36">SUM(C242+C243)</f>
        <v>54</v>
      </c>
      <c r="D244" s="133"/>
      <c r="E244" s="134"/>
      <c r="F244" s="135"/>
      <c r="G244" s="136"/>
      <c r="H244" s="683"/>
      <c r="I244" s="676"/>
      <c r="J244" s="96"/>
      <c r="K244" s="96"/>
      <c r="L244" s="104"/>
      <c r="M244" s="75"/>
      <c r="N244" s="75"/>
      <c r="O244" s="75"/>
      <c r="P244" s="75"/>
      <c r="Q244" s="105"/>
      <c r="R244" s="105"/>
      <c r="S244" s="96"/>
      <c r="T244" s="109"/>
      <c r="U244" s="100"/>
      <c r="V244" s="110"/>
      <c r="W244" s="110"/>
      <c r="X244" s="100"/>
      <c r="Y244" s="100"/>
      <c r="Z244" s="100"/>
      <c r="AA244" s="110"/>
      <c r="AB244" s="110"/>
      <c r="AC244" s="100"/>
      <c r="AD244" s="109"/>
      <c r="AE244" s="109"/>
      <c r="AF244" s="109"/>
      <c r="AG244" s="108"/>
      <c r="AH244" s="109"/>
      <c r="AI244" s="108"/>
      <c r="AJ244" s="111"/>
      <c r="AK244" s="100"/>
      <c r="AL244" s="110"/>
      <c r="AM244" s="110"/>
      <c r="AN244" s="100"/>
      <c r="AO244" s="100"/>
      <c r="AP244" s="100"/>
      <c r="AQ244" s="100"/>
      <c r="AR244" s="100"/>
      <c r="AS244" s="100"/>
      <c r="AT244" s="100"/>
      <c r="AU244" s="111"/>
      <c r="AV244" s="111"/>
    </row>
    <row r="245" spans="1:48" ht="16.3">
      <c r="A245" s="246" t="s">
        <v>362</v>
      </c>
      <c r="B245" s="538">
        <f>SUM(L245+M245+N245+O245+P245+U245+X245+Y245+Z245+AC245+AK245+AL245+AK245+AO245+AR245+AS245+AU245+AV245+AW245+AX245+AP245)+2</f>
        <v>2</v>
      </c>
      <c r="C245" s="215">
        <f>SUM(L245+M245+N245+O245+P245+U245+Y245+Z245+X245+AC245+AL245+AK245+AL245+AP245+AS245+AO245+AV245+AW245+AX245+AY245+AR245+AU245)+2</f>
        <v>2</v>
      </c>
      <c r="D245" s="133"/>
      <c r="E245" s="134"/>
      <c r="F245" s="135"/>
      <c r="G245" s="136"/>
      <c r="H245" s="683"/>
      <c r="I245" s="676"/>
      <c r="J245" s="96"/>
      <c r="K245" s="96"/>
      <c r="L245" s="104"/>
      <c r="M245" s="75"/>
      <c r="N245" s="75"/>
      <c r="O245" s="75"/>
      <c r="P245" s="75"/>
      <c r="Q245" s="105"/>
      <c r="R245" s="105"/>
      <c r="S245" s="96"/>
      <c r="T245" s="109"/>
      <c r="U245" s="100"/>
      <c r="V245" s="110"/>
      <c r="W245" s="110"/>
      <c r="X245" s="100"/>
      <c r="Y245" s="100"/>
      <c r="Z245" s="100"/>
      <c r="AA245" s="110"/>
      <c r="AB245" s="110"/>
      <c r="AC245" s="100"/>
      <c r="AD245" s="109"/>
      <c r="AE245" s="109"/>
      <c r="AF245" s="109"/>
      <c r="AG245" s="108"/>
      <c r="AH245" s="109"/>
      <c r="AI245" s="108"/>
      <c r="AJ245" s="111"/>
      <c r="AK245" s="100"/>
      <c r="AL245" s="110"/>
      <c r="AM245" s="110"/>
      <c r="AN245" s="100"/>
      <c r="AO245" s="100"/>
      <c r="AP245" s="100"/>
      <c r="AQ245" s="100"/>
      <c r="AR245" s="100"/>
      <c r="AS245" s="100"/>
      <c r="AT245" s="100"/>
      <c r="AU245" s="111"/>
      <c r="AV245" s="111"/>
    </row>
    <row r="246" spans="1:48" ht="16.3">
      <c r="A246" s="83" t="s">
        <v>3</v>
      </c>
      <c r="B246" s="539">
        <f>SUM(L246+M246+N246+O246+P246+U246+X246+Y246+Z246+AC246+AK246+AL246+AK246+AO246+AR246+AS246+AU246+AV246+AW246+AX246+AP246)</f>
        <v>0</v>
      </c>
      <c r="C246" s="214">
        <f>SUM(L246+M246+N246+O246+P246+U246+Y246+Z246+X246+AC246+AL246+AK246+AL246+AP246+AS246+AO246+AV246+AW246+AX246+AY246+AR246+AU246)</f>
        <v>0</v>
      </c>
      <c r="D246" s="133"/>
      <c r="E246" s="134"/>
      <c r="F246" s="135"/>
      <c r="G246" s="136"/>
      <c r="H246" s="683"/>
      <c r="I246" s="676"/>
      <c r="J246" s="96"/>
      <c r="K246" s="96"/>
      <c r="L246" s="104"/>
      <c r="M246" s="75"/>
      <c r="N246" s="75"/>
      <c r="O246" s="75"/>
      <c r="P246" s="75"/>
      <c r="Q246" s="105"/>
      <c r="R246" s="105"/>
      <c r="S246" s="96"/>
      <c r="T246" s="109"/>
      <c r="U246" s="100"/>
      <c r="V246" s="110"/>
      <c r="W246" s="110"/>
      <c r="X246" s="100"/>
      <c r="Y246" s="100"/>
      <c r="Z246" s="100"/>
      <c r="AA246" s="110"/>
      <c r="AB246" s="110"/>
      <c r="AC246" s="100"/>
      <c r="AD246" s="109"/>
      <c r="AE246" s="109"/>
      <c r="AF246" s="109"/>
      <c r="AG246" s="108"/>
      <c r="AH246" s="109"/>
      <c r="AI246" s="108"/>
      <c r="AJ246" s="111"/>
      <c r="AK246" s="100"/>
      <c r="AL246" s="110"/>
      <c r="AM246" s="110"/>
      <c r="AN246" s="100"/>
      <c r="AO246" s="100"/>
      <c r="AP246" s="100"/>
      <c r="AQ246" s="100"/>
      <c r="AR246" s="100"/>
      <c r="AS246" s="100"/>
      <c r="AT246" s="100"/>
      <c r="AU246" s="111"/>
      <c r="AV246" s="111"/>
    </row>
    <row r="247" spans="1:48" ht="17" thickBot="1">
      <c r="A247" s="85" t="s">
        <v>4</v>
      </c>
      <c r="B247" s="541">
        <f>SUM(L247+M247+N247+O247+P247+U247+X247+Y247+Z247+AC247+AK247+AL247+AK247+AO247+AR247+AS247+AU247+AV247+AW247+AX247+AP247)</f>
        <v>0</v>
      </c>
      <c r="C247" s="217">
        <f>SUM(L247+M247+N247+O247+P247+U247+Y247+Z247+X247+AC247+AL247+AK247+AL247+AP247+AS247+AO247+AV247+AW247+AX247+AY247+AR247+AU247)</f>
        <v>0</v>
      </c>
      <c r="D247" s="144"/>
      <c r="E247" s="145"/>
      <c r="F247" s="146"/>
      <c r="G247" s="147"/>
      <c r="H247" s="684"/>
      <c r="I247" s="677"/>
      <c r="J247" s="114"/>
      <c r="K247" s="114"/>
      <c r="L247" s="113"/>
      <c r="M247" s="112"/>
      <c r="N247" s="112"/>
      <c r="O247" s="112"/>
      <c r="P247" s="112"/>
      <c r="Q247" s="127"/>
      <c r="R247" s="127"/>
      <c r="S247" s="114"/>
      <c r="T247" s="118"/>
      <c r="U247" s="116"/>
      <c r="V247" s="119"/>
      <c r="W247" s="120"/>
      <c r="X247" s="116"/>
      <c r="Y247" s="116"/>
      <c r="Z247" s="116"/>
      <c r="AA247" s="120"/>
      <c r="AB247" s="120"/>
      <c r="AC247" s="116"/>
      <c r="AD247" s="118"/>
      <c r="AE247" s="118"/>
      <c r="AF247" s="118"/>
      <c r="AG247" s="117"/>
      <c r="AH247" s="118"/>
      <c r="AI247" s="117"/>
      <c r="AJ247" s="121"/>
      <c r="AK247" s="116"/>
      <c r="AL247" s="120"/>
      <c r="AM247" s="120"/>
      <c r="AN247" s="116"/>
      <c r="AO247" s="116"/>
      <c r="AP247" s="116"/>
      <c r="AQ247" s="116"/>
      <c r="AR247" s="116"/>
      <c r="AS247" s="116"/>
      <c r="AT247" s="116"/>
      <c r="AU247" s="121"/>
      <c r="AV247" s="121"/>
    </row>
    <row r="248" spans="1:48" ht="21.1">
      <c r="A248" s="82" t="s">
        <v>429</v>
      </c>
      <c r="B248" s="539"/>
      <c r="C248" s="214"/>
      <c r="D248" s="133"/>
      <c r="E248" s="134"/>
      <c r="F248" s="135"/>
      <c r="G248" s="136"/>
      <c r="H248" s="683"/>
      <c r="I248" s="676"/>
      <c r="J248" s="96" t="s">
        <v>339</v>
      </c>
      <c r="K248" s="96" t="s">
        <v>339</v>
      </c>
      <c r="L248" s="104" t="s">
        <v>339</v>
      </c>
      <c r="M248" s="75" t="s">
        <v>339</v>
      </c>
      <c r="N248" s="75" t="s">
        <v>339</v>
      </c>
      <c r="O248" s="75" t="s">
        <v>339</v>
      </c>
      <c r="P248" s="75" t="s">
        <v>339</v>
      </c>
      <c r="Q248" s="105"/>
      <c r="R248" s="105"/>
      <c r="S248" s="96" t="s">
        <v>339</v>
      </c>
      <c r="T248" s="109" t="s">
        <v>370</v>
      </c>
      <c r="U248" s="100"/>
      <c r="V248" s="110"/>
      <c r="W248" s="110"/>
      <c r="X248" s="100"/>
      <c r="Y248" s="100"/>
      <c r="Z248" s="100"/>
      <c r="AA248" s="110"/>
      <c r="AB248" s="110"/>
      <c r="AC248" s="100" t="s">
        <v>375</v>
      </c>
      <c r="AD248" s="109" t="s">
        <v>375</v>
      </c>
      <c r="AE248" s="109" t="s">
        <v>375</v>
      </c>
      <c r="AF248" s="109" t="s">
        <v>370</v>
      </c>
      <c r="AG248" s="108"/>
      <c r="AH248" s="109" t="s">
        <v>370</v>
      </c>
      <c r="AI248" s="108"/>
      <c r="AJ248" s="111"/>
      <c r="AK248" s="100"/>
      <c r="AL248" s="110"/>
      <c r="AM248" s="110"/>
      <c r="AN248" s="100"/>
      <c r="AO248" s="100"/>
      <c r="AP248" s="100"/>
      <c r="AQ248" s="100"/>
      <c r="AR248" s="100"/>
      <c r="AS248" s="100"/>
      <c r="AT248" s="100"/>
      <c r="AU248" s="111"/>
      <c r="AV248" s="111"/>
    </row>
    <row r="249" spans="1:48" ht="16.3">
      <c r="A249" s="246" t="s">
        <v>1</v>
      </c>
      <c r="B249" s="538">
        <f>SUM(L249+M249+N249+O249+P249+U249+X249+Y249+Z249+AC249+AK249+AL249+AK249+AO249+AR249+AS249+AU249+AV249+AW249+AX249+AP249)+1</f>
        <v>1</v>
      </c>
      <c r="C249" s="215">
        <f>SUM(L249+M249+N249+O249+P249+U249+Y249+Z249+X249+AC249+AL249+AK249+AL249+AP249+AS249+AO249+AV249+AW249+AX249+AY249+AR249+AU249)+1</f>
        <v>1</v>
      </c>
      <c r="D249" s="133"/>
      <c r="E249" s="134"/>
      <c r="F249" s="135"/>
      <c r="G249" s="136"/>
      <c r="H249" s="683"/>
      <c r="I249" s="676"/>
      <c r="J249" s="96"/>
      <c r="K249" s="96"/>
      <c r="L249" s="104"/>
      <c r="M249" s="75"/>
      <c r="N249" s="75"/>
      <c r="O249" s="75"/>
      <c r="P249" s="75"/>
      <c r="Q249" s="105"/>
      <c r="R249" s="105"/>
      <c r="S249" s="96"/>
      <c r="T249" s="109">
        <v>1</v>
      </c>
      <c r="U249" s="100"/>
      <c r="V249" s="110"/>
      <c r="W249" s="110"/>
      <c r="X249" s="100"/>
      <c r="Y249" s="100"/>
      <c r="Z249" s="100"/>
      <c r="AA249" s="110"/>
      <c r="AB249" s="110"/>
      <c r="AC249" s="100"/>
      <c r="AD249" s="109"/>
      <c r="AE249" s="109"/>
      <c r="AF249" s="109">
        <v>1</v>
      </c>
      <c r="AG249" s="108"/>
      <c r="AH249" s="109">
        <v>1</v>
      </c>
      <c r="AI249" s="108"/>
      <c r="AJ249" s="111"/>
      <c r="AK249" s="100"/>
      <c r="AL249" s="110"/>
      <c r="AM249" s="110"/>
      <c r="AN249" s="100"/>
      <c r="AO249" s="100"/>
      <c r="AP249" s="100"/>
      <c r="AQ249" s="100"/>
      <c r="AR249" s="100"/>
      <c r="AS249" s="100"/>
      <c r="AT249" s="100"/>
      <c r="AU249" s="111"/>
      <c r="AV249" s="111"/>
    </row>
    <row r="250" spans="1:48" ht="16.3">
      <c r="A250" s="246" t="s">
        <v>2</v>
      </c>
      <c r="B250" s="538">
        <f>SUM(L250+M250+N250+O250+P250+U250+X250+Y250+Z250+AC250+AK250+AL250+AK250+AO250+AR250+AS250+AU250+AV250+AW250+AX250+AP250)+5</f>
        <v>6</v>
      </c>
      <c r="C250" s="215">
        <f>SUM(L250+M250+N250+O250+P250+U250+Y250+Z250+X250+AC250+AL250+AK250+AL250+AP250+AS250+AO250+AV250+AW250+AX250+AY250+AR250+AU250)+5</f>
        <v>6</v>
      </c>
      <c r="D250" s="133"/>
      <c r="E250" s="134"/>
      <c r="F250" s="135"/>
      <c r="G250" s="136"/>
      <c r="H250" s="683"/>
      <c r="I250" s="676"/>
      <c r="J250" s="96"/>
      <c r="K250" s="96"/>
      <c r="L250" s="104"/>
      <c r="M250" s="75"/>
      <c r="N250" s="75"/>
      <c r="O250" s="75"/>
      <c r="P250" s="75"/>
      <c r="Q250" s="105"/>
      <c r="R250" s="105"/>
      <c r="S250" s="96"/>
      <c r="T250" s="109"/>
      <c r="U250" s="100"/>
      <c r="V250" s="110"/>
      <c r="W250" s="110"/>
      <c r="X250" s="100"/>
      <c r="Y250" s="100"/>
      <c r="Z250" s="100"/>
      <c r="AA250" s="110"/>
      <c r="AB250" s="110"/>
      <c r="AC250" s="100">
        <v>1</v>
      </c>
      <c r="AD250" s="109">
        <v>1</v>
      </c>
      <c r="AE250" s="109">
        <v>1</v>
      </c>
      <c r="AF250" s="109"/>
      <c r="AG250" s="108"/>
      <c r="AH250" s="109"/>
      <c r="AI250" s="108"/>
      <c r="AJ250" s="111"/>
      <c r="AK250" s="100"/>
      <c r="AL250" s="110"/>
      <c r="AM250" s="110"/>
      <c r="AN250" s="100"/>
      <c r="AO250" s="100"/>
      <c r="AP250" s="100"/>
      <c r="AQ250" s="100"/>
      <c r="AR250" s="100"/>
      <c r="AS250" s="100"/>
      <c r="AT250" s="100"/>
      <c r="AU250" s="111"/>
      <c r="AV250" s="111"/>
    </row>
    <row r="251" spans="1:48" ht="16.3">
      <c r="A251" s="83" t="s">
        <v>363</v>
      </c>
      <c r="B251" s="539">
        <f t="shared" ref="B251" si="37">SUM(B249+B250)</f>
        <v>7</v>
      </c>
      <c r="C251" s="214">
        <f t="shared" ref="C251" si="38">SUM(C249+C250)</f>
        <v>7</v>
      </c>
      <c r="D251" s="133"/>
      <c r="E251" s="134"/>
      <c r="F251" s="135"/>
      <c r="G251" s="136"/>
      <c r="H251" s="683"/>
      <c r="I251" s="676"/>
      <c r="J251" s="96"/>
      <c r="K251" s="96"/>
      <c r="L251" s="104"/>
      <c r="M251" s="75"/>
      <c r="N251" s="75"/>
      <c r="O251" s="75"/>
      <c r="P251" s="75"/>
      <c r="Q251" s="105"/>
      <c r="R251" s="105"/>
      <c r="S251" s="96"/>
      <c r="T251" s="109"/>
      <c r="U251" s="100"/>
      <c r="V251" s="110"/>
      <c r="W251" s="110"/>
      <c r="X251" s="100"/>
      <c r="Y251" s="100"/>
      <c r="Z251" s="100"/>
      <c r="AA251" s="110"/>
      <c r="AB251" s="110"/>
      <c r="AC251" s="100"/>
      <c r="AD251" s="109"/>
      <c r="AE251" s="109"/>
      <c r="AF251" s="109"/>
      <c r="AG251" s="108"/>
      <c r="AH251" s="109"/>
      <c r="AI251" s="108"/>
      <c r="AJ251" s="111"/>
      <c r="AK251" s="100"/>
      <c r="AL251" s="110"/>
      <c r="AM251" s="110"/>
      <c r="AN251" s="100"/>
      <c r="AO251" s="100"/>
      <c r="AP251" s="100"/>
      <c r="AQ251" s="100"/>
      <c r="AR251" s="100"/>
      <c r="AS251" s="100"/>
      <c r="AT251" s="100"/>
      <c r="AU251" s="111"/>
      <c r="AV251" s="111"/>
    </row>
    <row r="252" spans="1:48" ht="16.3">
      <c r="A252" s="83" t="s">
        <v>3</v>
      </c>
      <c r="B252" s="539">
        <f>SUM(L252+M252+N252+O252+P252+U252+X252+Y252+Z252+AC252+AK252+AL252+AK252+AO252+AR252+AS252+AU252+AV252+AW252+AX252+AP252)</f>
        <v>0</v>
      </c>
      <c r="C252" s="214">
        <f>SUM(L252+M252+N252+O252+P252+U252+Y252+Z252+X252+AC252+AL252+AK252+AL252+AP252+AS252+AO252+AV252+AW252+AX252+AY252+AR252+AU252)</f>
        <v>0</v>
      </c>
      <c r="D252" s="133"/>
      <c r="E252" s="134"/>
      <c r="F252" s="135"/>
      <c r="G252" s="136"/>
      <c r="H252" s="683"/>
      <c r="I252" s="676"/>
      <c r="J252" s="96"/>
      <c r="K252" s="96"/>
      <c r="L252" s="104"/>
      <c r="M252" s="75"/>
      <c r="N252" s="75"/>
      <c r="O252" s="75"/>
      <c r="P252" s="75"/>
      <c r="Q252" s="105"/>
      <c r="R252" s="105"/>
      <c r="S252" s="96"/>
      <c r="T252" s="109"/>
      <c r="U252" s="100"/>
      <c r="V252" s="110"/>
      <c r="W252" s="110"/>
      <c r="X252" s="100"/>
      <c r="Y252" s="100"/>
      <c r="Z252" s="100"/>
      <c r="AA252" s="110"/>
      <c r="AB252" s="110"/>
      <c r="AC252" s="100"/>
      <c r="AD252" s="109">
        <v>1</v>
      </c>
      <c r="AE252" s="109"/>
      <c r="AF252" s="109"/>
      <c r="AG252" s="108"/>
      <c r="AH252" s="109"/>
      <c r="AI252" s="108"/>
      <c r="AJ252" s="111"/>
      <c r="AK252" s="100"/>
      <c r="AL252" s="110"/>
      <c r="AM252" s="110"/>
      <c r="AN252" s="100"/>
      <c r="AO252" s="100"/>
      <c r="AP252" s="100"/>
      <c r="AQ252" s="100"/>
      <c r="AR252" s="100"/>
      <c r="AS252" s="100"/>
      <c r="AT252" s="100"/>
      <c r="AU252" s="111"/>
      <c r="AV252" s="111"/>
    </row>
    <row r="253" spans="1:48" ht="17" thickBot="1">
      <c r="A253" s="85" t="s">
        <v>4</v>
      </c>
      <c r="B253" s="541">
        <f>SUM(L253+M253+N253+O253+P253+U253+X253+Y253+Z253+AC253+AK253+AL253+AK253+AO253+AR253+AS253+AU253+AV253+AW253+AX253+AP253)</f>
        <v>0</v>
      </c>
      <c r="C253" s="217">
        <f>SUM(L253+M253+N253+O253+P253+U253+Y253+Z253+X253+AC253+AL253+AK253+AL253+AP253+AS253+AO253+AV253+AW253+AX253+AY253+AR253+AU253)</f>
        <v>0</v>
      </c>
      <c r="D253" s="144"/>
      <c r="E253" s="841"/>
      <c r="F253" s="146"/>
      <c r="G253" s="147"/>
      <c r="H253" s="684"/>
      <c r="I253" s="677"/>
      <c r="J253" s="114"/>
      <c r="K253" s="114"/>
      <c r="L253" s="113"/>
      <c r="M253" s="112"/>
      <c r="N253" s="112"/>
      <c r="O253" s="112"/>
      <c r="P253" s="112"/>
      <c r="Q253" s="127"/>
      <c r="R253" s="127"/>
      <c r="S253" s="114"/>
      <c r="T253" s="118"/>
      <c r="U253" s="116"/>
      <c r="V253" s="120"/>
      <c r="W253" s="120"/>
      <c r="X253" s="112"/>
      <c r="Y253" s="116"/>
      <c r="Z253" s="112"/>
      <c r="AA253" s="120"/>
      <c r="AB253" s="120"/>
      <c r="AC253" s="116"/>
      <c r="AD253" s="118">
        <v>5</v>
      </c>
      <c r="AE253" s="118"/>
      <c r="AF253" s="118"/>
      <c r="AG253" s="117"/>
      <c r="AH253" s="118"/>
      <c r="AI253" s="117"/>
      <c r="AJ253" s="121"/>
      <c r="AK253" s="116"/>
      <c r="AL253" s="120"/>
      <c r="AM253" s="120"/>
      <c r="AN253" s="116"/>
      <c r="AO253" s="116"/>
      <c r="AP253" s="116"/>
      <c r="AQ253" s="116"/>
      <c r="AR253" s="116"/>
      <c r="AS253" s="116"/>
      <c r="AT253" s="116"/>
      <c r="AU253" s="121"/>
      <c r="AV253" s="121"/>
    </row>
    <row r="254" spans="1:48" ht="21.1">
      <c r="A254" s="82" t="s">
        <v>1009</v>
      </c>
      <c r="B254" s="539"/>
      <c r="C254" s="214"/>
      <c r="D254" s="133"/>
      <c r="E254" s="134"/>
      <c r="F254" s="135"/>
      <c r="G254" s="136"/>
      <c r="H254" s="683"/>
      <c r="I254" s="676"/>
      <c r="J254" s="96" t="s">
        <v>339</v>
      </c>
      <c r="K254" s="96" t="s">
        <v>339</v>
      </c>
      <c r="L254" s="104" t="s">
        <v>339</v>
      </c>
      <c r="M254" s="75" t="s">
        <v>339</v>
      </c>
      <c r="N254" s="75" t="s">
        <v>339</v>
      </c>
      <c r="O254" s="75" t="s">
        <v>339</v>
      </c>
      <c r="P254" s="75" t="s">
        <v>339</v>
      </c>
      <c r="Q254" s="105"/>
      <c r="R254" s="105"/>
      <c r="S254" s="96" t="s">
        <v>339</v>
      </c>
      <c r="T254" s="109" t="s">
        <v>339</v>
      </c>
      <c r="U254" s="100" t="s">
        <v>339</v>
      </c>
      <c r="V254" s="110" t="s">
        <v>339</v>
      </c>
      <c r="W254" s="110" t="s">
        <v>339</v>
      </c>
      <c r="X254" s="100" t="s">
        <v>339</v>
      </c>
      <c r="Y254" s="100" t="s">
        <v>339</v>
      </c>
      <c r="Z254" s="75" t="s">
        <v>339</v>
      </c>
      <c r="AA254" s="110" t="s">
        <v>339</v>
      </c>
      <c r="AB254" s="110" t="s">
        <v>339</v>
      </c>
      <c r="AC254" s="100" t="s">
        <v>339</v>
      </c>
      <c r="AD254" s="109" t="s">
        <v>339</v>
      </c>
      <c r="AE254" s="109" t="s">
        <v>448</v>
      </c>
      <c r="AF254" s="109"/>
      <c r="AG254" s="108"/>
      <c r="AH254" s="109"/>
      <c r="AI254" s="108"/>
      <c r="AJ254" s="111"/>
      <c r="AK254" s="100"/>
      <c r="AL254" s="110"/>
      <c r="AM254" s="110"/>
      <c r="AN254" s="100"/>
      <c r="AO254" s="100"/>
      <c r="AP254" s="100"/>
      <c r="AQ254" s="100"/>
      <c r="AR254" s="100"/>
      <c r="AS254" s="100"/>
      <c r="AT254" s="100"/>
      <c r="AU254" s="111"/>
      <c r="AV254" s="111"/>
    </row>
    <row r="255" spans="1:48" ht="16.3">
      <c r="A255" s="246" t="s">
        <v>1</v>
      </c>
      <c r="B255" s="538">
        <f>SUM(L255+M255+N255+O255+P255+U255+X255+Y255+Z255+AC255+AK255+AL255+AK255+AO255+AR255+AS255+AU255+AV255+AW255+AX255+AP255)</f>
        <v>0</v>
      </c>
      <c r="C255" s="215">
        <f>SUM(L255+M255+N255+O255+P255+U255+Y255+Z255+X255+AC255+AL255+AK255+AL255+AP255+AS255+AO255+AV255+AW255+AX255+AY255+AR255+AU255)</f>
        <v>0</v>
      </c>
      <c r="D255" s="133"/>
      <c r="E255" s="134"/>
      <c r="F255" s="135"/>
      <c r="G255" s="136"/>
      <c r="H255" s="683"/>
      <c r="I255" s="676"/>
      <c r="J255" s="96"/>
      <c r="K255" s="96"/>
      <c r="L255" s="104"/>
      <c r="M255" s="75"/>
      <c r="N255" s="75"/>
      <c r="O255" s="75"/>
      <c r="P255" s="75"/>
      <c r="Q255" s="105"/>
      <c r="R255" s="105"/>
      <c r="S255" s="96"/>
      <c r="T255" s="109"/>
      <c r="U255" s="100"/>
      <c r="V255" s="110"/>
      <c r="W255" s="110"/>
      <c r="X255" s="100"/>
      <c r="Y255" s="100"/>
      <c r="Z255" s="75"/>
      <c r="AA255" s="110"/>
      <c r="AB255" s="110"/>
      <c r="AC255" s="100"/>
      <c r="AD255" s="109"/>
      <c r="AE255" s="109">
        <v>1</v>
      </c>
      <c r="AF255" s="109"/>
      <c r="AG255" s="108"/>
      <c r="AH255" s="109"/>
      <c r="AI255" s="108"/>
      <c r="AJ255" s="111"/>
      <c r="AK255" s="100"/>
      <c r="AL255" s="110"/>
      <c r="AM255" s="110"/>
      <c r="AN255" s="100"/>
      <c r="AO255" s="100"/>
      <c r="AP255" s="100"/>
      <c r="AQ255" s="100"/>
      <c r="AR255" s="100"/>
      <c r="AS255" s="100"/>
      <c r="AT255" s="100"/>
      <c r="AU255" s="111"/>
      <c r="AV255" s="111"/>
    </row>
    <row r="256" spans="1:48" ht="16.3">
      <c r="A256" s="246" t="s">
        <v>2</v>
      </c>
      <c r="B256" s="538">
        <f>SUM(L256+M256+N256+O256+P256+U256+X256+Y256+Z256+AC256+AK256+AL256+AK256+AO256+AR256+AS256+AU256+AV256+AW256+AX256+AP256)</f>
        <v>0</v>
      </c>
      <c r="C256" s="215">
        <f>SUM(L256+M256+N256+O256+P256+U256+Y256+Z256+X256+AC256+AL256+AK256+AL256+AP256+AS256+AO256+AV256+AW256+AX256+AY256+AR256+AU256)</f>
        <v>0</v>
      </c>
      <c r="D256" s="133"/>
      <c r="E256" s="134"/>
      <c r="F256" s="135"/>
      <c r="G256" s="136"/>
      <c r="H256" s="683"/>
      <c r="I256" s="676"/>
      <c r="J256" s="96"/>
      <c r="K256" s="96"/>
      <c r="L256" s="104"/>
      <c r="M256" s="75"/>
      <c r="N256" s="75"/>
      <c r="O256" s="75"/>
      <c r="P256" s="75"/>
      <c r="Q256" s="105"/>
      <c r="R256" s="105"/>
      <c r="S256" s="96"/>
      <c r="T256" s="109"/>
      <c r="U256" s="100"/>
      <c r="V256" s="110"/>
      <c r="W256" s="110"/>
      <c r="X256" s="100"/>
      <c r="Y256" s="100"/>
      <c r="Z256" s="75"/>
      <c r="AA256" s="110"/>
      <c r="AB256" s="110"/>
      <c r="AC256" s="100"/>
      <c r="AD256" s="109"/>
      <c r="AE256" s="109"/>
      <c r="AF256" s="109"/>
      <c r="AG256" s="108"/>
      <c r="AH256" s="109"/>
      <c r="AI256" s="108"/>
      <c r="AJ256" s="111"/>
      <c r="AK256" s="100"/>
      <c r="AL256" s="110"/>
      <c r="AM256" s="110"/>
      <c r="AN256" s="100"/>
      <c r="AO256" s="100"/>
      <c r="AP256" s="100"/>
      <c r="AQ256" s="100"/>
      <c r="AR256" s="100"/>
      <c r="AS256" s="100"/>
      <c r="AT256" s="100"/>
      <c r="AU256" s="111"/>
      <c r="AV256" s="111"/>
    </row>
    <row r="257" spans="1:48" ht="16.3">
      <c r="A257" s="83" t="s">
        <v>363</v>
      </c>
      <c r="B257" s="539">
        <f t="shared" ref="B257:C257" si="39">SUM(B255+B256)</f>
        <v>0</v>
      </c>
      <c r="C257" s="214">
        <f t="shared" si="39"/>
        <v>0</v>
      </c>
      <c r="D257" s="133"/>
      <c r="E257" s="134"/>
      <c r="F257" s="135"/>
      <c r="G257" s="136"/>
      <c r="H257" s="683"/>
      <c r="I257" s="676"/>
      <c r="J257" s="96"/>
      <c r="K257" s="96"/>
      <c r="L257" s="104"/>
      <c r="M257" s="75"/>
      <c r="N257" s="75"/>
      <c r="O257" s="75"/>
      <c r="P257" s="75"/>
      <c r="Q257" s="105"/>
      <c r="R257" s="105"/>
      <c r="S257" s="96"/>
      <c r="T257" s="109"/>
      <c r="U257" s="100"/>
      <c r="V257" s="110"/>
      <c r="W257" s="110"/>
      <c r="X257" s="100"/>
      <c r="Y257" s="100"/>
      <c r="Z257" s="75"/>
      <c r="AA257" s="110"/>
      <c r="AB257" s="110"/>
      <c r="AC257" s="100"/>
      <c r="AD257" s="109"/>
      <c r="AE257" s="109"/>
      <c r="AF257" s="109"/>
      <c r="AG257" s="108"/>
      <c r="AH257" s="109"/>
      <c r="AI257" s="108"/>
      <c r="AJ257" s="111"/>
      <c r="AK257" s="100"/>
      <c r="AL257" s="110"/>
      <c r="AM257" s="110"/>
      <c r="AN257" s="100"/>
      <c r="AO257" s="100"/>
      <c r="AP257" s="100"/>
      <c r="AQ257" s="100"/>
      <c r="AR257" s="100"/>
      <c r="AS257" s="100"/>
      <c r="AT257" s="100"/>
      <c r="AU257" s="111"/>
      <c r="AV257" s="111"/>
    </row>
    <row r="258" spans="1:48" ht="16.3">
      <c r="A258" s="83" t="s">
        <v>3</v>
      </c>
      <c r="B258" s="539">
        <f>SUM(L258+M258+N258+O258+P258+U258+X258+Y258+Z258+AC258+AK258+AL258+AK258+AO258+AR258+AS258+AU258+AV258+AW258+AX258+AP258)</f>
        <v>0</v>
      </c>
      <c r="C258" s="214">
        <f>SUM(L258+M258+N258+O258+P258+U258+Y258+Z258+X258+AC258+AL258+AK258+AL258+AP258+AS258+AO258+AV258+AW258+AX258+AY258+AR258+AU258)</f>
        <v>0</v>
      </c>
      <c r="D258" s="133"/>
      <c r="E258" s="134"/>
      <c r="F258" s="135"/>
      <c r="G258" s="136"/>
      <c r="H258" s="683"/>
      <c r="I258" s="676"/>
      <c r="J258" s="96"/>
      <c r="K258" s="96"/>
      <c r="L258" s="104"/>
      <c r="M258" s="75"/>
      <c r="N258" s="75"/>
      <c r="O258" s="75"/>
      <c r="P258" s="75"/>
      <c r="Q258" s="105"/>
      <c r="R258" s="105"/>
      <c r="S258" s="96"/>
      <c r="T258" s="109"/>
      <c r="U258" s="100"/>
      <c r="V258" s="110"/>
      <c r="W258" s="110"/>
      <c r="X258" s="100"/>
      <c r="Y258" s="100"/>
      <c r="Z258" s="75"/>
      <c r="AA258" s="110"/>
      <c r="AB258" s="110"/>
      <c r="AC258" s="100"/>
      <c r="AD258" s="109"/>
      <c r="AE258" s="109"/>
      <c r="AF258" s="109"/>
      <c r="AG258" s="108"/>
      <c r="AH258" s="109"/>
      <c r="AI258" s="108"/>
      <c r="AJ258" s="111"/>
      <c r="AK258" s="100"/>
      <c r="AL258" s="110"/>
      <c r="AM258" s="110"/>
      <c r="AN258" s="100"/>
      <c r="AO258" s="100"/>
      <c r="AP258" s="100"/>
      <c r="AQ258" s="100"/>
      <c r="AR258" s="100"/>
      <c r="AS258" s="100"/>
      <c r="AT258" s="100"/>
      <c r="AU258" s="111"/>
      <c r="AV258" s="111"/>
    </row>
    <row r="259" spans="1:48" ht="17" thickBot="1">
      <c r="A259" s="85" t="s">
        <v>4</v>
      </c>
      <c r="B259" s="541">
        <f>SUM(L259+M259+N259+O259+P259+U259+X259+Y259+Z259+AC259+AK259+AL259+AK259+AO259+AR259+AS259+AU259+AV259+AW259+AX259+AP259)</f>
        <v>0</v>
      </c>
      <c r="C259" s="217">
        <f>SUM(L259+M259+N259+O259+P259+U259+Y259+Z259+X259+AC259+AL259+AK259+AL259+AP259+AS259+AO259+AV259+AW259+AX259+AY259+AR259+AU259)</f>
        <v>0</v>
      </c>
      <c r="D259" s="144"/>
      <c r="E259" s="145"/>
      <c r="F259" s="146"/>
      <c r="G259" s="147"/>
      <c r="H259" s="684"/>
      <c r="I259" s="677"/>
      <c r="J259" s="114"/>
      <c r="K259" s="114"/>
      <c r="L259" s="113"/>
      <c r="M259" s="112"/>
      <c r="N259" s="112"/>
      <c r="O259" s="112"/>
      <c r="P259" s="112"/>
      <c r="Q259" s="127"/>
      <c r="R259" s="127"/>
      <c r="S259" s="114"/>
      <c r="T259" s="118"/>
      <c r="U259" s="116"/>
      <c r="V259" s="120"/>
      <c r="W259" s="120"/>
      <c r="X259" s="116"/>
      <c r="Y259" s="116"/>
      <c r="Z259" s="112"/>
      <c r="AA259" s="120"/>
      <c r="AB259" s="120"/>
      <c r="AC259" s="116"/>
      <c r="AD259" s="118"/>
      <c r="AE259" s="118"/>
      <c r="AF259" s="118"/>
      <c r="AG259" s="117"/>
      <c r="AH259" s="114"/>
      <c r="AI259" s="108"/>
      <c r="AJ259" s="111"/>
      <c r="AK259" s="100"/>
      <c r="AL259" s="110"/>
      <c r="AM259" s="110"/>
      <c r="AN259" s="100"/>
      <c r="AO259" s="100"/>
      <c r="AP259" s="100"/>
      <c r="AQ259" s="100"/>
      <c r="AR259" s="100"/>
      <c r="AS259" s="100"/>
      <c r="AT259" s="100"/>
      <c r="AU259" s="111"/>
      <c r="AV259" s="111"/>
    </row>
    <row r="260" spans="1:48" ht="21.1">
      <c r="A260" s="82" t="s">
        <v>100</v>
      </c>
      <c r="B260" s="539"/>
      <c r="C260" s="214"/>
      <c r="D260" s="133"/>
      <c r="E260" s="134"/>
      <c r="F260" s="135"/>
      <c r="G260" s="136"/>
      <c r="H260" s="683"/>
      <c r="I260" s="676"/>
      <c r="J260" s="96" t="s">
        <v>501</v>
      </c>
      <c r="K260" s="96" t="s">
        <v>501</v>
      </c>
      <c r="L260" s="104"/>
      <c r="M260" s="75"/>
      <c r="N260" s="75" t="s">
        <v>375</v>
      </c>
      <c r="O260" s="75" t="s">
        <v>371</v>
      </c>
      <c r="P260" s="75" t="s">
        <v>339</v>
      </c>
      <c r="Q260" s="105"/>
      <c r="R260" s="105"/>
      <c r="S260" s="96" t="s">
        <v>775</v>
      </c>
      <c r="T260" s="109" t="s">
        <v>339</v>
      </c>
      <c r="U260" s="100" t="s">
        <v>339</v>
      </c>
      <c r="V260" s="110" t="s">
        <v>339</v>
      </c>
      <c r="W260" s="110" t="s">
        <v>339</v>
      </c>
      <c r="X260" s="100" t="s">
        <v>375</v>
      </c>
      <c r="Y260" s="100" t="s">
        <v>375</v>
      </c>
      <c r="Z260" s="75" t="s">
        <v>927</v>
      </c>
      <c r="AA260" s="110">
        <v>2</v>
      </c>
      <c r="AB260" s="110" t="s">
        <v>371</v>
      </c>
      <c r="AC260" s="100" t="s">
        <v>371</v>
      </c>
      <c r="AD260" s="109" t="s">
        <v>775</v>
      </c>
      <c r="AE260" s="109" t="s">
        <v>775</v>
      </c>
      <c r="AF260" s="109" t="s">
        <v>775</v>
      </c>
      <c r="AG260" s="108"/>
      <c r="AH260" s="109" t="s">
        <v>775</v>
      </c>
      <c r="AI260" s="98"/>
      <c r="AJ260" s="103"/>
      <c r="AK260" s="102"/>
      <c r="AL260" s="101"/>
      <c r="AM260" s="101"/>
      <c r="AN260" s="102"/>
      <c r="AO260" s="102"/>
      <c r="AP260" s="102"/>
      <c r="AQ260" s="102"/>
      <c r="AR260" s="102"/>
      <c r="AS260" s="102"/>
      <c r="AT260" s="102"/>
      <c r="AU260" s="103"/>
      <c r="AV260" s="103"/>
    </row>
    <row r="261" spans="1:48" ht="16.3">
      <c r="A261" s="246" t="s">
        <v>1</v>
      </c>
      <c r="B261" s="538">
        <f>SUM(L261+M261+N261+O261+P261+U261+X261+Y261+Z261+AC261+AK261+AL261+AK261+AO261+AR261+AS261+AU261+AV261+AW261+AX261+AP261)+126</f>
        <v>129</v>
      </c>
      <c r="C261" s="215">
        <f>SUM(L261+M261+N261+O261+P261+U261+Y261+Z261+X261+AC261+AL261+AK261+AL261+AP261+AS261+AO261+AV261+AW261+AX261+AY261+AR261+AU261)+126</f>
        <v>129</v>
      </c>
      <c r="D261" s="133"/>
      <c r="E261" s="134"/>
      <c r="F261" s="135"/>
      <c r="G261" s="136"/>
      <c r="H261" s="683"/>
      <c r="I261" s="676"/>
      <c r="J261" s="96"/>
      <c r="K261" s="96"/>
      <c r="L261" s="104"/>
      <c r="M261" s="75"/>
      <c r="N261" s="75"/>
      <c r="O261" s="75">
        <v>1</v>
      </c>
      <c r="P261" s="75"/>
      <c r="Q261" s="105"/>
      <c r="R261" s="105"/>
      <c r="S261" s="96"/>
      <c r="T261" s="109"/>
      <c r="U261" s="100"/>
      <c r="V261" s="110"/>
      <c r="W261" s="110"/>
      <c r="X261" s="100"/>
      <c r="Y261" s="100"/>
      <c r="Z261" s="100">
        <v>1</v>
      </c>
      <c r="AA261" s="110">
        <v>1</v>
      </c>
      <c r="AB261" s="110">
        <v>1</v>
      </c>
      <c r="AC261" s="100">
        <v>1</v>
      </c>
      <c r="AD261" s="109"/>
      <c r="AE261" s="109"/>
      <c r="AF261" s="109"/>
      <c r="AG261" s="108"/>
      <c r="AH261" s="109"/>
      <c r="AI261" s="108"/>
      <c r="AJ261" s="111"/>
      <c r="AK261" s="100"/>
      <c r="AL261" s="110"/>
      <c r="AM261" s="110"/>
      <c r="AN261" s="100"/>
      <c r="AO261" s="100"/>
      <c r="AP261" s="100"/>
      <c r="AQ261" s="100"/>
      <c r="AR261" s="100"/>
      <c r="AS261" s="100"/>
      <c r="AT261" s="100"/>
      <c r="AU261" s="111"/>
      <c r="AV261" s="111"/>
    </row>
    <row r="262" spans="1:48" ht="16.3">
      <c r="A262" s="246" t="s">
        <v>2</v>
      </c>
      <c r="B262" s="538">
        <f>SUM(L262+M262+N262+O262+P262+U262+X262+Y262+Z262+AC262+AK262+AL262+AK262+AO262+AR262+AS262+AU262+AV262+AW262+AX262+AP262)+80</f>
        <v>83</v>
      </c>
      <c r="C262" s="215">
        <f>SUM(L262+M262+N262+O262+P262+U262+Y262+Z262+X262+AC262+AL262+AK262+AL262+AP262+AS262+AO262+AV262+AW262+AX262+AY262+AR262+AU262)+80</f>
        <v>83</v>
      </c>
      <c r="D262" s="133"/>
      <c r="E262" s="134"/>
      <c r="F262" s="135"/>
      <c r="G262" s="136"/>
      <c r="H262" s="683"/>
      <c r="I262" s="676"/>
      <c r="J262" s="96"/>
      <c r="K262" s="96"/>
      <c r="L262" s="104"/>
      <c r="M262" s="75"/>
      <c r="N262" s="75">
        <v>1</v>
      </c>
      <c r="O262" s="75"/>
      <c r="P262" s="75"/>
      <c r="Q262" s="105"/>
      <c r="R262" s="105"/>
      <c r="S262" s="96"/>
      <c r="T262" s="109"/>
      <c r="U262" s="100"/>
      <c r="V262" s="110"/>
      <c r="W262" s="110"/>
      <c r="X262" s="100">
        <v>1</v>
      </c>
      <c r="Y262" s="100">
        <v>1</v>
      </c>
      <c r="Z262" s="100"/>
      <c r="AA262" s="110"/>
      <c r="AB262" s="110"/>
      <c r="AC262" s="100"/>
      <c r="AD262" s="109"/>
      <c r="AE262" s="109"/>
      <c r="AF262" s="109"/>
      <c r="AG262" s="108"/>
      <c r="AH262" s="109"/>
      <c r="AI262" s="108"/>
      <c r="AJ262" s="111"/>
      <c r="AK262" s="100"/>
      <c r="AL262" s="110"/>
      <c r="AM262" s="110"/>
      <c r="AN262" s="100"/>
      <c r="AO262" s="100"/>
      <c r="AP262" s="100"/>
      <c r="AQ262" s="100"/>
      <c r="AR262" s="100"/>
      <c r="AS262" s="100"/>
      <c r="AT262" s="100"/>
      <c r="AU262" s="111"/>
      <c r="AV262" s="111"/>
    </row>
    <row r="263" spans="1:48" ht="16.3">
      <c r="A263" s="83" t="s">
        <v>363</v>
      </c>
      <c r="B263" s="539">
        <f t="shared" ref="B263" si="40">SUM(B261+B262)</f>
        <v>212</v>
      </c>
      <c r="C263" s="214">
        <f t="shared" ref="C263" si="41">SUM(C261+C262)</f>
        <v>212</v>
      </c>
      <c r="D263" s="133"/>
      <c r="E263" s="134"/>
      <c r="F263" s="135"/>
      <c r="G263" s="136"/>
      <c r="H263" s="683"/>
      <c r="I263" s="676"/>
      <c r="J263" s="96"/>
      <c r="K263" s="96"/>
      <c r="L263" s="104"/>
      <c r="M263" s="75"/>
      <c r="N263" s="75"/>
      <c r="O263" s="75"/>
      <c r="P263" s="75"/>
      <c r="Q263" s="105"/>
      <c r="R263" s="105"/>
      <c r="S263" s="96"/>
      <c r="T263" s="109"/>
      <c r="U263" s="100"/>
      <c r="V263" s="110"/>
      <c r="W263" s="110"/>
      <c r="X263" s="100"/>
      <c r="Y263" s="100"/>
      <c r="Z263" s="100"/>
      <c r="AA263" s="110"/>
      <c r="AB263" s="110"/>
      <c r="AC263" s="100"/>
      <c r="AD263" s="109"/>
      <c r="AE263" s="109"/>
      <c r="AF263" s="109"/>
      <c r="AG263" s="108"/>
      <c r="AH263" s="109"/>
      <c r="AI263" s="108"/>
      <c r="AJ263" s="111"/>
      <c r="AK263" s="100"/>
      <c r="AL263" s="110"/>
      <c r="AM263" s="110"/>
      <c r="AN263" s="100"/>
      <c r="AO263" s="100"/>
      <c r="AP263" s="100"/>
      <c r="AQ263" s="100"/>
      <c r="AR263" s="100"/>
      <c r="AS263" s="100"/>
      <c r="AT263" s="100"/>
      <c r="AU263" s="111"/>
      <c r="AV263" s="111"/>
    </row>
    <row r="264" spans="1:48" ht="16.3">
      <c r="A264" s="246" t="s">
        <v>366</v>
      </c>
      <c r="B264" s="538">
        <f>SUM(L264+M264+N264+O264+P264+U264+X264+Y264+Z264+AC264+AK264+AL264+AK264+AO264+AR264+AS264+AU264+AV264+AW264+AX264+AP264)+10</f>
        <v>10</v>
      </c>
      <c r="C264" s="215">
        <f>SUM(L264+M264+N264+O264+P264+U264+Y264+Z264+X264+AC264+AL264+AK264+AL264+AP264+AS264+AO264+AV264+AW264+AX264+AY264+AR264+AU264)+10</f>
        <v>10</v>
      </c>
      <c r="D264" s="133"/>
      <c r="E264" s="134"/>
      <c r="F264" s="135"/>
      <c r="G264" s="136"/>
      <c r="H264" s="683"/>
      <c r="I264" s="676"/>
      <c r="J264" s="96"/>
      <c r="K264" s="96"/>
      <c r="L264" s="104"/>
      <c r="M264" s="75"/>
      <c r="N264" s="75"/>
      <c r="O264" s="75"/>
      <c r="P264" s="75"/>
      <c r="Q264" s="105"/>
      <c r="R264" s="105"/>
      <c r="S264" s="96"/>
      <c r="T264" s="109"/>
      <c r="U264" s="100"/>
      <c r="V264" s="110"/>
      <c r="W264" s="110"/>
      <c r="X264" s="100"/>
      <c r="Y264" s="100"/>
      <c r="Z264" s="100"/>
      <c r="AA264" s="110"/>
      <c r="AB264" s="110"/>
      <c r="AC264" s="100"/>
      <c r="AD264" s="109"/>
      <c r="AE264" s="109"/>
      <c r="AF264" s="109"/>
      <c r="AG264" s="108"/>
      <c r="AH264" s="109"/>
      <c r="AI264" s="108"/>
      <c r="AJ264" s="111"/>
      <c r="AK264" s="100"/>
      <c r="AL264" s="110"/>
      <c r="AM264" s="110"/>
      <c r="AN264" s="100"/>
      <c r="AO264" s="100"/>
      <c r="AP264" s="100"/>
      <c r="AQ264" s="100"/>
      <c r="AR264" s="100"/>
      <c r="AS264" s="100"/>
      <c r="AT264" s="100"/>
      <c r="AU264" s="111"/>
      <c r="AV264" s="111"/>
    </row>
    <row r="265" spans="1:48" ht="16.3">
      <c r="A265" s="246" t="s">
        <v>362</v>
      </c>
      <c r="B265" s="538">
        <f>SUM(L265+M265+N265+O265+P265+U265+X265+Y265+Z265+AC265+AK265+AL265+AK265+AO265+AR265+AS265+AU265+AV265+AW265+AX265+AP265)+2</f>
        <v>2</v>
      </c>
      <c r="C265" s="215">
        <f>SUM(L265+M265+N265+O265+P265+U265+Y265+Z265+X265+AC265+AL265+AK265+AL265+AP265+AS265+AO265+AV265+AW265+AX265+AY265+AR265+AU265)+2</f>
        <v>2</v>
      </c>
      <c r="D265" s="133"/>
      <c r="E265" s="134"/>
      <c r="F265" s="135"/>
      <c r="G265" s="136"/>
      <c r="H265" s="683"/>
      <c r="I265" s="676"/>
      <c r="J265" s="96"/>
      <c r="K265" s="96"/>
      <c r="L265" s="104"/>
      <c r="M265" s="75"/>
      <c r="N265" s="75"/>
      <c r="O265" s="75"/>
      <c r="P265" s="75"/>
      <c r="Q265" s="105"/>
      <c r="R265" s="105"/>
      <c r="S265" s="96"/>
      <c r="T265" s="109"/>
      <c r="U265" s="100"/>
      <c r="V265" s="110"/>
      <c r="W265" s="110"/>
      <c r="X265" s="100"/>
      <c r="Y265" s="100"/>
      <c r="Z265" s="100"/>
      <c r="AA265" s="110"/>
      <c r="AB265" s="110"/>
      <c r="AC265" s="100"/>
      <c r="AD265" s="109"/>
      <c r="AE265" s="109"/>
      <c r="AF265" s="109"/>
      <c r="AG265" s="108"/>
      <c r="AH265" s="109"/>
      <c r="AI265" s="108"/>
      <c r="AJ265" s="111"/>
      <c r="AK265" s="100"/>
      <c r="AL265" s="110"/>
      <c r="AM265" s="110"/>
      <c r="AN265" s="100"/>
      <c r="AO265" s="100"/>
      <c r="AP265" s="100"/>
      <c r="AQ265" s="100"/>
      <c r="AR265" s="100"/>
      <c r="AS265" s="100"/>
      <c r="AT265" s="100"/>
      <c r="AU265" s="111"/>
      <c r="AV265" s="111"/>
    </row>
    <row r="266" spans="1:48" ht="16.3">
      <c r="A266" s="83" t="s">
        <v>3</v>
      </c>
      <c r="B266" s="539">
        <f>SUM(L266+M266+N266+O266+P266+U266+X266+Y266+Z266+AC266+AK266+AL266+AK266+AO266+AR266+AS266+AU266+AV266+AW266+AX266+AP266)+43</f>
        <v>43</v>
      </c>
      <c r="C266" s="214">
        <f>SUM(L266+M266+N266+O266+P266+U266+Y266+Z266+X266+AC266+AL266+AK266+AL266+AP266+AS266+AO266+AV266+AW266+AX266+AY266+AR266+AU266)+43</f>
        <v>43</v>
      </c>
      <c r="D266" s="133"/>
      <c r="E266" s="134"/>
      <c r="F266" s="135"/>
      <c r="G266" s="136"/>
      <c r="H266" s="683"/>
      <c r="I266" s="676"/>
      <c r="J266" s="96"/>
      <c r="K266" s="96"/>
      <c r="L266" s="104"/>
      <c r="M266" s="75"/>
      <c r="N266" s="75"/>
      <c r="O266" s="75"/>
      <c r="P266" s="75"/>
      <c r="Q266" s="105"/>
      <c r="R266" s="105"/>
      <c r="S266" s="96"/>
      <c r="T266" s="109"/>
      <c r="U266" s="100"/>
      <c r="V266" s="110"/>
      <c r="W266" s="110"/>
      <c r="X266" s="100"/>
      <c r="Y266" s="100"/>
      <c r="Z266" s="100"/>
      <c r="AA266" s="110"/>
      <c r="AB266" s="110"/>
      <c r="AC266" s="100"/>
      <c r="AD266" s="109"/>
      <c r="AE266" s="109"/>
      <c r="AF266" s="109"/>
      <c r="AG266" s="108"/>
      <c r="AH266" s="109"/>
      <c r="AI266" s="108"/>
      <c r="AJ266" s="111"/>
      <c r="AK266" s="100"/>
      <c r="AL266" s="110"/>
      <c r="AM266" s="110"/>
      <c r="AN266" s="100"/>
      <c r="AO266" s="100"/>
      <c r="AP266" s="100"/>
      <c r="AQ266" s="100"/>
      <c r="AR266" s="100"/>
      <c r="AS266" s="100"/>
      <c r="AT266" s="100"/>
      <c r="AU266" s="111"/>
      <c r="AV266" s="111"/>
    </row>
    <row r="267" spans="1:48" ht="17" thickBot="1">
      <c r="A267" s="85" t="s">
        <v>4</v>
      </c>
      <c r="B267" s="541">
        <f>SUM(L267+M267+N267+O267+P267+U267+X267+Y267+Z267+AC267+AK267+AL267+AK267+AO267+AR267+AS267+AU267+AV267+AW267+AX267+AP267)+215</f>
        <v>215</v>
      </c>
      <c r="C267" s="217">
        <f>SUM(L267+M267+N267+O267+P267+U267+Y267+Z267+X267+AC267+AL267+AK267+AL267+AP267+AS267+AO267+AV267+AW267+AX267+AY267+AR267+AU267)+215</f>
        <v>215</v>
      </c>
      <c r="D267" s="144"/>
      <c r="E267" s="145"/>
      <c r="F267" s="146"/>
      <c r="G267" s="147"/>
      <c r="H267" s="684"/>
      <c r="I267" s="677"/>
      <c r="J267" s="114"/>
      <c r="K267" s="114"/>
      <c r="L267" s="113"/>
      <c r="M267" s="112"/>
      <c r="N267" s="112"/>
      <c r="O267" s="112"/>
      <c r="P267" s="112"/>
      <c r="Q267" s="127"/>
      <c r="R267" s="127"/>
      <c r="S267" s="114"/>
      <c r="T267" s="118"/>
      <c r="U267" s="116"/>
      <c r="V267" s="119"/>
      <c r="W267" s="120"/>
      <c r="X267" s="116"/>
      <c r="Y267" s="116"/>
      <c r="Z267" s="116"/>
      <c r="AA267" s="120"/>
      <c r="AB267" s="120"/>
      <c r="AC267" s="116"/>
      <c r="AD267" s="118"/>
      <c r="AE267" s="118"/>
      <c r="AF267" s="118"/>
      <c r="AG267" s="117"/>
      <c r="AH267" s="118"/>
      <c r="AI267" s="117"/>
      <c r="AJ267" s="121"/>
      <c r="AK267" s="116"/>
      <c r="AL267" s="120"/>
      <c r="AM267" s="120"/>
      <c r="AN267" s="116"/>
      <c r="AO267" s="116"/>
      <c r="AP267" s="116"/>
      <c r="AQ267" s="116"/>
      <c r="AR267" s="116"/>
      <c r="AS267" s="116"/>
      <c r="AT267" s="116"/>
      <c r="AU267" s="121"/>
      <c r="AV267" s="121"/>
    </row>
    <row r="268" spans="1:48" ht="21.1">
      <c r="A268" s="82" t="s">
        <v>161</v>
      </c>
      <c r="B268" s="539"/>
      <c r="C268" s="214"/>
      <c r="D268" s="133"/>
      <c r="E268" s="134"/>
      <c r="F268" s="135"/>
      <c r="G268" s="136"/>
      <c r="H268" s="683"/>
      <c r="I268" s="676"/>
      <c r="J268" s="96" t="s">
        <v>501</v>
      </c>
      <c r="K268" s="96" t="s">
        <v>371</v>
      </c>
      <c r="L268" s="104" t="s">
        <v>371</v>
      </c>
      <c r="M268" s="75" t="s">
        <v>371</v>
      </c>
      <c r="N268" s="75" t="s">
        <v>371</v>
      </c>
      <c r="O268" s="75" t="s">
        <v>375</v>
      </c>
      <c r="P268" s="75" t="s">
        <v>371</v>
      </c>
      <c r="Q268" s="105"/>
      <c r="R268" s="105"/>
      <c r="S268" s="96" t="s">
        <v>775</v>
      </c>
      <c r="T268" s="109" t="s">
        <v>775</v>
      </c>
      <c r="U268" s="100" t="s">
        <v>371</v>
      </c>
      <c r="V268" s="110" t="s">
        <v>375</v>
      </c>
      <c r="W268" s="110" t="s">
        <v>872</v>
      </c>
      <c r="X268" s="102" t="s">
        <v>371</v>
      </c>
      <c r="Y268" s="102" t="s">
        <v>371</v>
      </c>
      <c r="Z268" s="102" t="s">
        <v>375</v>
      </c>
      <c r="AA268" s="101" t="s">
        <v>339</v>
      </c>
      <c r="AB268" s="101" t="s">
        <v>339</v>
      </c>
      <c r="AC268" s="102" t="s">
        <v>339</v>
      </c>
      <c r="AD268" s="99" t="s">
        <v>775</v>
      </c>
      <c r="AE268" s="99" t="s">
        <v>775</v>
      </c>
      <c r="AF268" s="99" t="s">
        <v>775</v>
      </c>
      <c r="AG268" s="98"/>
      <c r="AH268" s="99" t="s">
        <v>371</v>
      </c>
      <c r="AI268" s="98"/>
      <c r="AJ268" s="103"/>
      <c r="AK268" s="102"/>
      <c r="AL268" s="101"/>
      <c r="AM268" s="101"/>
      <c r="AN268" s="102"/>
      <c r="AO268" s="102"/>
      <c r="AP268" s="102"/>
      <c r="AQ268" s="102"/>
      <c r="AR268" s="102"/>
      <c r="AS268" s="102"/>
      <c r="AT268" s="102"/>
      <c r="AU268" s="103"/>
      <c r="AV268" s="103"/>
    </row>
    <row r="269" spans="1:48" ht="16.3">
      <c r="A269" s="246" t="s">
        <v>1</v>
      </c>
      <c r="B269" s="538">
        <f>SUM(L269+M269+N269+O269+P269+U269+X269+Y269+Z269+AC269+AK269+AL269+AK269+AO269+AR269+AS269+AU269+AV269+AW269+AX269+AP269)+19</f>
        <v>26</v>
      </c>
      <c r="C269" s="215">
        <f>SUM(L269+M269+N269+O269+P269+U269+Y269+Z269+X269+AC269+AL269+AK269+AL269+AP269+AS269+AO269+AV269+AW269+AX269+AY269+AR269+AU269)+19</f>
        <v>26</v>
      </c>
      <c r="D269" s="133"/>
      <c r="E269" s="134"/>
      <c r="F269" s="135"/>
      <c r="G269" s="136"/>
      <c r="H269" s="683"/>
      <c r="I269" s="676"/>
      <c r="J269" s="96"/>
      <c r="K269" s="96">
        <v>1</v>
      </c>
      <c r="L269" s="104">
        <v>1</v>
      </c>
      <c r="M269" s="75">
        <v>1</v>
      </c>
      <c r="N269" s="75">
        <v>1</v>
      </c>
      <c r="O269" s="75"/>
      <c r="P269" s="75">
        <v>1</v>
      </c>
      <c r="Q269" s="105"/>
      <c r="R269" s="105"/>
      <c r="S269" s="96"/>
      <c r="T269" s="109"/>
      <c r="U269" s="100">
        <v>1</v>
      </c>
      <c r="V269" s="110"/>
      <c r="W269" s="110">
        <v>1</v>
      </c>
      <c r="X269" s="100">
        <v>1</v>
      </c>
      <c r="Y269" s="100">
        <v>1</v>
      </c>
      <c r="Z269" s="100"/>
      <c r="AA269" s="110"/>
      <c r="AB269" s="110"/>
      <c r="AC269" s="100"/>
      <c r="AD269" s="109"/>
      <c r="AE269" s="109"/>
      <c r="AF269" s="109"/>
      <c r="AG269" s="108"/>
      <c r="AH269" s="109">
        <v>1</v>
      </c>
      <c r="AI269" s="108"/>
      <c r="AJ269" s="111"/>
      <c r="AK269" s="100"/>
      <c r="AL269" s="110"/>
      <c r="AM269" s="110"/>
      <c r="AN269" s="100"/>
      <c r="AO269" s="100"/>
      <c r="AP269" s="100"/>
      <c r="AQ269" s="100"/>
      <c r="AR269" s="100"/>
      <c r="AS269" s="100"/>
      <c r="AT269" s="100"/>
      <c r="AU269" s="111"/>
      <c r="AV269" s="111"/>
    </row>
    <row r="270" spans="1:48" ht="16.3">
      <c r="A270" s="246" t="s">
        <v>2</v>
      </c>
      <c r="B270" s="538">
        <f>SUM(L270+M270+N270+O270+P270+U270+X270+Y270+Z270+AC270+AK270+AL270+AK270+AO270+AR270+AS270+AU270+AV270+AW270+AX270+AP270)+26</f>
        <v>28</v>
      </c>
      <c r="C270" s="215">
        <f>SUM(L270+M270+N270+O270+P270+U270+Y270+Z270+X270+AC270+AL270+AK270+AL270+AP270+AS270+AO270+AV270+AW270+AX270+AY270+AR270+AU270)+26</f>
        <v>28</v>
      </c>
      <c r="D270" s="133"/>
      <c r="E270" s="134"/>
      <c r="F270" s="135"/>
      <c r="G270" s="136"/>
      <c r="H270" s="683"/>
      <c r="I270" s="676"/>
      <c r="J270" s="96"/>
      <c r="K270" s="96"/>
      <c r="L270" s="104"/>
      <c r="M270" s="75"/>
      <c r="N270" s="75"/>
      <c r="O270" s="75">
        <v>1</v>
      </c>
      <c r="P270" s="75"/>
      <c r="Q270" s="105"/>
      <c r="R270" s="105"/>
      <c r="S270" s="96"/>
      <c r="T270" s="96"/>
      <c r="U270" s="75"/>
      <c r="V270" s="106">
        <v>1</v>
      </c>
      <c r="W270" s="106"/>
      <c r="X270" s="75"/>
      <c r="Y270" s="75"/>
      <c r="Z270" s="75">
        <v>1</v>
      </c>
      <c r="AA270" s="106"/>
      <c r="AB270" s="106"/>
      <c r="AC270" s="75"/>
      <c r="AD270" s="96"/>
      <c r="AE270" s="96"/>
      <c r="AF270" s="96"/>
      <c r="AG270" s="105"/>
      <c r="AH270" s="96"/>
      <c r="AI270" s="105"/>
      <c r="AJ270" s="107"/>
      <c r="AK270" s="75"/>
      <c r="AL270" s="106"/>
      <c r="AM270" s="106"/>
      <c r="AN270" s="75"/>
      <c r="AO270" s="75"/>
      <c r="AP270" s="75"/>
      <c r="AQ270" s="75"/>
      <c r="AR270" s="75"/>
      <c r="AS270" s="75"/>
      <c r="AT270" s="75"/>
      <c r="AU270" s="107"/>
      <c r="AV270" s="107"/>
    </row>
    <row r="271" spans="1:48" ht="16.3">
      <c r="A271" s="83" t="s">
        <v>363</v>
      </c>
      <c r="B271" s="539">
        <f t="shared" ref="B271:C271" si="42">SUM(B269+B270)</f>
        <v>54</v>
      </c>
      <c r="C271" s="214">
        <f t="shared" si="42"/>
        <v>54</v>
      </c>
      <c r="D271" s="133"/>
      <c r="E271" s="134"/>
      <c r="F271" s="135"/>
      <c r="G271" s="136"/>
      <c r="H271" s="683"/>
      <c r="I271" s="676"/>
      <c r="J271" s="96"/>
      <c r="K271" s="96"/>
      <c r="L271" s="104"/>
      <c r="M271" s="75"/>
      <c r="N271" s="75"/>
      <c r="O271" s="75"/>
      <c r="P271" s="75"/>
      <c r="Q271" s="105"/>
      <c r="R271" s="105"/>
      <c r="S271" s="96"/>
      <c r="T271" s="109"/>
      <c r="U271" s="100"/>
      <c r="V271" s="110"/>
      <c r="W271" s="110"/>
      <c r="X271" s="100"/>
      <c r="Y271" s="100"/>
      <c r="Z271" s="100"/>
      <c r="AA271" s="110"/>
      <c r="AB271" s="110"/>
      <c r="AC271" s="100"/>
      <c r="AD271" s="109"/>
      <c r="AE271" s="109"/>
      <c r="AF271" s="109"/>
      <c r="AG271" s="108"/>
      <c r="AH271" s="109"/>
      <c r="AI271" s="108"/>
      <c r="AJ271" s="111"/>
      <c r="AK271" s="100"/>
      <c r="AL271" s="110"/>
      <c r="AM271" s="110"/>
      <c r="AN271" s="100"/>
      <c r="AO271" s="100"/>
      <c r="AP271" s="100"/>
      <c r="AQ271" s="100"/>
      <c r="AR271" s="100"/>
      <c r="AS271" s="100"/>
      <c r="AT271" s="100"/>
      <c r="AU271" s="111"/>
      <c r="AV271" s="111"/>
    </row>
    <row r="272" spans="1:48" ht="16.3">
      <c r="A272" s="83" t="s">
        <v>3</v>
      </c>
      <c r="B272" s="539">
        <f>SUM(L272+M272+N272+O272+P272+U272+X272+Y272+Z272+AC272+AK272+AL272+AK272+AO272+AR272+AS272+AU272+AV272+AW272+AX272+AP272)+16</f>
        <v>18</v>
      </c>
      <c r="C272" s="214">
        <f>SUM(L272+M272+N272+O272+P272+U272+Y272+Z272+X272+AC272+AL272+AK272+AL272+AP272+AS272+AO272+AV272+AW272+AX272+AY272+AR272+AU272)+16</f>
        <v>18</v>
      </c>
      <c r="D272" s="133"/>
      <c r="E272" s="134"/>
      <c r="F272" s="135"/>
      <c r="G272" s="136"/>
      <c r="H272" s="683"/>
      <c r="I272" s="676"/>
      <c r="J272" s="96"/>
      <c r="K272" s="96"/>
      <c r="L272" s="104"/>
      <c r="M272" s="75">
        <v>1</v>
      </c>
      <c r="N272" s="75"/>
      <c r="O272" s="75"/>
      <c r="P272" s="75"/>
      <c r="Q272" s="105"/>
      <c r="R272" s="105"/>
      <c r="S272" s="96"/>
      <c r="T272" s="109"/>
      <c r="U272" s="100"/>
      <c r="V272" s="110">
        <v>1</v>
      </c>
      <c r="W272" s="110">
        <v>1</v>
      </c>
      <c r="X272" s="100"/>
      <c r="Y272" s="100">
        <v>1</v>
      </c>
      <c r="Z272" s="100"/>
      <c r="AA272" s="110"/>
      <c r="AB272" s="110"/>
      <c r="AC272" s="100"/>
      <c r="AD272" s="109"/>
      <c r="AE272" s="109"/>
      <c r="AF272" s="109"/>
      <c r="AG272" s="108"/>
      <c r="AH272" s="109">
        <v>1</v>
      </c>
      <c r="AI272" s="108"/>
      <c r="AJ272" s="111"/>
      <c r="AK272" s="100"/>
      <c r="AL272" s="110"/>
      <c r="AM272" s="110"/>
      <c r="AN272" s="100"/>
      <c r="AO272" s="100"/>
      <c r="AP272" s="100"/>
      <c r="AQ272" s="100"/>
      <c r="AR272" s="100"/>
      <c r="AS272" s="100"/>
      <c r="AT272" s="100"/>
      <c r="AU272" s="111"/>
      <c r="AV272" s="111"/>
    </row>
    <row r="273" spans="1:48" ht="17" thickBot="1">
      <c r="A273" s="85" t="s">
        <v>4</v>
      </c>
      <c r="B273" s="541">
        <f>SUM(L273+M273+N273+O273+P273+U273+X273+Y273+Z273+AC273+AK273+AL273+AK273+AO273+AR273+AS273+AU273+AV273+AW273+AX273+AP273)+80</f>
        <v>90</v>
      </c>
      <c r="C273" s="217">
        <f>SUM(L273+M273+N273+O273+P273+U273+Y273+Z273+X273+AC273+AL273+AK273+AL273+AP273+AS273+AO273+AV273+AW273+AX273+AY273+AR273+AU273)+80</f>
        <v>90</v>
      </c>
      <c r="D273" s="144"/>
      <c r="E273" s="145"/>
      <c r="F273" s="146"/>
      <c r="G273" s="147"/>
      <c r="H273" s="684"/>
      <c r="I273" s="677"/>
      <c r="J273" s="114"/>
      <c r="K273" s="114"/>
      <c r="L273" s="113"/>
      <c r="M273" s="112">
        <v>5</v>
      </c>
      <c r="N273" s="112"/>
      <c r="O273" s="112"/>
      <c r="P273" s="112"/>
      <c r="Q273" s="127"/>
      <c r="R273" s="127"/>
      <c r="S273" s="114"/>
      <c r="T273" s="118"/>
      <c r="U273" s="116"/>
      <c r="V273" s="119">
        <v>5</v>
      </c>
      <c r="W273" s="120">
        <v>5</v>
      </c>
      <c r="X273" s="116"/>
      <c r="Y273" s="116">
        <v>5</v>
      </c>
      <c r="Z273" s="116"/>
      <c r="AA273" s="120"/>
      <c r="AB273" s="120"/>
      <c r="AC273" s="116"/>
      <c r="AD273" s="118"/>
      <c r="AE273" s="118"/>
      <c r="AF273" s="118"/>
      <c r="AG273" s="117"/>
      <c r="AH273" s="118">
        <v>5</v>
      </c>
      <c r="AI273" s="117"/>
      <c r="AJ273" s="121"/>
      <c r="AK273" s="116"/>
      <c r="AL273" s="120"/>
      <c r="AM273" s="120"/>
      <c r="AN273" s="116"/>
      <c r="AO273" s="116"/>
      <c r="AP273" s="116"/>
      <c r="AQ273" s="116"/>
      <c r="AR273" s="116"/>
      <c r="AS273" s="116"/>
      <c r="AT273" s="116"/>
      <c r="AU273" s="121"/>
      <c r="AV273" s="121"/>
    </row>
    <row r="274" spans="1:48" ht="21.1">
      <c r="A274" s="82" t="s">
        <v>257</v>
      </c>
      <c r="B274" s="539"/>
      <c r="C274" s="214"/>
      <c r="D274" s="133"/>
      <c r="E274" s="134"/>
      <c r="F274" s="135"/>
      <c r="G274" s="136"/>
      <c r="H274" s="683"/>
      <c r="I274" s="676"/>
      <c r="J274" s="96" t="s">
        <v>371</v>
      </c>
      <c r="K274" s="96"/>
      <c r="L274" s="104"/>
      <c r="M274" s="75" t="s">
        <v>375</v>
      </c>
      <c r="N274" s="75"/>
      <c r="O274" s="75"/>
      <c r="P274" s="75" t="s">
        <v>375</v>
      </c>
      <c r="Q274" s="105"/>
      <c r="R274" s="105"/>
      <c r="S274" s="96" t="s">
        <v>371</v>
      </c>
      <c r="T274" s="109"/>
      <c r="U274" s="100" t="s">
        <v>375</v>
      </c>
      <c r="V274" s="110" t="s">
        <v>371</v>
      </c>
      <c r="W274" s="110" t="s">
        <v>375</v>
      </c>
      <c r="X274" s="100"/>
      <c r="Y274" s="100"/>
      <c r="Z274" s="100"/>
      <c r="AA274" s="110" t="s">
        <v>393</v>
      </c>
      <c r="AB274" s="110" t="s">
        <v>375</v>
      </c>
      <c r="AC274" s="100" t="s">
        <v>375</v>
      </c>
      <c r="AD274" s="109" t="s">
        <v>371</v>
      </c>
      <c r="AE274" s="109" t="s">
        <v>371</v>
      </c>
      <c r="AF274" s="109" t="s">
        <v>371</v>
      </c>
      <c r="AG274" s="108"/>
      <c r="AH274" s="109" t="s">
        <v>375</v>
      </c>
      <c r="AI274" s="108"/>
      <c r="AJ274" s="111"/>
      <c r="AK274" s="100"/>
      <c r="AL274" s="110"/>
      <c r="AM274" s="110"/>
      <c r="AN274" s="100"/>
      <c r="AO274" s="100"/>
      <c r="AP274" s="100"/>
      <c r="AQ274" s="100"/>
      <c r="AR274" s="100"/>
      <c r="AS274" s="100"/>
      <c r="AT274" s="100"/>
      <c r="AU274" s="111"/>
      <c r="AV274" s="111"/>
    </row>
    <row r="275" spans="1:48" ht="16.3">
      <c r="A275" s="246" t="s">
        <v>1</v>
      </c>
      <c r="B275" s="538">
        <f>SUM(L275+M275+N275+O275+P275+U275+X275+Y275+Z275+AC275+AK275+AL275+AK275+AO275+AR275+AS275+AU275+AV275+AW275+AX275+AP275)+3</f>
        <v>3</v>
      </c>
      <c r="C275" s="215">
        <f>SUM(L275+M275+N275+O275+P275+U275+Y275+Z275+X275+AC275+AL275+AK275+AL275+AP275+AS275+AO275+AV275+AW275+AX275+AY275+AR275+AU275)+3</f>
        <v>3</v>
      </c>
      <c r="D275" s="133"/>
      <c r="E275" s="134"/>
      <c r="F275" s="135"/>
      <c r="G275" s="136"/>
      <c r="H275" s="683"/>
      <c r="I275" s="676"/>
      <c r="J275" s="96">
        <v>1</v>
      </c>
      <c r="K275" s="96"/>
      <c r="L275" s="104"/>
      <c r="M275" s="75"/>
      <c r="N275" s="75"/>
      <c r="O275" s="75"/>
      <c r="P275" s="75"/>
      <c r="Q275" s="105"/>
      <c r="R275" s="105"/>
      <c r="S275" s="96">
        <v>1</v>
      </c>
      <c r="T275" s="109"/>
      <c r="U275" s="100"/>
      <c r="V275" s="110">
        <v>1</v>
      </c>
      <c r="W275" s="110"/>
      <c r="X275" s="100"/>
      <c r="Y275" s="100"/>
      <c r="Z275" s="100"/>
      <c r="AA275" s="110"/>
      <c r="AB275" s="110"/>
      <c r="AC275" s="100"/>
      <c r="AD275" s="109">
        <v>1</v>
      </c>
      <c r="AE275" s="109">
        <v>1</v>
      </c>
      <c r="AF275" s="109">
        <v>1</v>
      </c>
      <c r="AG275" s="108"/>
      <c r="AH275" s="109"/>
      <c r="AI275" s="108"/>
      <c r="AJ275" s="111"/>
      <c r="AK275" s="100"/>
      <c r="AL275" s="110"/>
      <c r="AM275" s="110"/>
      <c r="AN275" s="100"/>
      <c r="AO275" s="100"/>
      <c r="AP275" s="100"/>
      <c r="AQ275" s="100"/>
      <c r="AR275" s="100"/>
      <c r="AS275" s="100"/>
      <c r="AT275" s="100"/>
      <c r="AU275" s="111"/>
      <c r="AV275" s="111"/>
    </row>
    <row r="276" spans="1:48" ht="16.3">
      <c r="A276" s="246" t="s">
        <v>2</v>
      </c>
      <c r="B276" s="538">
        <f>SUM(L276+M276+N276+O276+P276+U276+X276+Y276+Z276+AC276+AK276+AL276+AK276+AO276+AR276+AS276+AU276+AV276+AW276+AX276+AP276)+5</f>
        <v>9</v>
      </c>
      <c r="C276" s="215">
        <f>SUM(L276+M276+N276+O276+P276+U276+Y276+Z276+X276+AC276+AL276+AK276+AL276+AP276+AS276+AO276+AV276+AW276+AX276+AY276+AR276+AU276)+5</f>
        <v>9</v>
      </c>
      <c r="D276" s="133"/>
      <c r="E276" s="134"/>
      <c r="F276" s="135"/>
      <c r="G276" s="136"/>
      <c r="H276" s="683"/>
      <c r="I276" s="676"/>
      <c r="J276" s="96"/>
      <c r="K276" s="96"/>
      <c r="L276" s="104"/>
      <c r="M276" s="75">
        <v>1</v>
      </c>
      <c r="N276" s="75"/>
      <c r="O276" s="75"/>
      <c r="P276" s="75">
        <v>1</v>
      </c>
      <c r="Q276" s="105"/>
      <c r="R276" s="105"/>
      <c r="S276" s="96"/>
      <c r="T276" s="109"/>
      <c r="U276" s="100">
        <v>1</v>
      </c>
      <c r="V276" s="110"/>
      <c r="W276" s="110">
        <v>1</v>
      </c>
      <c r="X276" s="100"/>
      <c r="Y276" s="100"/>
      <c r="Z276" s="100"/>
      <c r="AA276" s="110"/>
      <c r="AB276" s="110">
        <v>1</v>
      </c>
      <c r="AC276" s="100">
        <v>1</v>
      </c>
      <c r="AD276" s="109"/>
      <c r="AE276" s="109"/>
      <c r="AF276" s="109"/>
      <c r="AG276" s="108"/>
      <c r="AH276" s="109">
        <v>1</v>
      </c>
      <c r="AI276" s="108"/>
      <c r="AJ276" s="111"/>
      <c r="AK276" s="100"/>
      <c r="AL276" s="110"/>
      <c r="AM276" s="110"/>
      <c r="AN276" s="100"/>
      <c r="AO276" s="100"/>
      <c r="AP276" s="100"/>
      <c r="AQ276" s="100"/>
      <c r="AR276" s="100"/>
      <c r="AS276" s="100"/>
      <c r="AT276" s="100"/>
      <c r="AU276" s="111"/>
      <c r="AV276" s="111"/>
    </row>
    <row r="277" spans="1:48" ht="16.3">
      <c r="A277" s="83" t="s">
        <v>363</v>
      </c>
      <c r="B277" s="539">
        <f t="shared" ref="B277:C277" si="43">SUM(B275+B276)</f>
        <v>12</v>
      </c>
      <c r="C277" s="214">
        <f t="shared" si="43"/>
        <v>12</v>
      </c>
      <c r="D277" s="133"/>
      <c r="E277" s="134"/>
      <c r="F277" s="135"/>
      <c r="G277" s="136"/>
      <c r="H277" s="683"/>
      <c r="I277" s="676"/>
      <c r="J277" s="96"/>
      <c r="K277" s="96"/>
      <c r="L277" s="104"/>
      <c r="M277" s="75"/>
      <c r="N277" s="75"/>
      <c r="O277" s="75"/>
      <c r="P277" s="75"/>
      <c r="Q277" s="105"/>
      <c r="R277" s="105"/>
      <c r="S277" s="96"/>
      <c r="T277" s="109"/>
      <c r="U277" s="100"/>
      <c r="V277" s="110"/>
      <c r="W277" s="110"/>
      <c r="X277" s="100"/>
      <c r="Y277" s="100"/>
      <c r="Z277" s="100"/>
      <c r="AA277" s="110"/>
      <c r="AB277" s="110"/>
      <c r="AC277" s="100"/>
      <c r="AD277" s="109"/>
      <c r="AE277" s="109"/>
      <c r="AF277" s="109"/>
      <c r="AG277" s="108"/>
      <c r="AH277" s="109"/>
      <c r="AI277" s="108"/>
      <c r="AJ277" s="111"/>
      <c r="AK277" s="100"/>
      <c r="AL277" s="110"/>
      <c r="AM277" s="110"/>
      <c r="AN277" s="100"/>
      <c r="AO277" s="100"/>
      <c r="AP277" s="100"/>
      <c r="AQ277" s="100"/>
      <c r="AR277" s="100"/>
      <c r="AS277" s="100"/>
      <c r="AT277" s="100"/>
      <c r="AU277" s="111"/>
      <c r="AV277" s="111"/>
    </row>
    <row r="278" spans="1:48" ht="16.3">
      <c r="A278" s="83" t="s">
        <v>3</v>
      </c>
      <c r="B278" s="539">
        <f>SUM(L278+M278+N278+O278+P278+U278+X278+Y278+Z278+AC278+AK278+AL278+AK278+AO278+AR278+AS278+AU278+AV278+AW278+AX278+AP278)+3</f>
        <v>5</v>
      </c>
      <c r="C278" s="214">
        <f>SUM(L278+M278+N278+O278+P278+U278+Y278+Z278+X278+AC278+AL278+AK278+AL278+AP278+AS278+AO278+AV278+AW278+AX278+AY278+AR278+AU278)+3</f>
        <v>5</v>
      </c>
      <c r="D278" s="133"/>
      <c r="E278" s="134"/>
      <c r="F278" s="135"/>
      <c r="G278" s="136"/>
      <c r="H278" s="683"/>
      <c r="I278" s="676"/>
      <c r="J278" s="96"/>
      <c r="K278" s="96"/>
      <c r="L278" s="104"/>
      <c r="M278" s="75"/>
      <c r="N278" s="75"/>
      <c r="O278" s="75"/>
      <c r="P278" s="75"/>
      <c r="Q278" s="444"/>
      <c r="R278" s="105"/>
      <c r="S278" s="96"/>
      <c r="T278" s="109"/>
      <c r="U278" s="100"/>
      <c r="V278" s="110">
        <v>1</v>
      </c>
      <c r="W278" s="110"/>
      <c r="X278" s="100"/>
      <c r="Y278" s="100"/>
      <c r="Z278" s="100"/>
      <c r="AA278" s="110"/>
      <c r="AB278" s="110"/>
      <c r="AC278" s="100">
        <v>2</v>
      </c>
      <c r="AD278" s="109"/>
      <c r="AE278" s="109"/>
      <c r="AF278" s="109"/>
      <c r="AG278" s="108"/>
      <c r="AH278" s="109"/>
      <c r="AI278" s="108"/>
      <c r="AJ278" s="111"/>
      <c r="AK278" s="100"/>
      <c r="AL278" s="110"/>
      <c r="AM278" s="110"/>
      <c r="AN278" s="100"/>
      <c r="AO278" s="100"/>
      <c r="AP278" s="100"/>
      <c r="AQ278" s="100"/>
      <c r="AR278" s="100"/>
      <c r="AS278" s="100"/>
      <c r="AT278" s="100"/>
      <c r="AU278" s="111"/>
      <c r="AV278" s="111"/>
    </row>
    <row r="279" spans="1:48" ht="17" thickBot="1">
      <c r="A279" s="85" t="s">
        <v>4</v>
      </c>
      <c r="B279" s="541">
        <f>SUM(L279+M279+N279+O279+P279+U279+X279+Y279+Z279+AC279+AK279+AL279+AK279+AO279+AR279+AS279+AU279+AV279+AW279+AX279+AP279)+15</f>
        <v>25</v>
      </c>
      <c r="C279" s="217">
        <f>SUM(L279+M279+N279+O279+P279+U279+Y279+Z279+X279+AC279+AL279+AK279+AL279+AP279+AS279+AO279+AV279+AW279+AX279+AY279+AR279+AU279)+15</f>
        <v>25</v>
      </c>
      <c r="D279" s="144"/>
      <c r="E279" s="145"/>
      <c r="F279" s="146"/>
      <c r="G279" s="147"/>
      <c r="H279" s="684"/>
      <c r="I279" s="677"/>
      <c r="J279" s="114"/>
      <c r="K279" s="114"/>
      <c r="L279" s="113"/>
      <c r="M279" s="112"/>
      <c r="N279" s="112"/>
      <c r="O279" s="112"/>
      <c r="P279" s="112"/>
      <c r="Q279" s="588"/>
      <c r="R279" s="127"/>
      <c r="S279" s="114"/>
      <c r="T279" s="118"/>
      <c r="U279" s="116"/>
      <c r="V279" s="120">
        <v>5</v>
      </c>
      <c r="W279" s="120"/>
      <c r="X279" s="112"/>
      <c r="Y279" s="116"/>
      <c r="Z279" s="116"/>
      <c r="AA279" s="120"/>
      <c r="AB279" s="120"/>
      <c r="AC279" s="116">
        <v>10</v>
      </c>
      <c r="AD279" s="118"/>
      <c r="AE279" s="118"/>
      <c r="AF279" s="118"/>
      <c r="AG279" s="117"/>
      <c r="AH279" s="118"/>
      <c r="AI279" s="117"/>
      <c r="AJ279" s="121"/>
      <c r="AK279" s="116"/>
      <c r="AL279" s="120"/>
      <c r="AM279" s="120"/>
      <c r="AN279" s="116"/>
      <c r="AO279" s="116"/>
      <c r="AP279" s="116"/>
      <c r="AQ279" s="116"/>
      <c r="AR279" s="116"/>
      <c r="AS279" s="116"/>
      <c r="AT279" s="116"/>
      <c r="AU279" s="121"/>
      <c r="AV279" s="121"/>
    </row>
    <row r="280" spans="1:48" ht="21.1">
      <c r="A280" s="82" t="s">
        <v>485</v>
      </c>
      <c r="B280" s="539"/>
      <c r="C280" s="214"/>
      <c r="D280" s="133"/>
      <c r="E280" s="134"/>
      <c r="F280" s="135"/>
      <c r="G280" s="136"/>
      <c r="H280" s="683"/>
      <c r="I280" s="676"/>
      <c r="J280" s="96" t="s">
        <v>375</v>
      </c>
      <c r="K280" s="96" t="s">
        <v>375</v>
      </c>
      <c r="L280" s="104" t="s">
        <v>375</v>
      </c>
      <c r="M280" s="75"/>
      <c r="N280" s="75"/>
      <c r="O280" s="75"/>
      <c r="P280" s="75"/>
      <c r="Q280" s="444"/>
      <c r="R280" s="105"/>
      <c r="S280" s="96" t="s">
        <v>375</v>
      </c>
      <c r="T280" s="109" t="s">
        <v>371</v>
      </c>
      <c r="U280" s="100"/>
      <c r="V280" s="110"/>
      <c r="W280" s="110"/>
      <c r="X280" s="100"/>
      <c r="Y280" s="100"/>
      <c r="Z280" s="100"/>
      <c r="AA280" s="110"/>
      <c r="AB280" s="110"/>
      <c r="AC280" s="100"/>
      <c r="AD280" s="109" t="s">
        <v>375</v>
      </c>
      <c r="AE280" s="109" t="s">
        <v>375</v>
      </c>
      <c r="AF280" s="109" t="s">
        <v>375</v>
      </c>
      <c r="AG280" s="108"/>
      <c r="AH280" s="109"/>
      <c r="AI280" s="108"/>
      <c r="AJ280" s="111"/>
      <c r="AK280" s="100"/>
      <c r="AL280" s="110"/>
      <c r="AM280" s="110"/>
      <c r="AN280" s="100"/>
      <c r="AO280" s="100"/>
      <c r="AP280" s="100"/>
      <c r="AQ280" s="100"/>
      <c r="AR280" s="100"/>
      <c r="AS280" s="100"/>
      <c r="AT280" s="100"/>
      <c r="AU280" s="111"/>
      <c r="AV280" s="111"/>
    </row>
    <row r="281" spans="1:48" ht="16.3">
      <c r="A281" s="246" t="s">
        <v>1</v>
      </c>
      <c r="B281" s="538">
        <f>SUM(L281+M281+N281+O281+P281+U281+X281+Y281+Z281+AC281+AK281+AL281+AK281+AO281+AR281+AS281+AU281+AV281+AW281+AX281+AP281)</f>
        <v>0</v>
      </c>
      <c r="C281" s="215">
        <f>SUM(L281+M281+N281+O281+P281+U281+Y281+Z281+X281+AC281+AL281+AK281+AL281+AP281+AS281+AO281+AV281+AW281+AX281+AY281+AR281+AU281)</f>
        <v>0</v>
      </c>
      <c r="D281" s="133"/>
      <c r="E281" s="134"/>
      <c r="F281" s="135"/>
      <c r="G281" s="136"/>
      <c r="H281" s="683"/>
      <c r="I281" s="676"/>
      <c r="J281" s="96"/>
      <c r="K281" s="96"/>
      <c r="L281" s="104"/>
      <c r="M281" s="75"/>
      <c r="N281" s="75"/>
      <c r="O281" s="75"/>
      <c r="P281" s="75"/>
      <c r="Q281" s="444"/>
      <c r="R281" s="105"/>
      <c r="S281" s="96"/>
      <c r="T281" s="109">
        <v>1</v>
      </c>
      <c r="U281" s="100"/>
      <c r="V281" s="110"/>
      <c r="W281" s="110"/>
      <c r="X281" s="100"/>
      <c r="Y281" s="100"/>
      <c r="Z281" s="100"/>
      <c r="AA281" s="110"/>
      <c r="AB281" s="110"/>
      <c r="AC281" s="100"/>
      <c r="AD281" s="109"/>
      <c r="AE281" s="109"/>
      <c r="AF281" s="109"/>
      <c r="AG281" s="108"/>
      <c r="AH281" s="109"/>
      <c r="AI281" s="108"/>
      <c r="AJ281" s="111"/>
      <c r="AK281" s="100"/>
      <c r="AL281" s="110"/>
      <c r="AM281" s="110"/>
      <c r="AN281" s="100"/>
      <c r="AO281" s="100"/>
      <c r="AP281" s="100"/>
      <c r="AQ281" s="100"/>
      <c r="AR281" s="100"/>
      <c r="AS281" s="100"/>
      <c r="AT281" s="100"/>
      <c r="AU281" s="111"/>
      <c r="AV281" s="111"/>
    </row>
    <row r="282" spans="1:48" ht="16.3">
      <c r="A282" s="246" t="s">
        <v>2</v>
      </c>
      <c r="B282" s="538">
        <f>SUM(L282+M282+N282+O282+P282+U282+X282+Y282+Z282+AC282+AK282+AL282+AK282+AO282+AR282+AS282+AU282+AV282+AW282+AX282+AP282)</f>
        <v>1</v>
      </c>
      <c r="C282" s="215">
        <f>SUM(L282+M282+N282+O282+P282+U282+Y282+Z282+X282+AC282+AL282+AK282+AL282+AP282+AS282+AO282+AV282+AW282+AX282+AY282+AR282+AU282)</f>
        <v>1</v>
      </c>
      <c r="D282" s="133"/>
      <c r="E282" s="134"/>
      <c r="F282" s="135"/>
      <c r="G282" s="136"/>
      <c r="H282" s="683"/>
      <c r="I282" s="676"/>
      <c r="J282" s="96">
        <v>1</v>
      </c>
      <c r="K282" s="96">
        <v>1</v>
      </c>
      <c r="L282" s="104">
        <v>1</v>
      </c>
      <c r="M282" s="75"/>
      <c r="N282" s="75"/>
      <c r="O282" s="75"/>
      <c r="P282" s="75"/>
      <c r="Q282" s="444"/>
      <c r="R282" s="105"/>
      <c r="S282" s="96">
        <v>1</v>
      </c>
      <c r="T282" s="109"/>
      <c r="U282" s="100"/>
      <c r="V282" s="110"/>
      <c r="W282" s="110"/>
      <c r="X282" s="100"/>
      <c r="Y282" s="100"/>
      <c r="Z282" s="100"/>
      <c r="AA282" s="110"/>
      <c r="AB282" s="110"/>
      <c r="AC282" s="100"/>
      <c r="AD282" s="109">
        <v>1</v>
      </c>
      <c r="AE282" s="109">
        <v>1</v>
      </c>
      <c r="AF282" s="109">
        <v>1</v>
      </c>
      <c r="AG282" s="108"/>
      <c r="AH282" s="109"/>
      <c r="AI282" s="108"/>
      <c r="AJ282" s="111"/>
      <c r="AK282" s="100"/>
      <c r="AL282" s="110"/>
      <c r="AM282" s="110"/>
      <c r="AN282" s="100"/>
      <c r="AO282" s="100"/>
      <c r="AP282" s="100"/>
      <c r="AQ282" s="100"/>
      <c r="AR282" s="100"/>
      <c r="AS282" s="100"/>
      <c r="AT282" s="100"/>
      <c r="AU282" s="111"/>
      <c r="AV282" s="111"/>
    </row>
    <row r="283" spans="1:48" ht="16.3">
      <c r="A283" s="83" t="s">
        <v>363</v>
      </c>
      <c r="B283" s="539">
        <f t="shared" ref="B283:C283" si="44">SUM(B281+B282)</f>
        <v>1</v>
      </c>
      <c r="C283" s="214">
        <f t="shared" si="44"/>
        <v>1</v>
      </c>
      <c r="D283" s="133"/>
      <c r="E283" s="134"/>
      <c r="F283" s="135"/>
      <c r="G283" s="136"/>
      <c r="H283" s="683"/>
      <c r="I283" s="676"/>
      <c r="J283" s="96"/>
      <c r="K283" s="96"/>
      <c r="L283" s="104"/>
      <c r="M283" s="75"/>
      <c r="N283" s="75"/>
      <c r="O283" s="75"/>
      <c r="P283" s="75"/>
      <c r="Q283" s="444"/>
      <c r="R283" s="105"/>
      <c r="S283" s="96"/>
      <c r="T283" s="109"/>
      <c r="U283" s="100"/>
      <c r="V283" s="110"/>
      <c r="W283" s="110"/>
      <c r="X283" s="100"/>
      <c r="Y283" s="100"/>
      <c r="Z283" s="100"/>
      <c r="AA283" s="110"/>
      <c r="AB283" s="110"/>
      <c r="AC283" s="100"/>
      <c r="AD283" s="109"/>
      <c r="AE283" s="109"/>
      <c r="AF283" s="109"/>
      <c r="AG283" s="108"/>
      <c r="AH283" s="109"/>
      <c r="AI283" s="108"/>
      <c r="AJ283" s="111"/>
      <c r="AK283" s="100"/>
      <c r="AL283" s="110"/>
      <c r="AM283" s="110"/>
      <c r="AN283" s="100"/>
      <c r="AO283" s="100"/>
      <c r="AP283" s="100"/>
      <c r="AQ283" s="100"/>
      <c r="AR283" s="100"/>
      <c r="AS283" s="100"/>
      <c r="AT283" s="100"/>
      <c r="AU283" s="111"/>
      <c r="AV283" s="111"/>
    </row>
    <row r="284" spans="1:48" ht="16.3">
      <c r="A284" s="83" t="s">
        <v>3</v>
      </c>
      <c r="B284" s="539">
        <f>SUM(L284+M284+N284+O284+P284+U284+X284+Y284+Z284+AC284+AK284+AL284+AK284+AO284+AR284+AS284+AU284+AV284+AW284+AX284+AP284)</f>
        <v>0</v>
      </c>
      <c r="C284" s="214">
        <f>SUM(L284+M284+N284+O284+P284+U284+Y284+Z284+X284+AC284+AL284+AK284+AL284+AP284+AS284+AO284+AV284+AW284+AX284+AY284+AR284+AU284)</f>
        <v>0</v>
      </c>
      <c r="D284" s="133"/>
      <c r="E284" s="134"/>
      <c r="F284" s="135"/>
      <c r="G284" s="136"/>
      <c r="H284" s="683"/>
      <c r="I284" s="676"/>
      <c r="J284" s="96"/>
      <c r="K284" s="96"/>
      <c r="L284" s="104"/>
      <c r="M284" s="75"/>
      <c r="N284" s="75"/>
      <c r="O284" s="75"/>
      <c r="P284" s="75"/>
      <c r="Q284" s="444"/>
      <c r="R284" s="105"/>
      <c r="S284" s="96">
        <v>1</v>
      </c>
      <c r="T284" s="109"/>
      <c r="U284" s="100"/>
      <c r="V284" s="110"/>
      <c r="W284" s="110"/>
      <c r="X284" s="100"/>
      <c r="Y284" s="100"/>
      <c r="Z284" s="100"/>
      <c r="AA284" s="110"/>
      <c r="AB284" s="110"/>
      <c r="AC284" s="100"/>
      <c r="AD284" s="109"/>
      <c r="AE284" s="109"/>
      <c r="AF284" s="109"/>
      <c r="AG284" s="108"/>
      <c r="AH284" s="109"/>
      <c r="AI284" s="108"/>
      <c r="AJ284" s="111"/>
      <c r="AK284" s="100"/>
      <c r="AL284" s="110"/>
      <c r="AM284" s="110"/>
      <c r="AN284" s="100"/>
      <c r="AO284" s="100"/>
      <c r="AP284" s="100"/>
      <c r="AQ284" s="100"/>
      <c r="AR284" s="100"/>
      <c r="AS284" s="100"/>
      <c r="AT284" s="100"/>
      <c r="AU284" s="111"/>
      <c r="AV284" s="111"/>
    </row>
    <row r="285" spans="1:48" ht="17" thickBot="1">
      <c r="A285" s="85" t="s">
        <v>4</v>
      </c>
      <c r="B285" s="541">
        <f>SUM(L285+M285+N285+O285+P285+U285+X285+Y285+Z285+AC285+AK285+AL285+AK285+AO285+AR285+AS285+AU285+AV285+AW285+AX285+AP285)</f>
        <v>0</v>
      </c>
      <c r="C285" s="217">
        <f>SUM(L285+M285+N285+O285+P285+U285+Y285+Z285+X285+AC285+AL285+AK285+AL285+AP285+AS285+AO285+AV285+AW285+AX285+AY285+AR285+AU285)</f>
        <v>0</v>
      </c>
      <c r="D285" s="144"/>
      <c r="E285" s="145"/>
      <c r="F285" s="146"/>
      <c r="G285" s="147"/>
      <c r="H285" s="684"/>
      <c r="I285" s="677"/>
      <c r="J285" s="114"/>
      <c r="K285" s="114"/>
      <c r="L285" s="113"/>
      <c r="M285" s="112"/>
      <c r="N285" s="112"/>
      <c r="O285" s="112"/>
      <c r="P285" s="112"/>
      <c r="Q285" s="588"/>
      <c r="R285" s="127"/>
      <c r="S285" s="114">
        <v>5</v>
      </c>
      <c r="T285" s="118"/>
      <c r="U285" s="116"/>
      <c r="V285" s="120"/>
      <c r="W285" s="120"/>
      <c r="X285" s="116"/>
      <c r="Y285" s="116"/>
      <c r="Z285" s="116"/>
      <c r="AA285" s="120"/>
      <c r="AB285" s="120"/>
      <c r="AC285" s="116"/>
      <c r="AD285" s="118"/>
      <c r="AE285" s="118"/>
      <c r="AF285" s="118"/>
      <c r="AG285" s="117"/>
      <c r="AH285" s="118"/>
      <c r="AI285" s="117"/>
      <c r="AJ285" s="121"/>
      <c r="AK285" s="116"/>
      <c r="AL285" s="120"/>
      <c r="AM285" s="120"/>
      <c r="AN285" s="116"/>
      <c r="AO285" s="116"/>
      <c r="AP285" s="116"/>
      <c r="AQ285" s="116"/>
      <c r="AR285" s="116"/>
      <c r="AS285" s="116"/>
      <c r="AT285" s="116"/>
      <c r="AU285" s="121"/>
      <c r="AV285" s="121"/>
    </row>
    <row r="286" spans="1:48" ht="21.1">
      <c r="A286" s="82" t="s">
        <v>674</v>
      </c>
      <c r="B286" s="539"/>
      <c r="C286" s="214"/>
      <c r="D286" s="133"/>
      <c r="E286" s="134"/>
      <c r="F286" s="135"/>
      <c r="G286" s="136"/>
      <c r="H286" s="683"/>
      <c r="I286" s="676"/>
      <c r="J286" s="96"/>
      <c r="K286" s="96"/>
      <c r="L286" s="104"/>
      <c r="M286" s="75"/>
      <c r="N286" s="75"/>
      <c r="O286" s="75"/>
      <c r="P286" s="75"/>
      <c r="Q286" s="105"/>
      <c r="R286" s="105"/>
      <c r="S286" s="96"/>
      <c r="T286" s="109" t="s">
        <v>375</v>
      </c>
      <c r="U286" s="100" t="s">
        <v>825</v>
      </c>
      <c r="V286" s="110" t="s">
        <v>344</v>
      </c>
      <c r="W286" s="110" t="s">
        <v>344</v>
      </c>
      <c r="X286" s="100" t="s">
        <v>344</v>
      </c>
      <c r="Y286" s="100" t="s">
        <v>344</v>
      </c>
      <c r="Z286" s="100" t="s">
        <v>344</v>
      </c>
      <c r="AA286" s="110" t="s">
        <v>344</v>
      </c>
      <c r="AB286" s="110" t="s">
        <v>344</v>
      </c>
      <c r="AC286" s="100" t="s">
        <v>344</v>
      </c>
      <c r="AD286" s="109" t="s">
        <v>344</v>
      </c>
      <c r="AE286" s="109" t="s">
        <v>344</v>
      </c>
      <c r="AF286" s="109" t="s">
        <v>344</v>
      </c>
      <c r="AG286" s="108"/>
      <c r="AH286" s="109" t="s">
        <v>344</v>
      </c>
      <c r="AI286" s="108"/>
      <c r="AJ286" s="111"/>
      <c r="AK286" s="100" t="s">
        <v>344</v>
      </c>
      <c r="AL286" s="110" t="s">
        <v>344</v>
      </c>
      <c r="AM286" s="110" t="s">
        <v>344</v>
      </c>
      <c r="AN286" s="100" t="s">
        <v>344</v>
      </c>
      <c r="AO286" s="100" t="s">
        <v>344</v>
      </c>
      <c r="AP286" s="100" t="s">
        <v>344</v>
      </c>
      <c r="AQ286" s="100" t="s">
        <v>344</v>
      </c>
      <c r="AR286" s="100" t="s">
        <v>344</v>
      </c>
      <c r="AS286" s="100" t="s">
        <v>344</v>
      </c>
      <c r="AT286" s="100" t="s">
        <v>344</v>
      </c>
      <c r="AU286" s="111"/>
      <c r="AV286" s="111"/>
    </row>
    <row r="287" spans="1:48" ht="16.3">
      <c r="A287" s="246" t="s">
        <v>1</v>
      </c>
      <c r="B287" s="538">
        <f>SUM(L287+M287+N287+O287+P287+U287+X287+Y287+Z287+AC287+AK287+AL287+AK287+AO287+AR287+AS287+AU287+AV287+AW287+AX287+AP287)+1</f>
        <v>1</v>
      </c>
      <c r="C287" s="215">
        <f>SUM(L287+M287+N287+O287+P287+U287+Y287+Z287+X287+AC287+AL287+AK287+AL287+AP287+AS287+AO287+AV287+AW287+AX287+AY287+AR287+AU287)+1</f>
        <v>1</v>
      </c>
      <c r="D287" s="133"/>
      <c r="E287" s="134"/>
      <c r="F287" s="135"/>
      <c r="G287" s="136"/>
      <c r="H287" s="683"/>
      <c r="I287" s="676"/>
      <c r="J287" s="96"/>
      <c r="K287" s="96"/>
      <c r="L287" s="104"/>
      <c r="M287" s="75"/>
      <c r="N287" s="75"/>
      <c r="O287" s="75"/>
      <c r="P287" s="75"/>
      <c r="Q287" s="105"/>
      <c r="R287" s="105"/>
      <c r="S287" s="96"/>
      <c r="T287" s="109"/>
      <c r="U287" s="100"/>
      <c r="V287" s="110"/>
      <c r="W287" s="110"/>
      <c r="X287" s="100"/>
      <c r="Y287" s="100"/>
      <c r="Z287" s="100"/>
      <c r="AA287" s="110"/>
      <c r="AB287" s="110"/>
      <c r="AC287" s="100"/>
      <c r="AD287" s="109"/>
      <c r="AE287" s="109"/>
      <c r="AF287" s="109"/>
      <c r="AG287" s="108"/>
      <c r="AH287" s="109"/>
      <c r="AI287" s="108"/>
      <c r="AJ287" s="111"/>
      <c r="AK287" s="100"/>
      <c r="AL287" s="110"/>
      <c r="AM287" s="110"/>
      <c r="AN287" s="100"/>
      <c r="AO287" s="100"/>
      <c r="AP287" s="100"/>
      <c r="AQ287" s="100"/>
      <c r="AR287" s="100"/>
      <c r="AS287" s="100"/>
      <c r="AT287" s="100"/>
      <c r="AU287" s="111"/>
      <c r="AV287" s="111"/>
    </row>
    <row r="288" spans="1:48" ht="16.3">
      <c r="A288" s="246" t="s">
        <v>2</v>
      </c>
      <c r="B288" s="538">
        <f>SUM(L288+M288+N288+O288+P288+U288+X288+Y288+Z288+AC288+AK288+AL288+AK288+AO288+AR288+AS288+AU288+AV288+AW288+AX288+AP288)+2</f>
        <v>2</v>
      </c>
      <c r="C288" s="215">
        <f>SUM(L288+M288+N288+O288+P288+U288+Y288+Z288+X288+AC288+AL288+AK288+AL288+AP288+AS288+AO288+AV288+AW288+AX288+AY288+AR288+AU288)+2</f>
        <v>2</v>
      </c>
      <c r="D288" s="133"/>
      <c r="E288" s="134"/>
      <c r="F288" s="135"/>
      <c r="G288" s="136"/>
      <c r="H288" s="683"/>
      <c r="I288" s="676"/>
      <c r="J288" s="96"/>
      <c r="K288" s="96"/>
      <c r="L288" s="104"/>
      <c r="M288" s="75"/>
      <c r="N288" s="75"/>
      <c r="O288" s="75"/>
      <c r="P288" s="75"/>
      <c r="Q288" s="105"/>
      <c r="R288" s="105"/>
      <c r="S288" s="96"/>
      <c r="T288" s="109">
        <v>1</v>
      </c>
      <c r="U288" s="100"/>
      <c r="V288" s="110"/>
      <c r="W288" s="110"/>
      <c r="X288" s="100"/>
      <c r="Y288" s="100"/>
      <c r="Z288" s="100"/>
      <c r="AA288" s="110"/>
      <c r="AB288" s="110"/>
      <c r="AC288" s="100"/>
      <c r="AD288" s="109"/>
      <c r="AE288" s="109"/>
      <c r="AF288" s="109"/>
      <c r="AG288" s="108"/>
      <c r="AH288" s="109"/>
      <c r="AI288" s="108"/>
      <c r="AJ288" s="111"/>
      <c r="AK288" s="100"/>
      <c r="AL288" s="110"/>
      <c r="AM288" s="110"/>
      <c r="AN288" s="100"/>
      <c r="AO288" s="100"/>
      <c r="AP288" s="100"/>
      <c r="AQ288" s="100"/>
      <c r="AR288" s="100"/>
      <c r="AS288" s="100"/>
      <c r="AT288" s="100"/>
      <c r="AU288" s="111"/>
      <c r="AV288" s="111"/>
    </row>
    <row r="289" spans="1:48" ht="16.3">
      <c r="A289" s="83" t="s">
        <v>363</v>
      </c>
      <c r="B289" s="539">
        <f t="shared" ref="B289:C289" si="45">SUM(B287+B288)</f>
        <v>3</v>
      </c>
      <c r="C289" s="214">
        <f t="shared" si="45"/>
        <v>3</v>
      </c>
      <c r="D289" s="133"/>
      <c r="E289" s="134"/>
      <c r="F289" s="135"/>
      <c r="G289" s="136"/>
      <c r="H289" s="683"/>
      <c r="I289" s="676"/>
      <c r="J289" s="96"/>
      <c r="K289" s="96"/>
      <c r="L289" s="104"/>
      <c r="M289" s="75"/>
      <c r="N289" s="75"/>
      <c r="O289" s="75"/>
      <c r="P289" s="75"/>
      <c r="Q289" s="105"/>
      <c r="R289" s="105"/>
      <c r="S289" s="96"/>
      <c r="T289" s="109"/>
      <c r="U289" s="100"/>
      <c r="V289" s="110"/>
      <c r="W289" s="110"/>
      <c r="X289" s="100"/>
      <c r="Y289" s="100"/>
      <c r="Z289" s="100"/>
      <c r="AA289" s="110"/>
      <c r="AB289" s="110"/>
      <c r="AC289" s="100"/>
      <c r="AD289" s="109"/>
      <c r="AE289" s="109"/>
      <c r="AF289" s="109"/>
      <c r="AG289" s="108"/>
      <c r="AH289" s="109"/>
      <c r="AI289" s="108"/>
      <c r="AJ289" s="111"/>
      <c r="AK289" s="100"/>
      <c r="AL289" s="110"/>
      <c r="AM289" s="110"/>
      <c r="AN289" s="100"/>
      <c r="AO289" s="100"/>
      <c r="AP289" s="100"/>
      <c r="AQ289" s="100"/>
      <c r="AR289" s="100"/>
      <c r="AS289" s="100"/>
      <c r="AT289" s="100"/>
      <c r="AU289" s="111"/>
      <c r="AV289" s="111"/>
    </row>
    <row r="290" spans="1:48" ht="16.3">
      <c r="A290" s="83" t="s">
        <v>3</v>
      </c>
      <c r="B290" s="539">
        <f>SUM(L290+M290+N290+O290+P290+U290+X290+Y290+Z290+AC290+AK290+AL290+AK290+AO290+AR290+AS290+AU290+AV290+AW290+AX290+AP290)</f>
        <v>0</v>
      </c>
      <c r="C290" s="214">
        <f>SUM(L290+M290+N290+O290+P290+U290+Y290+Z290+X290+AC290+AL290+AK290+AL290+AP290+AS290+AO290+AV290+AW290+AX290+AY290+AR290+AU290)</f>
        <v>0</v>
      </c>
      <c r="D290" s="133"/>
      <c r="E290" s="134"/>
      <c r="F290" s="135"/>
      <c r="G290" s="136"/>
      <c r="H290" s="683"/>
      <c r="I290" s="676"/>
      <c r="J290" s="96"/>
      <c r="K290" s="96"/>
      <c r="L290" s="104"/>
      <c r="M290" s="75"/>
      <c r="N290" s="75"/>
      <c r="O290" s="75"/>
      <c r="P290" s="75"/>
      <c r="Q290" s="105"/>
      <c r="R290" s="105"/>
      <c r="S290" s="96"/>
      <c r="T290" s="109"/>
      <c r="U290" s="100"/>
      <c r="V290" s="110"/>
      <c r="W290" s="110"/>
      <c r="X290" s="100"/>
      <c r="Y290" s="100"/>
      <c r="Z290" s="100"/>
      <c r="AA290" s="110"/>
      <c r="AB290" s="110"/>
      <c r="AC290" s="100"/>
      <c r="AD290" s="109"/>
      <c r="AE290" s="109"/>
      <c r="AF290" s="109"/>
      <c r="AG290" s="108"/>
      <c r="AH290" s="109"/>
      <c r="AI290" s="108"/>
      <c r="AJ290" s="111"/>
      <c r="AK290" s="100"/>
      <c r="AL290" s="110"/>
      <c r="AM290" s="110"/>
      <c r="AN290" s="100"/>
      <c r="AO290" s="100"/>
      <c r="AP290" s="100"/>
      <c r="AQ290" s="100"/>
      <c r="AR290" s="100"/>
      <c r="AS290" s="100"/>
      <c r="AT290" s="100"/>
      <c r="AU290" s="111"/>
      <c r="AV290" s="111"/>
    </row>
    <row r="291" spans="1:48" ht="17" thickBot="1">
      <c r="A291" s="85" t="s">
        <v>4</v>
      </c>
      <c r="B291" s="541">
        <f>SUM(L291+M291+N291+O291+P291+U291+X291+Y291+Z291+AC291+AK291+AL291+AK291+AO291+AR291+AS291+AU291+AV291+AW291+AX291+AP291)</f>
        <v>0</v>
      </c>
      <c r="C291" s="217">
        <f>SUM(L291+M291+N291+O291+P291+U291+Y291+Z291+X291+AC291+AL291+AK291+AL291+AP291+AS291+AO291+AV291+AW291+AX291+AY291+AR291+AU291)</f>
        <v>0</v>
      </c>
      <c r="D291" s="144"/>
      <c r="E291" s="145"/>
      <c r="F291" s="146"/>
      <c r="G291" s="147"/>
      <c r="H291" s="684"/>
      <c r="I291" s="677"/>
      <c r="J291" s="114"/>
      <c r="K291" s="114"/>
      <c r="L291" s="113"/>
      <c r="M291" s="112"/>
      <c r="N291" s="112"/>
      <c r="O291" s="112"/>
      <c r="P291" s="112"/>
      <c r="Q291" s="127"/>
      <c r="R291" s="127"/>
      <c r="S291" s="114"/>
      <c r="T291" s="118"/>
      <c r="U291" s="116"/>
      <c r="V291" s="120"/>
      <c r="W291" s="120"/>
      <c r="X291" s="116"/>
      <c r="Y291" s="116"/>
      <c r="Z291" s="116"/>
      <c r="AA291" s="120"/>
      <c r="AB291" s="120"/>
      <c r="AC291" s="116"/>
      <c r="AD291" s="118"/>
      <c r="AE291" s="118"/>
      <c r="AF291" s="118"/>
      <c r="AG291" s="117"/>
      <c r="AH291" s="118"/>
      <c r="AI291" s="117"/>
      <c r="AJ291" s="121"/>
      <c r="AK291" s="116"/>
      <c r="AL291" s="120"/>
      <c r="AM291" s="120"/>
      <c r="AN291" s="116"/>
      <c r="AO291" s="116"/>
      <c r="AP291" s="116"/>
      <c r="AQ291" s="116"/>
      <c r="AR291" s="116"/>
      <c r="AS291" s="116"/>
      <c r="AT291" s="116"/>
      <c r="AU291" s="121"/>
      <c r="AV291" s="121"/>
    </row>
    <row r="292" spans="1:48" ht="21.1">
      <c r="A292" s="82" t="s">
        <v>96</v>
      </c>
      <c r="B292" s="539"/>
      <c r="C292" s="214"/>
      <c r="D292" s="133"/>
      <c r="E292" s="134"/>
      <c r="F292" s="135"/>
      <c r="G292" s="136"/>
      <c r="H292" s="683"/>
      <c r="I292" s="676"/>
      <c r="J292" s="96" t="s">
        <v>501</v>
      </c>
      <c r="K292" s="96" t="s">
        <v>501</v>
      </c>
      <c r="L292" s="104" t="s">
        <v>501</v>
      </c>
      <c r="M292" s="75" t="s">
        <v>501</v>
      </c>
      <c r="N292" s="75" t="s">
        <v>501</v>
      </c>
      <c r="O292" s="75" t="s">
        <v>736</v>
      </c>
      <c r="P292" s="75" t="s">
        <v>681</v>
      </c>
      <c r="Q292" s="105"/>
      <c r="R292" s="105"/>
      <c r="S292" s="96" t="s">
        <v>775</v>
      </c>
      <c r="T292" s="109" t="s">
        <v>775</v>
      </c>
      <c r="U292" s="100" t="s">
        <v>339</v>
      </c>
      <c r="V292" s="110" t="s">
        <v>339</v>
      </c>
      <c r="W292" s="110" t="s">
        <v>339</v>
      </c>
      <c r="X292" s="100" t="s">
        <v>339</v>
      </c>
      <c r="Y292" s="100" t="s">
        <v>339</v>
      </c>
      <c r="Z292" s="100" t="s">
        <v>375</v>
      </c>
      <c r="AA292" s="110" t="s">
        <v>681</v>
      </c>
      <c r="AB292" s="110" t="s">
        <v>681</v>
      </c>
      <c r="AC292" s="100" t="s">
        <v>501</v>
      </c>
      <c r="AD292" s="109" t="s">
        <v>775</v>
      </c>
      <c r="AE292" s="109" t="s">
        <v>775</v>
      </c>
      <c r="AF292" s="109" t="s">
        <v>775</v>
      </c>
      <c r="AG292" s="108"/>
      <c r="AH292" s="109" t="s">
        <v>775</v>
      </c>
      <c r="AI292" s="108"/>
      <c r="AJ292" s="111"/>
      <c r="AK292" s="100"/>
      <c r="AL292" s="110"/>
      <c r="AM292" s="110"/>
      <c r="AN292" s="100"/>
      <c r="AO292" s="100"/>
      <c r="AP292" s="100"/>
      <c r="AQ292" s="100"/>
      <c r="AR292" s="100"/>
      <c r="AS292" s="100"/>
      <c r="AT292" s="100"/>
      <c r="AU292" s="111"/>
      <c r="AV292" s="111"/>
    </row>
    <row r="293" spans="1:48" ht="16.3">
      <c r="A293" s="246" t="s">
        <v>1</v>
      </c>
      <c r="B293" s="538">
        <f>SUM(L293+M293+N293+O293+P293+U293+X293+Y293+Z293+AC293+AK293+AL293+AK293+AO293+AR293+AS293+AU293+AV293+AW293+AX293+AP293)+114</f>
        <v>116</v>
      </c>
      <c r="C293" s="215">
        <f>SUM(L293+M293+N293+O293+P293+U293+Y293+Z293+X293+AC293+AL293+AK293+AL293+AP293+AS293+AO293+AV293+AW293+AX293+AY293+AR293+AU293)+114</f>
        <v>116</v>
      </c>
      <c r="D293" s="133"/>
      <c r="E293" s="134"/>
      <c r="F293" s="135"/>
      <c r="G293" s="136"/>
      <c r="H293" s="683"/>
      <c r="I293" s="676"/>
      <c r="J293" s="96"/>
      <c r="K293" s="96"/>
      <c r="L293" s="104"/>
      <c r="M293" s="75"/>
      <c r="N293" s="75"/>
      <c r="O293" s="75">
        <v>1</v>
      </c>
      <c r="P293" s="75">
        <v>1</v>
      </c>
      <c r="Q293" s="105"/>
      <c r="R293" s="105"/>
      <c r="S293" s="96"/>
      <c r="T293" s="109"/>
      <c r="U293" s="100"/>
      <c r="V293" s="110"/>
      <c r="W293" s="110"/>
      <c r="X293" s="100"/>
      <c r="Y293" s="100"/>
      <c r="Z293" s="100"/>
      <c r="AA293" s="110">
        <v>1</v>
      </c>
      <c r="AB293" s="110">
        <v>1</v>
      </c>
      <c r="AC293" s="100"/>
      <c r="AD293" s="109"/>
      <c r="AE293" s="109"/>
      <c r="AF293" s="109"/>
      <c r="AG293" s="108"/>
      <c r="AH293" s="109"/>
      <c r="AI293" s="108"/>
      <c r="AJ293" s="111"/>
      <c r="AK293" s="100"/>
      <c r="AL293" s="110"/>
      <c r="AM293" s="110"/>
      <c r="AN293" s="100"/>
      <c r="AO293" s="100"/>
      <c r="AP293" s="100"/>
      <c r="AQ293" s="100"/>
      <c r="AR293" s="100"/>
      <c r="AS293" s="100"/>
      <c r="AT293" s="100"/>
      <c r="AU293" s="111"/>
      <c r="AV293" s="111"/>
    </row>
    <row r="294" spans="1:48" ht="16.3">
      <c r="A294" s="246" t="s">
        <v>2</v>
      </c>
      <c r="B294" s="538">
        <f>SUM(L294+M294+N294+O294+P294+U294+X294+Y294+Z294+AC294+AK294+AL294+AK294+AO294+AR294+AS294+AU294+AV294+AW294+AX294+AP294)+12</f>
        <v>13</v>
      </c>
      <c r="C294" s="215">
        <f>SUM(L294+M294+N294+O294+P294+U294+Y294+Z294+X294+AC294+AL294+AK294+AL294+AP294+AS294+AO294+AV294+AW294+AX294+AY294+AR294+AU294)+12</f>
        <v>13</v>
      </c>
      <c r="D294" s="133"/>
      <c r="E294" s="134"/>
      <c r="F294" s="135"/>
      <c r="G294" s="136"/>
      <c r="H294" s="683"/>
      <c r="I294" s="676"/>
      <c r="J294" s="96"/>
      <c r="K294" s="96"/>
      <c r="L294" s="104"/>
      <c r="M294" s="75"/>
      <c r="N294" s="75"/>
      <c r="O294" s="75"/>
      <c r="P294" s="75"/>
      <c r="Q294" s="105"/>
      <c r="R294" s="105"/>
      <c r="S294" s="96"/>
      <c r="T294" s="109"/>
      <c r="U294" s="100"/>
      <c r="V294" s="110"/>
      <c r="W294" s="110"/>
      <c r="X294" s="100"/>
      <c r="Y294" s="100"/>
      <c r="Z294" s="100">
        <v>1</v>
      </c>
      <c r="AA294" s="110"/>
      <c r="AB294" s="110"/>
      <c r="AC294" s="100"/>
      <c r="AD294" s="109"/>
      <c r="AE294" s="109"/>
      <c r="AF294" s="109"/>
      <c r="AG294" s="108"/>
      <c r="AH294" s="109"/>
      <c r="AI294" s="108"/>
      <c r="AJ294" s="111"/>
      <c r="AK294" s="100"/>
      <c r="AL294" s="110"/>
      <c r="AM294" s="110"/>
      <c r="AN294" s="100"/>
      <c r="AO294" s="100"/>
      <c r="AP294" s="100"/>
      <c r="AQ294" s="100"/>
      <c r="AR294" s="100"/>
      <c r="AS294" s="100"/>
      <c r="AT294" s="100"/>
      <c r="AU294" s="111"/>
      <c r="AV294" s="111"/>
    </row>
    <row r="295" spans="1:48" ht="16.3">
      <c r="A295" s="83" t="s">
        <v>363</v>
      </c>
      <c r="B295" s="539">
        <f t="shared" ref="B295" si="46">SUM(B293+B294)</f>
        <v>129</v>
      </c>
      <c r="C295" s="214">
        <f t="shared" ref="C295" si="47">SUM(C293+C294)</f>
        <v>129</v>
      </c>
      <c r="D295" s="133"/>
      <c r="E295" s="134"/>
      <c r="F295" s="135"/>
      <c r="G295" s="136"/>
      <c r="H295" s="683"/>
      <c r="I295" s="676"/>
      <c r="J295" s="96"/>
      <c r="K295" s="96"/>
      <c r="L295" s="104"/>
      <c r="M295" s="75"/>
      <c r="N295" s="75"/>
      <c r="O295" s="75"/>
      <c r="P295" s="75"/>
      <c r="Q295" s="105"/>
      <c r="R295" s="105"/>
      <c r="S295" s="96"/>
      <c r="T295" s="109"/>
      <c r="U295" s="100"/>
      <c r="V295" s="110"/>
      <c r="W295" s="110"/>
      <c r="X295" s="100"/>
      <c r="Y295" s="100"/>
      <c r="Z295" s="100"/>
      <c r="AA295" s="110"/>
      <c r="AB295" s="110"/>
      <c r="AC295" s="100"/>
      <c r="AD295" s="109"/>
      <c r="AE295" s="109"/>
      <c r="AF295" s="109"/>
      <c r="AG295" s="108"/>
      <c r="AH295" s="109"/>
      <c r="AI295" s="108"/>
      <c r="AJ295" s="111"/>
      <c r="AK295" s="100"/>
      <c r="AL295" s="110"/>
      <c r="AM295" s="110"/>
      <c r="AN295" s="100"/>
      <c r="AO295" s="100"/>
      <c r="AP295" s="100"/>
      <c r="AQ295" s="100"/>
      <c r="AR295" s="100"/>
      <c r="AS295" s="100"/>
      <c r="AT295" s="100"/>
      <c r="AU295" s="111"/>
      <c r="AV295" s="111"/>
    </row>
    <row r="296" spans="1:48" ht="16.3">
      <c r="A296" s="246" t="s">
        <v>366</v>
      </c>
      <c r="B296" s="538">
        <f>SUM(L296+M296+N296+O296+P296+U296+X296+Y296+Z296+AC296+AK296+AL296+AK296+AO296+AR296+AS296+AU296+AV296+AW296+AX296+AP296)+16</f>
        <v>18</v>
      </c>
      <c r="C296" s="215">
        <f>SUM(L296+M296+N296+O296+P296+U296+Y296+Z296+X296+AC296+AL296+AK296+AL296+AP296+AS296+AO296+AV296+AW296+AX296+AY296+AR296+AU296)+16</f>
        <v>18</v>
      </c>
      <c r="D296" s="133"/>
      <c r="E296" s="134"/>
      <c r="F296" s="135"/>
      <c r="G296" s="136"/>
      <c r="H296" s="683"/>
      <c r="I296" s="676"/>
      <c r="J296" s="96"/>
      <c r="K296" s="96"/>
      <c r="L296" s="104"/>
      <c r="M296" s="75"/>
      <c r="N296" s="75"/>
      <c r="O296" s="75">
        <v>1</v>
      </c>
      <c r="P296" s="75">
        <v>1</v>
      </c>
      <c r="Q296" s="105"/>
      <c r="R296" s="105"/>
      <c r="S296" s="96"/>
      <c r="T296" s="109"/>
      <c r="U296" s="100"/>
      <c r="V296" s="110"/>
      <c r="W296" s="110"/>
      <c r="X296" s="100"/>
      <c r="Y296" s="100"/>
      <c r="Z296" s="100"/>
      <c r="AA296" s="110">
        <v>1</v>
      </c>
      <c r="AB296" s="110">
        <v>1</v>
      </c>
      <c r="AC296" s="100"/>
      <c r="AD296" s="109"/>
      <c r="AE296" s="109"/>
      <c r="AF296" s="109"/>
      <c r="AG296" s="108"/>
      <c r="AH296" s="109"/>
      <c r="AI296" s="108"/>
      <c r="AJ296" s="111"/>
      <c r="AK296" s="100"/>
      <c r="AL296" s="110"/>
      <c r="AM296" s="110"/>
      <c r="AN296" s="100"/>
      <c r="AO296" s="100"/>
      <c r="AP296" s="100"/>
      <c r="AQ296" s="100"/>
      <c r="AR296" s="100"/>
      <c r="AS296" s="100"/>
      <c r="AT296" s="100"/>
      <c r="AU296" s="111"/>
      <c r="AV296" s="111"/>
    </row>
    <row r="297" spans="1:48" ht="16.3">
      <c r="A297" s="246" t="s">
        <v>362</v>
      </c>
      <c r="B297" s="538">
        <f>SUM(L297+M297+N297+O297+P297+U297+X297+Y297+Z297+AC297+AK297+AL297+AK297+AO297+AR297+AS297+AU297+AV297+AW297+AX297+AP297)+11</f>
        <v>11</v>
      </c>
      <c r="C297" s="215">
        <f>SUM(L297+M297+N297+O297+P297+U297+Y297+Z297+X297+AC297+AL297+AK297+AL297+AP297+AS297+AO297+AV297+AW297+AX297+AY297+AR297+AU297)+11</f>
        <v>11</v>
      </c>
      <c r="D297" s="133"/>
      <c r="E297" s="134"/>
      <c r="F297" s="135"/>
      <c r="G297" s="136"/>
      <c r="H297" s="683"/>
      <c r="I297" s="676"/>
      <c r="J297" s="96"/>
      <c r="K297" s="96"/>
      <c r="L297" s="104"/>
      <c r="M297" s="75"/>
      <c r="N297" s="75"/>
      <c r="O297" s="75"/>
      <c r="P297" s="75"/>
      <c r="Q297" s="105"/>
      <c r="R297" s="105"/>
      <c r="S297" s="96"/>
      <c r="T297" s="109"/>
      <c r="U297" s="100"/>
      <c r="V297" s="110"/>
      <c r="W297" s="110"/>
      <c r="X297" s="100"/>
      <c r="Y297" s="100"/>
      <c r="Z297" s="100"/>
      <c r="AA297" s="110"/>
      <c r="AB297" s="110"/>
      <c r="AC297" s="100"/>
      <c r="AD297" s="109"/>
      <c r="AE297" s="109"/>
      <c r="AF297" s="109"/>
      <c r="AG297" s="108"/>
      <c r="AH297" s="109"/>
      <c r="AI297" s="108"/>
      <c r="AJ297" s="111"/>
      <c r="AK297" s="100"/>
      <c r="AL297" s="110"/>
      <c r="AM297" s="110"/>
      <c r="AN297" s="100"/>
      <c r="AO297" s="100"/>
      <c r="AP297" s="100"/>
      <c r="AQ297" s="100"/>
      <c r="AR297" s="100"/>
      <c r="AS297" s="100"/>
      <c r="AT297" s="100"/>
      <c r="AU297" s="111"/>
      <c r="AV297" s="111"/>
    </row>
    <row r="298" spans="1:48" ht="16.3">
      <c r="A298" s="83" t="s">
        <v>3</v>
      </c>
      <c r="B298" s="539">
        <f>SUM(L298+M298+N298+O298+P298+U298+X298+Y298+Z298+AC298+AK298+AL298+AK298+AO298+AR298+AS298+AU298+AV298+AW298+AX298+AP298)+16</f>
        <v>16</v>
      </c>
      <c r="C298" s="214">
        <f>SUM(L298+M298+N298+O298+P298+U298+Y298+Z298+X298+AC298+AL298+AK298+AL298+AP298+AS298+AO298+AV298+AW298+AX298+AY298+AR298+AU298)+16</f>
        <v>16</v>
      </c>
      <c r="D298" s="133"/>
      <c r="E298" s="134"/>
      <c r="F298" s="135"/>
      <c r="G298" s="136"/>
      <c r="H298" s="683"/>
      <c r="I298" s="676"/>
      <c r="J298" s="96"/>
      <c r="K298" s="96"/>
      <c r="L298" s="104"/>
      <c r="M298" s="75"/>
      <c r="N298" s="75"/>
      <c r="O298" s="75"/>
      <c r="P298" s="75"/>
      <c r="Q298" s="105"/>
      <c r="R298" s="105"/>
      <c r="S298" s="96"/>
      <c r="T298" s="109"/>
      <c r="U298" s="100"/>
      <c r="V298" s="110"/>
      <c r="W298" s="110"/>
      <c r="X298" s="100"/>
      <c r="Y298" s="100"/>
      <c r="Z298" s="100"/>
      <c r="AA298" s="110"/>
      <c r="AB298" s="110"/>
      <c r="AC298" s="100"/>
      <c r="AD298" s="109"/>
      <c r="AE298" s="109"/>
      <c r="AF298" s="109"/>
      <c r="AG298" s="108"/>
      <c r="AH298" s="109"/>
      <c r="AI298" s="108"/>
      <c r="AJ298" s="111"/>
      <c r="AK298" s="100"/>
      <c r="AL298" s="110"/>
      <c r="AM298" s="110"/>
      <c r="AN298" s="100"/>
      <c r="AO298" s="100"/>
      <c r="AP298" s="100"/>
      <c r="AQ298" s="100"/>
      <c r="AR298" s="100"/>
      <c r="AS298" s="100"/>
      <c r="AT298" s="100"/>
      <c r="AU298" s="111"/>
      <c r="AV298" s="111"/>
    </row>
    <row r="299" spans="1:48" ht="17" thickBot="1">
      <c r="A299" s="85" t="s">
        <v>4</v>
      </c>
      <c r="B299" s="541">
        <f>SUM(L299+M299+N299+O299+P299+U299+X299+Y299+Z299+AC299+AK299+AL299+AK299+AO299+AR299+AS299+AU299+AV299+AW299+AX299+AP299)+80</f>
        <v>80</v>
      </c>
      <c r="C299" s="217">
        <f>SUM(L299+M299+N299+O299+P299+U299+Y299+Z299+X299+AC299+AL299+AK299+AL299+AP299+AS299+AO299+AV299+AW299+AX299+AY299+AR299+AU299)+80</f>
        <v>80</v>
      </c>
      <c r="D299" s="144"/>
      <c r="E299" s="145"/>
      <c r="F299" s="146"/>
      <c r="G299" s="147"/>
      <c r="H299" s="684"/>
      <c r="I299" s="677"/>
      <c r="J299" s="114"/>
      <c r="K299" s="114"/>
      <c r="L299" s="113"/>
      <c r="M299" s="112"/>
      <c r="N299" s="112"/>
      <c r="O299" s="112"/>
      <c r="P299" s="112"/>
      <c r="Q299" s="127"/>
      <c r="R299" s="127"/>
      <c r="S299" s="114"/>
      <c r="T299" s="118"/>
      <c r="U299" s="116"/>
      <c r="V299" s="119"/>
      <c r="W299" s="119"/>
      <c r="X299" s="116"/>
      <c r="Y299" s="116"/>
      <c r="Z299" s="116"/>
      <c r="AA299" s="120"/>
      <c r="AB299" s="120"/>
      <c r="AC299" s="116"/>
      <c r="AD299" s="118"/>
      <c r="AE299" s="118"/>
      <c r="AF299" s="118"/>
      <c r="AG299" s="117"/>
      <c r="AH299" s="118"/>
      <c r="AI299" s="117"/>
      <c r="AJ299" s="121"/>
      <c r="AK299" s="116"/>
      <c r="AL299" s="120"/>
      <c r="AM299" s="120"/>
      <c r="AN299" s="116"/>
      <c r="AO299" s="116"/>
      <c r="AP299" s="116"/>
      <c r="AQ299" s="116"/>
      <c r="AR299" s="116"/>
      <c r="AS299" s="116"/>
      <c r="AT299" s="116"/>
      <c r="AU299" s="121"/>
      <c r="AV299" s="121"/>
    </row>
    <row r="300" spans="1:48" ht="21.1">
      <c r="A300" s="82" t="s">
        <v>219</v>
      </c>
      <c r="B300" s="539"/>
      <c r="C300" s="214"/>
      <c r="D300" s="133"/>
      <c r="E300" s="134"/>
      <c r="F300" s="135"/>
      <c r="G300" s="136"/>
      <c r="H300" s="683"/>
      <c r="I300" s="676"/>
      <c r="J300" s="96" t="s">
        <v>501</v>
      </c>
      <c r="K300" s="96">
        <v>4</v>
      </c>
      <c r="L300" s="104">
        <v>4</v>
      </c>
      <c r="M300" s="75" t="s">
        <v>382</v>
      </c>
      <c r="N300" s="75" t="s">
        <v>372</v>
      </c>
      <c r="O300" s="75" t="s">
        <v>375</v>
      </c>
      <c r="P300" s="75" t="s">
        <v>375</v>
      </c>
      <c r="Q300" s="105"/>
      <c r="R300" s="105"/>
      <c r="S300" s="96" t="s">
        <v>775</v>
      </c>
      <c r="T300" s="96" t="s">
        <v>775</v>
      </c>
      <c r="U300" s="75" t="s">
        <v>375</v>
      </c>
      <c r="V300" s="106" t="s">
        <v>372</v>
      </c>
      <c r="W300" s="110" t="s">
        <v>372</v>
      </c>
      <c r="X300" s="100">
        <v>4</v>
      </c>
      <c r="Y300" s="100">
        <v>4</v>
      </c>
      <c r="Z300" s="100" t="s">
        <v>928</v>
      </c>
      <c r="AA300" s="110" t="s">
        <v>717</v>
      </c>
      <c r="AB300" s="110" t="s">
        <v>717</v>
      </c>
      <c r="AC300" s="100">
        <v>4</v>
      </c>
      <c r="AD300" s="109">
        <v>4</v>
      </c>
      <c r="AE300" s="109">
        <v>4</v>
      </c>
      <c r="AF300" s="109" t="s">
        <v>1032</v>
      </c>
      <c r="AG300" s="108"/>
      <c r="AH300" s="109">
        <v>4</v>
      </c>
      <c r="AI300" s="108"/>
      <c r="AJ300" s="111"/>
      <c r="AK300" s="100"/>
      <c r="AL300" s="110"/>
      <c r="AM300" s="110"/>
      <c r="AN300" s="100"/>
      <c r="AO300" s="100"/>
      <c r="AP300" s="100"/>
      <c r="AQ300" s="100"/>
      <c r="AR300" s="100"/>
      <c r="AS300" s="100"/>
      <c r="AT300" s="100"/>
      <c r="AU300" s="111"/>
      <c r="AV300" s="111"/>
    </row>
    <row r="301" spans="1:48" ht="16.3">
      <c r="A301" s="246" t="s">
        <v>1</v>
      </c>
      <c r="B301" s="538">
        <f>SUM(L301+M301+N301+O301+P301+U301+X301+Y301+Z301+AC301+AK301+AL301+AK301+AO301+AR301+AS301+AU301+AV301+AW301+AX301+AP301)+88</f>
        <v>95</v>
      </c>
      <c r="C301" s="215">
        <f>SUM(L301+M301+N301+O301+P301+U301+Y301+Z301+X301+AC301+AL301+AK301+AL301+AP301+AS301+AO301+AV301+AW301+AX301+AY301+AR301+AU301)+103</f>
        <v>110</v>
      </c>
      <c r="D301" s="133"/>
      <c r="E301" s="134"/>
      <c r="F301" s="135"/>
      <c r="G301" s="136"/>
      <c r="H301" s="683"/>
      <c r="I301" s="676"/>
      <c r="J301" s="96"/>
      <c r="K301" s="96">
        <v>1</v>
      </c>
      <c r="L301" s="104">
        <v>1</v>
      </c>
      <c r="M301" s="75">
        <v>1</v>
      </c>
      <c r="N301" s="75">
        <v>1</v>
      </c>
      <c r="O301" s="75"/>
      <c r="P301" s="75"/>
      <c r="Q301" s="105"/>
      <c r="R301" s="105"/>
      <c r="S301" s="96"/>
      <c r="T301" s="109"/>
      <c r="U301" s="100"/>
      <c r="V301" s="110">
        <v>1</v>
      </c>
      <c r="W301" s="110">
        <v>1</v>
      </c>
      <c r="X301" s="100">
        <v>1</v>
      </c>
      <c r="Y301" s="100">
        <v>1</v>
      </c>
      <c r="Z301" s="100">
        <v>1</v>
      </c>
      <c r="AA301" s="110"/>
      <c r="AB301" s="110"/>
      <c r="AC301" s="100">
        <v>1</v>
      </c>
      <c r="AD301" s="109">
        <v>1</v>
      </c>
      <c r="AE301" s="109">
        <v>1</v>
      </c>
      <c r="AF301" s="109">
        <v>1</v>
      </c>
      <c r="AG301" s="108"/>
      <c r="AH301" s="109">
        <v>1</v>
      </c>
      <c r="AI301" s="108"/>
      <c r="AJ301" s="111"/>
      <c r="AK301" s="100"/>
      <c r="AL301" s="110"/>
      <c r="AM301" s="110"/>
      <c r="AN301" s="100"/>
      <c r="AO301" s="100"/>
      <c r="AP301" s="100"/>
      <c r="AQ301" s="100"/>
      <c r="AR301" s="100"/>
      <c r="AS301" s="100"/>
      <c r="AT301" s="100"/>
      <c r="AU301" s="111"/>
      <c r="AV301" s="111"/>
    </row>
    <row r="302" spans="1:48" ht="16.3">
      <c r="A302" s="246" t="s">
        <v>2</v>
      </c>
      <c r="B302" s="538">
        <f>SUM(L302+M302+N302+O302+P302+U302+X302+Y302+Z302+AC302+AK302+AL302+AK302+AO302+AR302+AS302+AU302+AV302+AW302+AX302+AP302)+28</f>
        <v>31</v>
      </c>
      <c r="C302" s="215">
        <f>SUM(L302+M302+N302+O302+P302+U302+Y302+Z302+X302+AC302+AL302+AK302+AL302+AP302+AS302+AO302+AV302+AW302+AX302+AY302+AR302+AU302)+31</f>
        <v>34</v>
      </c>
      <c r="D302" s="133"/>
      <c r="E302" s="134"/>
      <c r="F302" s="135"/>
      <c r="G302" s="136"/>
      <c r="H302" s="683"/>
      <c r="I302" s="676"/>
      <c r="J302" s="96"/>
      <c r="K302" s="96"/>
      <c r="L302" s="104"/>
      <c r="M302" s="75"/>
      <c r="N302" s="75"/>
      <c r="O302" s="75">
        <v>1</v>
      </c>
      <c r="P302" s="75">
        <v>1</v>
      </c>
      <c r="Q302" s="105"/>
      <c r="R302" s="105"/>
      <c r="S302" s="96"/>
      <c r="T302" s="109"/>
      <c r="U302" s="100">
        <v>1</v>
      </c>
      <c r="V302" s="110"/>
      <c r="W302" s="110"/>
      <c r="X302" s="100"/>
      <c r="Y302" s="100"/>
      <c r="Z302" s="100"/>
      <c r="AA302" s="110"/>
      <c r="AB302" s="110"/>
      <c r="AC302" s="100"/>
      <c r="AD302" s="109"/>
      <c r="AE302" s="109"/>
      <c r="AF302" s="109"/>
      <c r="AG302" s="108"/>
      <c r="AH302" s="109"/>
      <c r="AI302" s="108"/>
      <c r="AJ302" s="111"/>
      <c r="AK302" s="100"/>
      <c r="AL302" s="110"/>
      <c r="AM302" s="110"/>
      <c r="AN302" s="100"/>
      <c r="AO302" s="100"/>
      <c r="AP302" s="100"/>
      <c r="AQ302" s="100"/>
      <c r="AR302" s="100"/>
      <c r="AS302" s="100"/>
      <c r="AT302" s="100"/>
      <c r="AU302" s="111"/>
      <c r="AV302" s="111"/>
    </row>
    <row r="303" spans="1:48" ht="16.3">
      <c r="A303" s="83" t="s">
        <v>363</v>
      </c>
      <c r="B303" s="539">
        <f t="shared" ref="B303" si="48">SUM(B301+B302)</f>
        <v>126</v>
      </c>
      <c r="C303" s="214">
        <f t="shared" ref="C303" si="49">SUM(C301+C302)</f>
        <v>144</v>
      </c>
      <c r="D303" s="133"/>
      <c r="E303" s="134"/>
      <c r="F303" s="135"/>
      <c r="G303" s="136"/>
      <c r="H303" s="683"/>
      <c r="I303" s="676"/>
      <c r="J303" s="96"/>
      <c r="K303" s="96"/>
      <c r="L303" s="104"/>
      <c r="M303" s="75"/>
      <c r="N303" s="75"/>
      <c r="O303" s="75"/>
      <c r="P303" s="75"/>
      <c r="Q303" s="105"/>
      <c r="R303" s="105"/>
      <c r="S303" s="96"/>
      <c r="T303" s="109"/>
      <c r="U303" s="100"/>
      <c r="V303" s="110"/>
      <c r="W303" s="110"/>
      <c r="X303" s="100"/>
      <c r="Y303" s="100"/>
      <c r="Z303" s="100"/>
      <c r="AA303" s="110"/>
      <c r="AB303" s="110"/>
      <c r="AC303" s="100"/>
      <c r="AD303" s="109"/>
      <c r="AE303" s="109"/>
      <c r="AF303" s="109"/>
      <c r="AG303" s="108"/>
      <c r="AH303" s="109"/>
      <c r="AI303" s="108"/>
      <c r="AJ303" s="111"/>
      <c r="AK303" s="100"/>
      <c r="AL303" s="110"/>
      <c r="AM303" s="110"/>
      <c r="AN303" s="100"/>
      <c r="AO303" s="100"/>
      <c r="AP303" s="100"/>
      <c r="AQ303" s="100"/>
      <c r="AR303" s="100"/>
      <c r="AS303" s="100"/>
      <c r="AT303" s="100"/>
      <c r="AU303" s="111"/>
      <c r="AV303" s="111"/>
    </row>
    <row r="304" spans="1:48" ht="16.3">
      <c r="A304" s="246" t="s">
        <v>362</v>
      </c>
      <c r="B304" s="538">
        <f>SUM(L304+M304+N304+O304+P304+U304+X304+Y304+Z304+AC304+AK304+AL304+AK304+AO304+AR304+AS304+AU304+AV304+AW304+AX304+AP304)+1</f>
        <v>1</v>
      </c>
      <c r="C304" s="215">
        <f>SUM(L304+M304+N304+O304+P304+U304+Y304+Z304+X304+AC304+AL304+AK304+AL304+AP304+AS304+AO304+AV304+AW304+AX304+AY304+AR304+AU304)+1</f>
        <v>1</v>
      </c>
      <c r="D304" s="133"/>
      <c r="E304" s="134"/>
      <c r="F304" s="135"/>
      <c r="G304" s="136"/>
      <c r="H304" s="683"/>
      <c r="I304" s="676"/>
      <c r="J304" s="96"/>
      <c r="K304" s="96"/>
      <c r="L304" s="104"/>
      <c r="M304" s="75"/>
      <c r="N304" s="75"/>
      <c r="O304" s="75"/>
      <c r="P304" s="75"/>
      <c r="Q304" s="105"/>
      <c r="R304" s="105"/>
      <c r="S304" s="96"/>
      <c r="T304" s="109"/>
      <c r="U304" s="100"/>
      <c r="V304" s="110"/>
      <c r="W304" s="110"/>
      <c r="X304" s="100"/>
      <c r="Y304" s="100"/>
      <c r="Z304" s="100"/>
      <c r="AA304" s="110"/>
      <c r="AB304" s="110"/>
      <c r="AC304" s="100"/>
      <c r="AD304" s="109"/>
      <c r="AE304" s="109"/>
      <c r="AF304" s="109">
        <v>1</v>
      </c>
      <c r="AG304" s="108"/>
      <c r="AH304" s="109"/>
      <c r="AI304" s="108"/>
      <c r="AJ304" s="111"/>
      <c r="AK304" s="100"/>
      <c r="AL304" s="110"/>
      <c r="AM304" s="110"/>
      <c r="AN304" s="100"/>
      <c r="AO304" s="100"/>
      <c r="AP304" s="100"/>
      <c r="AQ304" s="100"/>
      <c r="AR304" s="100"/>
      <c r="AS304" s="100"/>
      <c r="AT304" s="100"/>
      <c r="AU304" s="111"/>
      <c r="AV304" s="111"/>
    </row>
    <row r="305" spans="1:48" ht="16.3">
      <c r="A305" s="83" t="s">
        <v>3</v>
      </c>
      <c r="B305" s="539">
        <f>SUM(L305+M305+N305+O305+P305+U305+X305+Y305+Z305+AC305+AK305+AL305+AK305+AO305+AR305+AS305+AU305+AV305+AW305+AX305+AP305)+3</f>
        <v>4</v>
      </c>
      <c r="C305" s="214">
        <f>SUM(L305+M305+N305+O305+P305+U305+Y305+Z305+X305+AC305+AL305+AK305+AL305+AP305+AS305+AO305+AV305+AW305+AX305+AY305+AR305+AU305)+5</f>
        <v>6</v>
      </c>
      <c r="D305" s="133"/>
      <c r="E305" s="134"/>
      <c r="F305" s="135"/>
      <c r="G305" s="136"/>
      <c r="H305" s="683"/>
      <c r="I305" s="676"/>
      <c r="J305" s="96"/>
      <c r="K305" s="96"/>
      <c r="L305" s="104"/>
      <c r="M305" s="75">
        <v>1</v>
      </c>
      <c r="N305" s="75"/>
      <c r="O305" s="75"/>
      <c r="P305" s="75"/>
      <c r="Q305" s="105"/>
      <c r="R305" s="105"/>
      <c r="S305" s="96"/>
      <c r="T305" s="109"/>
      <c r="U305" s="100"/>
      <c r="V305" s="110"/>
      <c r="W305" s="110"/>
      <c r="X305" s="100"/>
      <c r="Y305" s="100"/>
      <c r="Z305" s="100"/>
      <c r="AA305" s="110"/>
      <c r="AB305" s="110"/>
      <c r="AC305" s="100"/>
      <c r="AD305" s="109"/>
      <c r="AE305" s="109"/>
      <c r="AF305" s="109"/>
      <c r="AG305" s="108"/>
      <c r="AH305" s="109"/>
      <c r="AI305" s="108"/>
      <c r="AJ305" s="111"/>
      <c r="AK305" s="100"/>
      <c r="AL305" s="110"/>
      <c r="AM305" s="110"/>
      <c r="AN305" s="100"/>
      <c r="AO305" s="100"/>
      <c r="AP305" s="100"/>
      <c r="AQ305" s="100"/>
      <c r="AR305" s="100"/>
      <c r="AS305" s="100"/>
      <c r="AT305" s="100"/>
      <c r="AU305" s="111"/>
      <c r="AV305" s="111"/>
    </row>
    <row r="306" spans="1:48" ht="17" thickBot="1">
      <c r="A306" s="85" t="s">
        <v>4</v>
      </c>
      <c r="B306" s="541">
        <f>SUM(L306+M306+N306+O306+P306+U306+X306+Y306+Z306+AC306+AK306+AL306+AK306+AO306+AR306+AS306+AU306+AV306+AW306+AX306+AP306)+15</f>
        <v>20</v>
      </c>
      <c r="C306" s="217">
        <f>SUM(L306+M306+N306+O306+P306+U306+Y306+Z306+X306+AC306+AL306+AK306+AL306+AP306+AS306+AO306+AV306+AW306+AX306+AY306+AR306+AU306)+25</f>
        <v>30</v>
      </c>
      <c r="D306" s="144"/>
      <c r="E306" s="145"/>
      <c r="F306" s="146"/>
      <c r="G306" s="147"/>
      <c r="H306" s="684"/>
      <c r="I306" s="677"/>
      <c r="J306" s="114"/>
      <c r="K306" s="114"/>
      <c r="L306" s="113"/>
      <c r="M306" s="112">
        <v>5</v>
      </c>
      <c r="N306" s="112"/>
      <c r="O306" s="112"/>
      <c r="P306" s="112"/>
      <c r="Q306" s="127"/>
      <c r="R306" s="127"/>
      <c r="S306" s="114"/>
      <c r="T306" s="118"/>
      <c r="U306" s="116"/>
      <c r="V306" s="120"/>
      <c r="W306" s="120"/>
      <c r="X306" s="116"/>
      <c r="Y306" s="112"/>
      <c r="Z306" s="100"/>
      <c r="AA306" s="110"/>
      <c r="AB306" s="110"/>
      <c r="AC306" s="100"/>
      <c r="AD306" s="109"/>
      <c r="AE306" s="109"/>
      <c r="AF306" s="109"/>
      <c r="AG306" s="108"/>
      <c r="AH306" s="109"/>
      <c r="AI306" s="108"/>
      <c r="AJ306" s="111"/>
      <c r="AK306" s="100"/>
      <c r="AL306" s="110"/>
      <c r="AM306" s="110"/>
      <c r="AN306" s="100"/>
      <c r="AO306" s="100"/>
      <c r="AP306" s="100"/>
      <c r="AQ306" s="100"/>
      <c r="AR306" s="100"/>
      <c r="AS306" s="100"/>
      <c r="AT306" s="100"/>
      <c r="AU306" s="111"/>
      <c r="AV306" s="111"/>
    </row>
    <row r="307" spans="1:48" ht="21.1">
      <c r="A307" s="82" t="s">
        <v>97</v>
      </c>
      <c r="B307" s="539"/>
      <c r="C307" s="214"/>
      <c r="D307" s="133"/>
      <c r="E307" s="134"/>
      <c r="F307" s="135"/>
      <c r="G307" s="136"/>
      <c r="H307" s="683"/>
      <c r="I307" s="676"/>
      <c r="J307" s="96" t="s">
        <v>387</v>
      </c>
      <c r="K307" s="96"/>
      <c r="L307" s="104" t="s">
        <v>387</v>
      </c>
      <c r="M307" s="75">
        <v>5</v>
      </c>
      <c r="N307" s="75" t="s">
        <v>387</v>
      </c>
      <c r="O307" s="75" t="s">
        <v>387</v>
      </c>
      <c r="P307" s="75" t="s">
        <v>387</v>
      </c>
      <c r="Q307" s="105"/>
      <c r="R307" s="105"/>
      <c r="S307" s="96" t="s">
        <v>595</v>
      </c>
      <c r="T307" s="96"/>
      <c r="U307" s="75">
        <v>5</v>
      </c>
      <c r="V307" s="110">
        <v>5</v>
      </c>
      <c r="W307" s="110" t="s">
        <v>375</v>
      </c>
      <c r="X307" s="100">
        <v>5</v>
      </c>
      <c r="Y307" s="100">
        <v>5</v>
      </c>
      <c r="Z307" s="102" t="s">
        <v>387</v>
      </c>
      <c r="AA307" s="101">
        <v>5</v>
      </c>
      <c r="AB307" s="101">
        <v>5</v>
      </c>
      <c r="AC307" s="102" t="s">
        <v>387</v>
      </c>
      <c r="AD307" s="99"/>
      <c r="AE307" s="99" t="s">
        <v>816</v>
      </c>
      <c r="AF307" s="99">
        <v>5</v>
      </c>
      <c r="AG307" s="98"/>
      <c r="AH307" s="99">
        <v>5</v>
      </c>
      <c r="AI307" s="98"/>
      <c r="AJ307" s="103"/>
      <c r="AK307" s="102"/>
      <c r="AL307" s="101"/>
      <c r="AM307" s="101"/>
      <c r="AN307" s="102"/>
      <c r="AO307" s="102"/>
      <c r="AP307" s="102"/>
      <c r="AQ307" s="102"/>
      <c r="AR307" s="102"/>
      <c r="AS307" s="102"/>
      <c r="AT307" s="102"/>
      <c r="AU307" s="103"/>
      <c r="AV307" s="103"/>
    </row>
    <row r="308" spans="1:48" ht="16.3">
      <c r="A308" s="246" t="s">
        <v>1</v>
      </c>
      <c r="B308" s="538">
        <f>SUM(L308+M308+N308+O308+P308+U308+X308+Y308+Z308+AC308+AK308+AL308+AK308+AO308+AR308+AS308+AU308+AV308+AW308+AX308+AP308)+36</f>
        <v>46</v>
      </c>
      <c r="C308" s="215">
        <f>SUM(L308+M308+N308+O308+P308+U308+Y308+Z308+X308+AC308+AL308+AK308+AL308+AP308+AS308+AO308+AV308+AW308+AX308+AY308+AR308+AU308)+55</f>
        <v>65</v>
      </c>
      <c r="D308" s="133"/>
      <c r="E308" s="134"/>
      <c r="F308" s="135"/>
      <c r="G308" s="136"/>
      <c r="H308" s="683"/>
      <c r="I308" s="676"/>
      <c r="J308" s="96">
        <v>1</v>
      </c>
      <c r="K308" s="96"/>
      <c r="L308" s="104">
        <v>1</v>
      </c>
      <c r="M308" s="75">
        <v>1</v>
      </c>
      <c r="N308" s="75">
        <v>1</v>
      </c>
      <c r="O308" s="75">
        <v>1</v>
      </c>
      <c r="P308" s="75">
        <v>1</v>
      </c>
      <c r="Q308" s="105"/>
      <c r="R308" s="105"/>
      <c r="S308" s="96">
        <v>1</v>
      </c>
      <c r="T308" s="109"/>
      <c r="U308" s="100">
        <v>1</v>
      </c>
      <c r="V308" s="110">
        <v>1</v>
      </c>
      <c r="W308" s="110"/>
      <c r="X308" s="100">
        <v>1</v>
      </c>
      <c r="Y308" s="100">
        <v>1</v>
      </c>
      <c r="Z308" s="100">
        <v>1</v>
      </c>
      <c r="AA308" s="110">
        <v>1</v>
      </c>
      <c r="AB308" s="110">
        <v>1</v>
      </c>
      <c r="AC308" s="100">
        <v>1</v>
      </c>
      <c r="AD308" s="109"/>
      <c r="AE308" s="109"/>
      <c r="AF308" s="109">
        <v>1</v>
      </c>
      <c r="AG308" s="108"/>
      <c r="AH308" s="109">
        <v>1</v>
      </c>
      <c r="AI308" s="108"/>
      <c r="AJ308" s="111"/>
      <c r="AK308" s="100"/>
      <c r="AL308" s="110"/>
      <c r="AM308" s="110"/>
      <c r="AN308" s="100"/>
      <c r="AO308" s="100"/>
      <c r="AP308" s="100"/>
      <c r="AQ308" s="100"/>
      <c r="AR308" s="100"/>
      <c r="AS308" s="100"/>
      <c r="AT308" s="100"/>
      <c r="AU308" s="111"/>
      <c r="AV308" s="111"/>
    </row>
    <row r="309" spans="1:48" ht="16.3">
      <c r="A309" s="246" t="s">
        <v>2</v>
      </c>
      <c r="B309" s="538">
        <f>SUM(L309+M309+N309+O309+P309+U309+X309+Y309+Z309+AC309+AK309+AL309+AK309+AO309+AR309+AS309+AU309+AV309+AW309+AX309+AP309)+14</f>
        <v>14</v>
      </c>
      <c r="C309" s="215">
        <f>SUM(L309+M309+N309+O309+P309+U309+Y309+Z309+X309+AC309+AL309+AK309+AL309+AP309+AS309+AO309+AV309+AW309+AX309+AY309+AR309+AU309)+26</f>
        <v>26</v>
      </c>
      <c r="D309" s="133"/>
      <c r="E309" s="134"/>
      <c r="F309" s="135"/>
      <c r="G309" s="136"/>
      <c r="H309" s="683"/>
      <c r="I309" s="676"/>
      <c r="J309" s="96"/>
      <c r="K309" s="96"/>
      <c r="L309" s="104"/>
      <c r="M309" s="75"/>
      <c r="N309" s="75"/>
      <c r="O309" s="75"/>
      <c r="P309" s="75"/>
      <c r="Q309" s="105"/>
      <c r="R309" s="105"/>
      <c r="S309" s="96"/>
      <c r="T309" s="109"/>
      <c r="U309" s="100"/>
      <c r="V309" s="110"/>
      <c r="W309" s="110">
        <v>1</v>
      </c>
      <c r="X309" s="100"/>
      <c r="Y309" s="100"/>
      <c r="Z309" s="100"/>
      <c r="AA309" s="110"/>
      <c r="AB309" s="110"/>
      <c r="AC309" s="100"/>
      <c r="AD309" s="109"/>
      <c r="AE309" s="109"/>
      <c r="AF309" s="109"/>
      <c r="AG309" s="108"/>
      <c r="AH309" s="109"/>
      <c r="AI309" s="108"/>
      <c r="AJ309" s="111"/>
      <c r="AK309" s="100"/>
      <c r="AL309" s="110"/>
      <c r="AM309" s="110"/>
      <c r="AN309" s="100"/>
      <c r="AO309" s="100"/>
      <c r="AP309" s="100"/>
      <c r="AQ309" s="100"/>
      <c r="AR309" s="100"/>
      <c r="AS309" s="100"/>
      <c r="AT309" s="100"/>
      <c r="AU309" s="111"/>
      <c r="AV309" s="111"/>
    </row>
    <row r="310" spans="1:48" ht="16.3">
      <c r="A310" s="83" t="s">
        <v>363</v>
      </c>
      <c r="B310" s="539">
        <f t="shared" ref="B310" si="50">SUM(B308+B309)</f>
        <v>60</v>
      </c>
      <c r="C310" s="214">
        <f t="shared" ref="C310" si="51">SUM(C308+C309)</f>
        <v>91</v>
      </c>
      <c r="D310" s="133"/>
      <c r="E310" s="134"/>
      <c r="F310" s="135"/>
      <c r="G310" s="136"/>
      <c r="H310" s="683"/>
      <c r="I310" s="676"/>
      <c r="J310" s="96"/>
      <c r="K310" s="96"/>
      <c r="L310" s="104"/>
      <c r="M310" s="75"/>
      <c r="N310" s="75"/>
      <c r="O310" s="75"/>
      <c r="P310" s="75"/>
      <c r="Q310" s="105"/>
      <c r="R310" s="105"/>
      <c r="S310" s="96"/>
      <c r="T310" s="109"/>
      <c r="U310" s="100"/>
      <c r="V310" s="110"/>
      <c r="W310" s="110"/>
      <c r="X310" s="100"/>
      <c r="Y310" s="100"/>
      <c r="Z310" s="100"/>
      <c r="AA310" s="110"/>
      <c r="AB310" s="110"/>
      <c r="AC310" s="100"/>
      <c r="AD310" s="109"/>
      <c r="AE310" s="109"/>
      <c r="AF310" s="109"/>
      <c r="AG310" s="108"/>
      <c r="AH310" s="109"/>
      <c r="AI310" s="108"/>
      <c r="AJ310" s="111"/>
      <c r="AK310" s="100"/>
      <c r="AL310" s="110"/>
      <c r="AM310" s="110"/>
      <c r="AN310" s="100"/>
      <c r="AO310" s="100"/>
      <c r="AP310" s="100"/>
      <c r="AQ310" s="100"/>
      <c r="AR310" s="100"/>
      <c r="AS310" s="100"/>
      <c r="AT310" s="100"/>
      <c r="AU310" s="111"/>
      <c r="AV310" s="111"/>
    </row>
    <row r="311" spans="1:48" ht="16.3">
      <c r="A311" s="246" t="s">
        <v>366</v>
      </c>
      <c r="B311" s="538">
        <f>SUM(L311+M311+N311+O311+P311+U311+X311+Y311+Z311+AC311+AK311+AL311+AK311+AO311+AR311+AS311+AU311+AV311+AW311+AX311+AP311)</f>
        <v>0</v>
      </c>
      <c r="C311" s="215">
        <f>SUM(L311+M311+N311+O311+P311+U311+Y311+Z311+X311+AC311+AL311+AK311+AL311+AP311+AS311+AO311+AV311+AW311+AX311+AY311+AR311+AU311)</f>
        <v>0</v>
      </c>
      <c r="D311" s="133"/>
      <c r="E311" s="134"/>
      <c r="F311" s="135"/>
      <c r="G311" s="136"/>
      <c r="H311" s="683"/>
      <c r="I311" s="676"/>
      <c r="J311" s="96"/>
      <c r="K311" s="96"/>
      <c r="L311" s="104"/>
      <c r="M311" s="75"/>
      <c r="N311" s="75"/>
      <c r="O311" s="75"/>
      <c r="P311" s="75"/>
      <c r="Q311" s="105"/>
      <c r="R311" s="105"/>
      <c r="S311" s="96">
        <v>1</v>
      </c>
      <c r="T311" s="109"/>
      <c r="U311" s="100"/>
      <c r="V311" s="110"/>
      <c r="W311" s="110"/>
      <c r="X311" s="100"/>
      <c r="Y311" s="100"/>
      <c r="Z311" s="100"/>
      <c r="AA311" s="110"/>
      <c r="AB311" s="110"/>
      <c r="AC311" s="100"/>
      <c r="AD311" s="109"/>
      <c r="AE311" s="109"/>
      <c r="AF311" s="109"/>
      <c r="AG311" s="108"/>
      <c r="AH311" s="109"/>
      <c r="AI311" s="108"/>
      <c r="AJ311" s="111"/>
      <c r="AK311" s="100"/>
      <c r="AL311" s="110"/>
      <c r="AM311" s="110"/>
      <c r="AN311" s="100"/>
      <c r="AO311" s="100"/>
      <c r="AP311" s="100"/>
      <c r="AQ311" s="100"/>
      <c r="AR311" s="100"/>
      <c r="AS311" s="100"/>
      <c r="AT311" s="100"/>
      <c r="AU311" s="111"/>
      <c r="AV311" s="111"/>
    </row>
    <row r="312" spans="1:48" ht="16.3">
      <c r="A312" s="246" t="s">
        <v>364</v>
      </c>
      <c r="B312" s="538">
        <f>SUM(L312+M312+N312+O312+P312+U312+X312+Y312+Z312+AC312+AK312+AL312+AK312+AO312+AR312+AS312+AU312+AV312+AW312+AX312+AP312)+1</f>
        <v>1</v>
      </c>
      <c r="C312" s="215">
        <f>SUM(L312+M312+N312+O312+P312+U312+Y312+Z312+X312+AC312+AL312+AK312+AL312+AP312+AS312+AO312+AV312+AW312+AX312+AY312+AR312+AU312)+1</f>
        <v>1</v>
      </c>
      <c r="D312" s="133"/>
      <c r="E312" s="134"/>
      <c r="F312" s="135"/>
      <c r="G312" s="136"/>
      <c r="H312" s="683"/>
      <c r="I312" s="676"/>
      <c r="J312" s="96"/>
      <c r="K312" s="96"/>
      <c r="L312" s="104"/>
      <c r="M312" s="75"/>
      <c r="N312" s="75"/>
      <c r="O312" s="75"/>
      <c r="P312" s="75"/>
      <c r="Q312" s="105"/>
      <c r="R312" s="105"/>
      <c r="S312" s="96"/>
      <c r="T312" s="109"/>
      <c r="U312" s="100"/>
      <c r="V312" s="110"/>
      <c r="W312" s="110"/>
      <c r="X312" s="100"/>
      <c r="Y312" s="100"/>
      <c r="Z312" s="100"/>
      <c r="AA312" s="110"/>
      <c r="AB312" s="110"/>
      <c r="AC312" s="100"/>
      <c r="AD312" s="109"/>
      <c r="AE312" s="109"/>
      <c r="AF312" s="109"/>
      <c r="AG312" s="108"/>
      <c r="AH312" s="109"/>
      <c r="AI312" s="108"/>
      <c r="AJ312" s="111"/>
      <c r="AK312" s="100"/>
      <c r="AL312" s="110"/>
      <c r="AM312" s="110"/>
      <c r="AN312" s="100"/>
      <c r="AO312" s="100"/>
      <c r="AP312" s="100"/>
      <c r="AQ312" s="100"/>
      <c r="AR312" s="100"/>
      <c r="AS312" s="100"/>
      <c r="AT312" s="100"/>
      <c r="AU312" s="111"/>
      <c r="AV312" s="111"/>
    </row>
    <row r="313" spans="1:48" ht="16.3">
      <c r="A313" s="83" t="s">
        <v>3</v>
      </c>
      <c r="B313" s="539">
        <f>SUM(L313+M313+N313+O313+P313+U313+X313+Y313+Z313+AC313+AK313+AL313+AK313+AO313+AR313+AS313+AU313+AV313+AW313+AX313+AP313)+1</f>
        <v>4</v>
      </c>
      <c r="C313" s="214">
        <f>SUM(L313+M313+N313+O313+P313+U313+Y313+Z313+X313+AC313+AL313+AK313+AL313+AP313+AS313+AO313+AV313+AW313+AX313+AY313+AR313+AU313)+4</f>
        <v>7</v>
      </c>
      <c r="D313" s="133"/>
      <c r="E313" s="134"/>
      <c r="F313" s="135"/>
      <c r="G313" s="136"/>
      <c r="H313" s="683"/>
      <c r="I313" s="676"/>
      <c r="J313" s="96"/>
      <c r="K313" s="96"/>
      <c r="L313" s="104"/>
      <c r="M313" s="75">
        <v>1</v>
      </c>
      <c r="N313" s="75"/>
      <c r="O313" s="75">
        <v>1</v>
      </c>
      <c r="P313" s="75">
        <v>1</v>
      </c>
      <c r="Q313" s="105"/>
      <c r="R313" s="105"/>
      <c r="S313" s="96"/>
      <c r="T313" s="109"/>
      <c r="U313" s="100"/>
      <c r="V313" s="110">
        <v>1</v>
      </c>
      <c r="W313" s="110"/>
      <c r="X313" s="100"/>
      <c r="Y313" s="100"/>
      <c r="Z313" s="100"/>
      <c r="AA313" s="110"/>
      <c r="AB313" s="110"/>
      <c r="AC313" s="100"/>
      <c r="AD313" s="109"/>
      <c r="AE313" s="109"/>
      <c r="AF313" s="109"/>
      <c r="AG313" s="108"/>
      <c r="AH313" s="109"/>
      <c r="AI313" s="108"/>
      <c r="AJ313" s="111"/>
      <c r="AK313" s="100"/>
      <c r="AL313" s="110"/>
      <c r="AM313" s="110"/>
      <c r="AN313" s="100"/>
      <c r="AO313" s="100"/>
      <c r="AP313" s="100"/>
      <c r="AQ313" s="100"/>
      <c r="AR313" s="100"/>
      <c r="AS313" s="100"/>
      <c r="AT313" s="100"/>
      <c r="AU313" s="111"/>
      <c r="AV313" s="111"/>
    </row>
    <row r="314" spans="1:48" ht="17" thickBot="1">
      <c r="A314" s="85" t="s">
        <v>4</v>
      </c>
      <c r="B314" s="541">
        <f>SUM(L314+M314+N314+O314+P314+U314+X314+Y314+Z314+AC314+AK314+AL314+AK314+AO314+AR314+AS314+AU314+AV314+AW314+AX314+AP314)+5</f>
        <v>20</v>
      </c>
      <c r="C314" s="217">
        <f>SUM(L314+M314+N314+O314+P314+U314+Y314+Z314+X314+AC314+AL314+AK314+AL314+AP314+AS314+AO314+AV314+AW314+AX314+AY314+AR314+AU314)+20</f>
        <v>35</v>
      </c>
      <c r="D314" s="144"/>
      <c r="E314" s="145"/>
      <c r="F314" s="146"/>
      <c r="G314" s="147"/>
      <c r="H314" s="684"/>
      <c r="I314" s="677"/>
      <c r="J314" s="114"/>
      <c r="K314" s="114"/>
      <c r="L314" s="113"/>
      <c r="M314" s="112">
        <v>5</v>
      </c>
      <c r="N314" s="112"/>
      <c r="O314" s="112">
        <v>5</v>
      </c>
      <c r="P314" s="112">
        <v>5</v>
      </c>
      <c r="Q314" s="127"/>
      <c r="R314" s="127"/>
      <c r="S314" s="114"/>
      <c r="T314" s="118"/>
      <c r="U314" s="116"/>
      <c r="V314" s="119">
        <v>5</v>
      </c>
      <c r="W314" s="120"/>
      <c r="X314" s="116"/>
      <c r="Y314" s="116"/>
      <c r="Z314" s="116"/>
      <c r="AA314" s="120"/>
      <c r="AB314" s="120"/>
      <c r="AC314" s="116"/>
      <c r="AD314" s="118"/>
      <c r="AE314" s="118"/>
      <c r="AF314" s="118"/>
      <c r="AG314" s="117"/>
      <c r="AH314" s="118"/>
      <c r="AI314" s="117"/>
      <c r="AJ314" s="121"/>
      <c r="AK314" s="116"/>
      <c r="AL314" s="120"/>
      <c r="AM314" s="120"/>
      <c r="AN314" s="116"/>
      <c r="AO314" s="116"/>
      <c r="AP314" s="116"/>
      <c r="AQ314" s="116"/>
      <c r="AR314" s="116"/>
      <c r="AS314" s="116"/>
      <c r="AT314" s="116"/>
      <c r="AU314" s="121"/>
      <c r="AV314" s="121"/>
    </row>
    <row r="315" spans="1:48" ht="21.1">
      <c r="A315" s="82" t="s">
        <v>342</v>
      </c>
      <c r="B315" s="539"/>
      <c r="C315" s="214"/>
      <c r="D315" s="133"/>
      <c r="E315" s="134"/>
      <c r="F315" s="135"/>
      <c r="G315" s="136"/>
      <c r="H315" s="683"/>
      <c r="I315" s="676"/>
      <c r="J315" s="96">
        <v>4</v>
      </c>
      <c r="K315" s="96" t="s">
        <v>382</v>
      </c>
      <c r="L315" s="104" t="s">
        <v>375</v>
      </c>
      <c r="M315" s="75">
        <v>4</v>
      </c>
      <c r="N315" s="75" t="s">
        <v>375</v>
      </c>
      <c r="O315" s="75" t="s">
        <v>375</v>
      </c>
      <c r="P315" s="75"/>
      <c r="Q315" s="105"/>
      <c r="R315" s="105"/>
      <c r="S315" s="96">
        <v>4</v>
      </c>
      <c r="T315" s="109" t="s">
        <v>826</v>
      </c>
      <c r="U315" s="100" t="s">
        <v>375</v>
      </c>
      <c r="V315" s="110" t="s">
        <v>375</v>
      </c>
      <c r="W315" s="110" t="s">
        <v>387</v>
      </c>
      <c r="X315" s="102" t="s">
        <v>375</v>
      </c>
      <c r="Y315" s="102"/>
      <c r="Z315" s="102"/>
      <c r="AA315" s="101"/>
      <c r="AB315" s="101"/>
      <c r="AC315" s="102" t="s">
        <v>375</v>
      </c>
      <c r="AD315" s="99" t="s">
        <v>382</v>
      </c>
      <c r="AE315" s="99"/>
      <c r="AF315" s="99"/>
      <c r="AG315" s="98"/>
      <c r="AH315" s="99"/>
      <c r="AI315" s="98"/>
      <c r="AJ315" s="103"/>
      <c r="AK315" s="102"/>
      <c r="AL315" s="101"/>
      <c r="AM315" s="101"/>
      <c r="AN315" s="102"/>
      <c r="AO315" s="102"/>
      <c r="AP315" s="102"/>
      <c r="AQ315" s="102"/>
      <c r="AR315" s="102"/>
      <c r="AS315" s="102"/>
      <c r="AT315" s="102"/>
      <c r="AU315" s="103"/>
      <c r="AV315" s="103"/>
    </row>
    <row r="316" spans="1:48" ht="16.3">
      <c r="A316" s="246" t="s">
        <v>1</v>
      </c>
      <c r="B316" s="538">
        <f>SUM(L316+M316+N316+O316+P316+U316+X316+Y316+Z316+AC316+AK316+AL316+AK316+AO316+AR316+AS316+AU316+AV316+AW316+AX316+AP316)+2</f>
        <v>3</v>
      </c>
      <c r="C316" s="215">
        <f>SUM(L316+M316+N316+O316+P316+U316+Y316+Z316+X316+AC316+AL316+AK316+AL316+AP316+AS316+AO316+AV316+AW316+AX316+AY316+AR316+AU316)+2</f>
        <v>3</v>
      </c>
      <c r="D316" s="133"/>
      <c r="E316" s="134"/>
      <c r="F316" s="135"/>
      <c r="G316" s="136"/>
      <c r="H316" s="683"/>
      <c r="I316" s="676"/>
      <c r="J316" s="96">
        <v>1</v>
      </c>
      <c r="K316" s="96">
        <v>1</v>
      </c>
      <c r="L316" s="104"/>
      <c r="M316" s="75">
        <v>1</v>
      </c>
      <c r="N316" s="75"/>
      <c r="O316" s="75"/>
      <c r="P316" s="75"/>
      <c r="Q316" s="105"/>
      <c r="R316" s="105"/>
      <c r="S316" s="96">
        <v>1</v>
      </c>
      <c r="T316" s="109">
        <v>1</v>
      </c>
      <c r="U316" s="100"/>
      <c r="V316" s="110"/>
      <c r="W316" s="110">
        <v>1</v>
      </c>
      <c r="X316" s="100"/>
      <c r="Y316" s="100"/>
      <c r="Z316" s="100"/>
      <c r="AA316" s="110"/>
      <c r="AB316" s="110"/>
      <c r="AC316" s="100"/>
      <c r="AD316" s="109">
        <v>1</v>
      </c>
      <c r="AE316" s="109"/>
      <c r="AF316" s="109"/>
      <c r="AG316" s="108"/>
      <c r="AH316" s="109"/>
      <c r="AI316" s="108"/>
      <c r="AJ316" s="111"/>
      <c r="AK316" s="100"/>
      <c r="AL316" s="110"/>
      <c r="AM316" s="110"/>
      <c r="AN316" s="100"/>
      <c r="AO316" s="100"/>
      <c r="AP316" s="100"/>
      <c r="AQ316" s="100"/>
      <c r="AR316" s="100"/>
      <c r="AS316" s="100"/>
      <c r="AT316" s="100"/>
      <c r="AU316" s="111"/>
      <c r="AV316" s="111"/>
    </row>
    <row r="317" spans="1:48" ht="16.3">
      <c r="A317" s="246" t="s">
        <v>2</v>
      </c>
      <c r="B317" s="538">
        <f>SUM(L317+M317+N317+O317+P317+U317+X317+Y317+Z317+AC317+AK317+AL317+AK317+AO317+AR317+AS317+AU317+AV317+AW317+AX317+AP317)+4</f>
        <v>10</v>
      </c>
      <c r="C317" s="215">
        <f>SUM(L317+M317+N317+O317+P317+U317+Y317+Z317+X317+AC317+AL317+AK317+AL317+AP317+AS317+AO317+AV317+AW317+AX317+AY317+AR317+AU317)+4</f>
        <v>10</v>
      </c>
      <c r="D317" s="133"/>
      <c r="E317" s="134"/>
      <c r="F317" s="135"/>
      <c r="G317" s="136"/>
      <c r="H317" s="683"/>
      <c r="I317" s="676"/>
      <c r="J317" s="96"/>
      <c r="K317" s="96"/>
      <c r="L317" s="104">
        <v>1</v>
      </c>
      <c r="M317" s="75"/>
      <c r="N317" s="75">
        <v>1</v>
      </c>
      <c r="O317" s="75">
        <v>1</v>
      </c>
      <c r="P317" s="75"/>
      <c r="Q317" s="105"/>
      <c r="R317" s="105"/>
      <c r="S317" s="96"/>
      <c r="T317" s="109"/>
      <c r="U317" s="100">
        <v>1</v>
      </c>
      <c r="V317" s="110">
        <v>1</v>
      </c>
      <c r="W317" s="110"/>
      <c r="X317" s="100">
        <v>1</v>
      </c>
      <c r="Y317" s="100"/>
      <c r="Z317" s="100"/>
      <c r="AA317" s="110"/>
      <c r="AB317" s="110"/>
      <c r="AC317" s="100">
        <v>1</v>
      </c>
      <c r="AD317" s="109"/>
      <c r="AE317" s="109"/>
      <c r="AF317" s="109"/>
      <c r="AG317" s="108"/>
      <c r="AH317" s="109"/>
      <c r="AI317" s="108"/>
      <c r="AJ317" s="111"/>
      <c r="AK317" s="100"/>
      <c r="AL317" s="110"/>
      <c r="AM317" s="110"/>
      <c r="AN317" s="100"/>
      <c r="AO317" s="100"/>
      <c r="AP317" s="100"/>
      <c r="AQ317" s="100"/>
      <c r="AR317" s="100"/>
      <c r="AS317" s="100"/>
      <c r="AT317" s="100"/>
      <c r="AU317" s="111"/>
      <c r="AV317" s="111"/>
    </row>
    <row r="318" spans="1:48" ht="16.3">
      <c r="A318" s="83" t="s">
        <v>363</v>
      </c>
      <c r="B318" s="539">
        <f t="shared" ref="B318" si="52">SUM(B316+B317)</f>
        <v>13</v>
      </c>
      <c r="C318" s="214">
        <f t="shared" ref="C318" si="53">SUM(C316+C317)</f>
        <v>13</v>
      </c>
      <c r="D318" s="133"/>
      <c r="E318" s="134"/>
      <c r="F318" s="135"/>
      <c r="G318" s="136"/>
      <c r="H318" s="683"/>
      <c r="I318" s="676"/>
      <c r="J318" s="96"/>
      <c r="K318" s="96"/>
      <c r="L318" s="104"/>
      <c r="M318" s="75"/>
      <c r="N318" s="75"/>
      <c r="O318" s="75"/>
      <c r="P318" s="75"/>
      <c r="Q318" s="105"/>
      <c r="R318" s="105"/>
      <c r="S318" s="96"/>
      <c r="T318" s="109"/>
      <c r="U318" s="100"/>
      <c r="V318" s="110"/>
      <c r="W318" s="110"/>
      <c r="X318" s="100"/>
      <c r="Y318" s="100"/>
      <c r="Z318" s="100"/>
      <c r="AA318" s="110"/>
      <c r="AB318" s="110"/>
      <c r="AC318" s="100"/>
      <c r="AD318" s="109"/>
      <c r="AE318" s="109"/>
      <c r="AF318" s="109"/>
      <c r="AG318" s="108"/>
      <c r="AH318" s="109"/>
      <c r="AI318" s="108"/>
      <c r="AJ318" s="111"/>
      <c r="AK318" s="100"/>
      <c r="AL318" s="110"/>
      <c r="AM318" s="110"/>
      <c r="AN318" s="100"/>
      <c r="AO318" s="100"/>
      <c r="AP318" s="100"/>
      <c r="AQ318" s="100"/>
      <c r="AR318" s="100"/>
      <c r="AS318" s="100"/>
      <c r="AT318" s="100"/>
      <c r="AU318" s="111"/>
      <c r="AV318" s="111"/>
    </row>
    <row r="319" spans="1:48" ht="16.3">
      <c r="A319" s="246" t="s">
        <v>366</v>
      </c>
      <c r="B319" s="538">
        <f>SUM(L319+M319+N319+O319+P319+U319+X319+Y319+Z319+AC319+AK319+AL319+AK319+AO319+AR319+AS319+AU319+AV319+AW319+AX319+AP319)</f>
        <v>0</v>
      </c>
      <c r="C319" s="215">
        <f>SUM(L319+M319+N319+O319+P319+U319+Y319+Z319+X319+AC319+AL319+AK319+AL319+AP319+AS319+AO319+AV319+AW319+AX319+AY319+AR319+AU319)</f>
        <v>0</v>
      </c>
      <c r="D319" s="133"/>
      <c r="E319" s="134"/>
      <c r="F319" s="135"/>
      <c r="G319" s="136"/>
      <c r="H319" s="683"/>
      <c r="I319" s="676"/>
      <c r="J319" s="96"/>
      <c r="K319" s="96"/>
      <c r="L319" s="104"/>
      <c r="M319" s="75"/>
      <c r="N319" s="75"/>
      <c r="O319" s="75"/>
      <c r="P319" s="75"/>
      <c r="Q319" s="105"/>
      <c r="R319" s="105"/>
      <c r="S319" s="96"/>
      <c r="T319" s="109">
        <v>1</v>
      </c>
      <c r="U319" s="100"/>
      <c r="V319" s="110"/>
      <c r="W319" s="110"/>
      <c r="X319" s="100"/>
      <c r="Y319" s="100"/>
      <c r="Z319" s="100"/>
      <c r="AA319" s="110"/>
      <c r="AB319" s="110"/>
      <c r="AC319" s="100"/>
      <c r="AD319" s="109"/>
      <c r="AE319" s="109"/>
      <c r="AF319" s="109"/>
      <c r="AG319" s="108"/>
      <c r="AH319" s="109"/>
      <c r="AI319" s="108"/>
      <c r="AJ319" s="111"/>
      <c r="AK319" s="100"/>
      <c r="AL319" s="110"/>
      <c r="AM319" s="110"/>
      <c r="AN319" s="100"/>
      <c r="AO319" s="100"/>
      <c r="AP319" s="100"/>
      <c r="AQ319" s="100"/>
      <c r="AR319" s="100"/>
      <c r="AS319" s="100"/>
      <c r="AT319" s="100"/>
      <c r="AU319" s="111"/>
      <c r="AV319" s="111"/>
    </row>
    <row r="320" spans="1:48" ht="16.3">
      <c r="A320" s="246" t="s">
        <v>364</v>
      </c>
      <c r="B320" s="538">
        <f>SUM(L320+M320+N320+O320+P320+U320+X320+Y320+Z320+AC320+AK320+AL320+AK320+AO320+AR320+AS320+AU320+AV320+AW320+AX320+AP320)+1</f>
        <v>1</v>
      </c>
      <c r="C320" s="215">
        <f>SUM(L320+M320+N320+O320+P320+U320+Y320+Z320+X320+AC320+AL320+AK320+AL320+AP320+AS320+AO320+AV320+AW320+AX320+AY320+AR320+AU320)+1</f>
        <v>1</v>
      </c>
      <c r="D320" s="133"/>
      <c r="E320" s="134"/>
      <c r="F320" s="135"/>
      <c r="G320" s="136"/>
      <c r="H320" s="683"/>
      <c r="I320" s="676"/>
      <c r="J320" s="96"/>
      <c r="K320" s="96"/>
      <c r="L320" s="104"/>
      <c r="M320" s="75"/>
      <c r="N320" s="75"/>
      <c r="O320" s="75"/>
      <c r="P320" s="75"/>
      <c r="Q320" s="105"/>
      <c r="R320" s="105"/>
      <c r="S320" s="96"/>
      <c r="T320" s="109"/>
      <c r="U320" s="100"/>
      <c r="V320" s="110"/>
      <c r="W320" s="110"/>
      <c r="X320" s="100"/>
      <c r="Y320" s="100"/>
      <c r="Z320" s="100"/>
      <c r="AA320" s="110"/>
      <c r="AB320" s="110"/>
      <c r="AC320" s="100"/>
      <c r="AD320" s="109"/>
      <c r="AE320" s="109"/>
      <c r="AF320" s="109"/>
      <c r="AG320" s="108"/>
      <c r="AH320" s="109"/>
      <c r="AI320" s="108"/>
      <c r="AJ320" s="111"/>
      <c r="AK320" s="100"/>
      <c r="AL320" s="110"/>
      <c r="AM320" s="110"/>
      <c r="AN320" s="100"/>
      <c r="AO320" s="100"/>
      <c r="AP320" s="100"/>
      <c r="AQ320" s="100"/>
      <c r="AR320" s="100"/>
      <c r="AS320" s="100"/>
      <c r="AT320" s="100"/>
      <c r="AU320" s="111"/>
      <c r="AV320" s="111"/>
    </row>
    <row r="321" spans="1:48" ht="16.3">
      <c r="A321" s="83" t="s">
        <v>3</v>
      </c>
      <c r="B321" s="539">
        <f>SUM(L321+M321+N321+O321+P321+U321+X321+Y321+Z321+AC321+AK321+AL321+AK321+AO321+AR321+AS321+AU321+AV321+AW321+AX321+AP321)</f>
        <v>0</v>
      </c>
      <c r="C321" s="214">
        <f>SUM(L321+M321+N321+O321+P321+U321+Y321+Z321+X321+AC321+AL321+AK321+AL321+AP321+AS321+AO321+AV321+AW321+AX321+AY321+AR321+AU321)</f>
        <v>0</v>
      </c>
      <c r="D321" s="133"/>
      <c r="E321" s="134"/>
      <c r="F321" s="135"/>
      <c r="G321" s="136"/>
      <c r="H321" s="683"/>
      <c r="I321" s="676"/>
      <c r="J321" s="96"/>
      <c r="K321" s="96"/>
      <c r="L321" s="104"/>
      <c r="M321" s="75"/>
      <c r="N321" s="75"/>
      <c r="O321" s="75"/>
      <c r="P321" s="75"/>
      <c r="Q321" s="105"/>
      <c r="R321" s="105"/>
      <c r="S321" s="96"/>
      <c r="T321" s="109"/>
      <c r="U321" s="100"/>
      <c r="V321" s="110"/>
      <c r="W321" s="110"/>
      <c r="X321" s="100"/>
      <c r="Y321" s="100"/>
      <c r="Z321" s="100"/>
      <c r="AA321" s="110"/>
      <c r="AB321" s="110"/>
      <c r="AC321" s="100"/>
      <c r="AD321" s="109"/>
      <c r="AE321" s="109"/>
      <c r="AF321" s="109"/>
      <c r="AG321" s="108"/>
      <c r="AH321" s="109"/>
      <c r="AI321" s="108"/>
      <c r="AJ321" s="111"/>
      <c r="AK321" s="100"/>
      <c r="AL321" s="110"/>
      <c r="AM321" s="110"/>
      <c r="AN321" s="100"/>
      <c r="AO321" s="100"/>
      <c r="AP321" s="100"/>
      <c r="AQ321" s="100"/>
      <c r="AR321" s="100"/>
      <c r="AS321" s="100"/>
      <c r="AT321" s="100"/>
      <c r="AU321" s="111"/>
      <c r="AV321" s="111"/>
    </row>
    <row r="322" spans="1:48" ht="17" thickBot="1">
      <c r="A322" s="85" t="s">
        <v>4</v>
      </c>
      <c r="B322" s="541">
        <f>SUM(L322+M322+N322+O322+P322+U322+X322+Y322+Z322+AC322+AK322+AL322+AK322+AO322+AR322+AS322+AU322+AV322+AW322+AX322+AP322)</f>
        <v>0</v>
      </c>
      <c r="C322" s="217">
        <f>SUM(L322+M322+N322+O322+P322+U322+Y322+Z322+X322+AC322+AL322+AK322+AL322+AP322+AS322+AO322+AV322+AW322+AX322+AY322+AR322+AU322)</f>
        <v>0</v>
      </c>
      <c r="D322" s="144"/>
      <c r="E322" s="145"/>
      <c r="F322" s="146"/>
      <c r="G322" s="147"/>
      <c r="H322" s="684"/>
      <c r="I322" s="677"/>
      <c r="J322" s="114"/>
      <c r="K322" s="114"/>
      <c r="L322" s="113"/>
      <c r="M322" s="112"/>
      <c r="N322" s="112"/>
      <c r="O322" s="112"/>
      <c r="P322" s="112"/>
      <c r="Q322" s="127"/>
      <c r="R322" s="127"/>
      <c r="S322" s="114"/>
      <c r="T322" s="118"/>
      <c r="U322" s="116"/>
      <c r="V322" s="119"/>
      <c r="W322" s="119"/>
      <c r="X322" s="100"/>
      <c r="Y322" s="100"/>
      <c r="Z322" s="100"/>
      <c r="AA322" s="110"/>
      <c r="AB322" s="110"/>
      <c r="AC322" s="100"/>
      <c r="AD322" s="109"/>
      <c r="AE322" s="109"/>
      <c r="AF322" s="109"/>
      <c r="AG322" s="108"/>
      <c r="AH322" s="109"/>
      <c r="AI322" s="108"/>
      <c r="AJ322" s="111"/>
      <c r="AK322" s="100"/>
      <c r="AL322" s="110"/>
      <c r="AM322" s="110"/>
      <c r="AN322" s="100"/>
      <c r="AO322" s="100"/>
      <c r="AP322" s="100"/>
      <c r="AQ322" s="100"/>
      <c r="AR322" s="100"/>
      <c r="AS322" s="100"/>
      <c r="AT322" s="100"/>
      <c r="AU322" s="111"/>
      <c r="AV322" s="111"/>
    </row>
    <row r="323" spans="1:48" ht="21.1">
      <c r="A323" s="82" t="s">
        <v>428</v>
      </c>
      <c r="B323" s="539"/>
      <c r="C323" s="214"/>
      <c r="D323" s="133"/>
      <c r="E323" s="134"/>
      <c r="F323" s="135"/>
      <c r="G323" s="136"/>
      <c r="H323" s="683"/>
      <c r="I323" s="676"/>
      <c r="J323" s="96" t="s">
        <v>382</v>
      </c>
      <c r="K323" s="96" t="s">
        <v>387</v>
      </c>
      <c r="L323" s="104" t="s">
        <v>375</v>
      </c>
      <c r="M323" s="75" t="s">
        <v>375</v>
      </c>
      <c r="N323" s="75" t="s">
        <v>375</v>
      </c>
      <c r="O323" s="75"/>
      <c r="P323" s="75"/>
      <c r="Q323" s="105"/>
      <c r="R323" s="105"/>
      <c r="S323" s="96"/>
      <c r="T323" s="109">
        <v>5</v>
      </c>
      <c r="U323" s="100"/>
      <c r="V323" s="110"/>
      <c r="W323" s="110" t="s">
        <v>375</v>
      </c>
      <c r="X323" s="102"/>
      <c r="Y323" s="102"/>
      <c r="Z323" s="102"/>
      <c r="AA323" s="101"/>
      <c r="AB323" s="101"/>
      <c r="AC323" s="102"/>
      <c r="AD323" s="99" t="s">
        <v>983</v>
      </c>
      <c r="AE323" s="99"/>
      <c r="AF323" s="99"/>
      <c r="AG323" s="98"/>
      <c r="AH323" s="99"/>
      <c r="AI323" s="98"/>
      <c r="AJ323" s="103"/>
      <c r="AK323" s="102"/>
      <c r="AL323" s="101"/>
      <c r="AM323" s="101"/>
      <c r="AN323" s="102"/>
      <c r="AO323" s="102"/>
      <c r="AP323" s="102"/>
      <c r="AQ323" s="102"/>
      <c r="AR323" s="102"/>
      <c r="AS323" s="102"/>
      <c r="AT323" s="102"/>
      <c r="AU323" s="103"/>
      <c r="AV323" s="103"/>
    </row>
    <row r="324" spans="1:48" ht="16.3">
      <c r="A324" s="246" t="s">
        <v>1</v>
      </c>
      <c r="B324" s="538">
        <f>SUM(L324+M324+N324+O324+P324+U324+X324+Y324+Z324+AC324+AK324+AL324+AK324+AO324+AR324+AS324+AU324+AV324+AW324+AX324+AP324)</f>
        <v>0</v>
      </c>
      <c r="C324" s="215">
        <f>SUM(L324+M324+N324+O324+P324+U324+Y324+Z324+X324+AC324+AL324+AK324+AL324+AP324+AS324+AO324+AV324+AW324+AX324+AY324+AR324+AU324)</f>
        <v>0</v>
      </c>
      <c r="D324" s="133"/>
      <c r="E324" s="134"/>
      <c r="F324" s="135"/>
      <c r="G324" s="136"/>
      <c r="H324" s="683"/>
      <c r="I324" s="676"/>
      <c r="J324" s="96">
        <v>1</v>
      </c>
      <c r="K324" s="96">
        <v>1</v>
      </c>
      <c r="L324" s="104"/>
      <c r="M324" s="75"/>
      <c r="N324" s="75"/>
      <c r="O324" s="75"/>
      <c r="P324" s="75"/>
      <c r="Q324" s="105"/>
      <c r="R324" s="105"/>
      <c r="S324" s="96"/>
      <c r="T324" s="109">
        <v>1</v>
      </c>
      <c r="U324" s="100"/>
      <c r="V324" s="110"/>
      <c r="W324" s="110"/>
      <c r="X324" s="100"/>
      <c r="Y324" s="100"/>
      <c r="Z324" s="100"/>
      <c r="AA324" s="110"/>
      <c r="AB324" s="110"/>
      <c r="AC324" s="100"/>
      <c r="AD324" s="109">
        <v>1</v>
      </c>
      <c r="AE324" s="109"/>
      <c r="AF324" s="109"/>
      <c r="AG324" s="108"/>
      <c r="AH324" s="109"/>
      <c r="AI324" s="108"/>
      <c r="AJ324" s="111"/>
      <c r="AK324" s="100"/>
      <c r="AL324" s="110"/>
      <c r="AM324" s="110"/>
      <c r="AN324" s="100"/>
      <c r="AO324" s="100"/>
      <c r="AP324" s="100"/>
      <c r="AQ324" s="100"/>
      <c r="AR324" s="100"/>
      <c r="AS324" s="100"/>
      <c r="AT324" s="100"/>
      <c r="AU324" s="111"/>
      <c r="AV324" s="111"/>
    </row>
    <row r="325" spans="1:48" ht="16.3">
      <c r="A325" s="246" t="s">
        <v>2</v>
      </c>
      <c r="B325" s="538">
        <f>SUM(L325+M325+N325+O325+P325+U325+X325+Y325+Z325+AC325+AK325+AL325+AK325+AO325+AR325+AS325+AU325+AV325+AW325+AX325+AP325)+2</f>
        <v>5</v>
      </c>
      <c r="C325" s="215">
        <f>SUM(L325+M325+N325+O325+P325+U325+Y325+Z325+X325+AC325+AL325+AK325+AL325+AP325+AS325+AO325+AV325+AW325+AX325+AY325+AR325+AU325)+2</f>
        <v>5</v>
      </c>
      <c r="D325" s="133"/>
      <c r="E325" s="134"/>
      <c r="F325" s="135"/>
      <c r="G325" s="136"/>
      <c r="H325" s="683"/>
      <c r="I325" s="676"/>
      <c r="J325" s="96"/>
      <c r="K325" s="96"/>
      <c r="L325" s="104">
        <v>1</v>
      </c>
      <c r="M325" s="75">
        <v>1</v>
      </c>
      <c r="N325" s="75">
        <v>1</v>
      </c>
      <c r="O325" s="75"/>
      <c r="P325" s="75"/>
      <c r="Q325" s="105"/>
      <c r="R325" s="105"/>
      <c r="S325" s="96"/>
      <c r="T325" s="109"/>
      <c r="U325" s="100"/>
      <c r="V325" s="110"/>
      <c r="W325" s="110">
        <v>1</v>
      </c>
      <c r="X325" s="100"/>
      <c r="Y325" s="100"/>
      <c r="Z325" s="100"/>
      <c r="AA325" s="110"/>
      <c r="AB325" s="110"/>
      <c r="AC325" s="100"/>
      <c r="AD325" s="109"/>
      <c r="AE325" s="109"/>
      <c r="AF325" s="109"/>
      <c r="AG325" s="108"/>
      <c r="AH325" s="109"/>
      <c r="AI325" s="108"/>
      <c r="AJ325" s="111"/>
      <c r="AK325" s="100"/>
      <c r="AL325" s="110"/>
      <c r="AM325" s="110"/>
      <c r="AN325" s="100"/>
      <c r="AO325" s="100"/>
      <c r="AP325" s="100"/>
      <c r="AQ325" s="100"/>
      <c r="AR325" s="100"/>
      <c r="AS325" s="100"/>
      <c r="AT325" s="100"/>
      <c r="AU325" s="111"/>
      <c r="AV325" s="111"/>
    </row>
    <row r="326" spans="1:48" ht="16.3">
      <c r="A326" s="83" t="s">
        <v>363</v>
      </c>
      <c r="B326" s="539">
        <f t="shared" ref="B326:C326" si="54">SUM(B324+B325)</f>
        <v>5</v>
      </c>
      <c r="C326" s="214">
        <f t="shared" si="54"/>
        <v>5</v>
      </c>
      <c r="D326" s="133"/>
      <c r="E326" s="134"/>
      <c r="F326" s="135"/>
      <c r="G326" s="136"/>
      <c r="H326" s="683"/>
      <c r="I326" s="676"/>
      <c r="J326" s="96"/>
      <c r="K326" s="96"/>
      <c r="L326" s="104"/>
      <c r="M326" s="75"/>
      <c r="N326" s="75"/>
      <c r="O326" s="75"/>
      <c r="P326" s="75"/>
      <c r="Q326" s="105"/>
      <c r="R326" s="105"/>
      <c r="S326" s="96"/>
      <c r="T326" s="109"/>
      <c r="U326" s="100"/>
      <c r="V326" s="110"/>
      <c r="W326" s="110"/>
      <c r="X326" s="100"/>
      <c r="Y326" s="100"/>
      <c r="Z326" s="100"/>
      <c r="AA326" s="110"/>
      <c r="AB326" s="110"/>
      <c r="AC326" s="100"/>
      <c r="AD326" s="109"/>
      <c r="AE326" s="109"/>
      <c r="AF326" s="109"/>
      <c r="AG326" s="108"/>
      <c r="AH326" s="109"/>
      <c r="AI326" s="108"/>
      <c r="AJ326" s="111"/>
      <c r="AK326" s="100"/>
      <c r="AL326" s="110"/>
      <c r="AM326" s="110"/>
      <c r="AN326" s="100"/>
      <c r="AO326" s="100"/>
      <c r="AP326" s="100"/>
      <c r="AQ326" s="100"/>
      <c r="AR326" s="100"/>
      <c r="AS326" s="100"/>
      <c r="AT326" s="100"/>
      <c r="AU326" s="111"/>
      <c r="AV326" s="111"/>
    </row>
    <row r="327" spans="1:48" ht="16.3">
      <c r="A327" s="246" t="s">
        <v>362</v>
      </c>
      <c r="B327" s="538">
        <f>SUM(L327+M327+N327+O327+P327+U327+X327+Y327+Z327+AC327+AK327+AL327+AK327+AO327+AR327+AS327+AU327+AV327+AW327+AX327+AP327)</f>
        <v>0</v>
      </c>
      <c r="C327" s="215">
        <f>SUM(L327+M327+N327+O327+P327+U327+Y327+Z327+X327+AC327+AL327+AK327+AL327+AP327+AS327+AO327+AV327+AW327+AX327+AY327+AR327+AU327)</f>
        <v>0</v>
      </c>
      <c r="D327" s="133"/>
      <c r="E327" s="134"/>
      <c r="F327" s="135"/>
      <c r="G327" s="136"/>
      <c r="H327" s="683"/>
      <c r="I327" s="676"/>
      <c r="J327" s="96"/>
      <c r="K327" s="96"/>
      <c r="L327" s="104"/>
      <c r="M327" s="75"/>
      <c r="N327" s="75"/>
      <c r="O327" s="75"/>
      <c r="P327" s="75"/>
      <c r="Q327" s="105"/>
      <c r="R327" s="105"/>
      <c r="S327" s="96"/>
      <c r="T327" s="109"/>
      <c r="U327" s="100"/>
      <c r="V327" s="110"/>
      <c r="W327" s="110"/>
      <c r="X327" s="100"/>
      <c r="Y327" s="100"/>
      <c r="Z327" s="100"/>
      <c r="AA327" s="110"/>
      <c r="AB327" s="110"/>
      <c r="AC327" s="100"/>
      <c r="AD327" s="109">
        <v>1</v>
      </c>
      <c r="AE327" s="109"/>
      <c r="AF327" s="109"/>
      <c r="AG327" s="108"/>
      <c r="AH327" s="109"/>
      <c r="AI327" s="108"/>
      <c r="AJ327" s="111"/>
      <c r="AK327" s="100"/>
      <c r="AL327" s="110"/>
      <c r="AM327" s="110"/>
      <c r="AN327" s="100"/>
      <c r="AO327" s="100"/>
      <c r="AP327" s="100"/>
      <c r="AQ327" s="100"/>
      <c r="AR327" s="100"/>
      <c r="AS327" s="100"/>
      <c r="AT327" s="100"/>
      <c r="AU327" s="111"/>
      <c r="AV327" s="111"/>
    </row>
    <row r="328" spans="1:48" ht="16.3">
      <c r="A328" s="83" t="s">
        <v>3</v>
      </c>
      <c r="B328" s="539">
        <f>SUM(L328+M328+N328+O328+P328+U328+X328+Y328+Z328+AC328+AK328+AL328+AK328+AO328+AR328+AS328+AU328+AV328+AW328+AX328+AP328)</f>
        <v>0</v>
      </c>
      <c r="C328" s="214">
        <f>SUM(L328+M328+N328+O328+P328+U328+Y328+Z328+X328+AC328+AL328+AK328+AL328+AP328+AS328+AO328+AV328+AW328+AX328+AY328+AR328+AU328)</f>
        <v>0</v>
      </c>
      <c r="D328" s="133"/>
      <c r="E328" s="134"/>
      <c r="F328" s="135"/>
      <c r="G328" s="136"/>
      <c r="H328" s="683"/>
      <c r="I328" s="676"/>
      <c r="J328" s="96"/>
      <c r="K328" s="96"/>
      <c r="L328" s="104"/>
      <c r="M328" s="75"/>
      <c r="N328" s="75"/>
      <c r="O328" s="75"/>
      <c r="P328" s="75"/>
      <c r="Q328" s="105"/>
      <c r="R328" s="105"/>
      <c r="S328" s="96"/>
      <c r="T328" s="109"/>
      <c r="U328" s="100"/>
      <c r="V328" s="110"/>
      <c r="W328" s="110"/>
      <c r="X328" s="100"/>
      <c r="Y328" s="100"/>
      <c r="Z328" s="100"/>
      <c r="AA328" s="110"/>
      <c r="AB328" s="110"/>
      <c r="AC328" s="100"/>
      <c r="AD328" s="109"/>
      <c r="AE328" s="109"/>
      <c r="AF328" s="109"/>
      <c r="AG328" s="108"/>
      <c r="AH328" s="109"/>
      <c r="AI328" s="108"/>
      <c r="AJ328" s="111"/>
      <c r="AK328" s="100"/>
      <c r="AL328" s="110"/>
      <c r="AM328" s="110"/>
      <c r="AN328" s="100"/>
      <c r="AO328" s="100"/>
      <c r="AP328" s="100"/>
      <c r="AQ328" s="100"/>
      <c r="AR328" s="100"/>
      <c r="AS328" s="100"/>
      <c r="AT328" s="100"/>
      <c r="AU328" s="111"/>
      <c r="AV328" s="111"/>
    </row>
    <row r="329" spans="1:48" ht="17" thickBot="1">
      <c r="A329" s="85" t="s">
        <v>4</v>
      </c>
      <c r="B329" s="541">
        <f>SUM(L329+M329+N329+O329+P329+U329+X329+Y329+Z329+AC329+AK329+AL329+AK329+AO329+AR329+AS329+AU329+AV329+AW329+AX329+AP329)</f>
        <v>0</v>
      </c>
      <c r="C329" s="217">
        <f>SUM(L329+M329+N329+O329+P329+U329+Y329+Z329+X329+AC329+AL329+AK329+AL329+AP329+AS329+AO329+AV329+AW329+AX329+AY329+AR329+AU329)</f>
        <v>0</v>
      </c>
      <c r="D329" s="144"/>
      <c r="E329" s="145"/>
      <c r="F329" s="146"/>
      <c r="G329" s="147"/>
      <c r="H329" s="684"/>
      <c r="I329" s="677"/>
      <c r="J329" s="114"/>
      <c r="K329" s="114"/>
      <c r="L329" s="113"/>
      <c r="M329" s="112"/>
      <c r="N329" s="112"/>
      <c r="O329" s="112"/>
      <c r="P329" s="112"/>
      <c r="Q329" s="127"/>
      <c r="R329" s="127"/>
      <c r="S329" s="114"/>
      <c r="T329" s="118"/>
      <c r="U329" s="116"/>
      <c r="V329" s="119"/>
      <c r="W329" s="120"/>
      <c r="X329" s="116"/>
      <c r="Y329" s="116"/>
      <c r="Z329" s="116"/>
      <c r="AA329" s="120"/>
      <c r="AB329" s="120"/>
      <c r="AC329" s="116"/>
      <c r="AD329" s="118"/>
      <c r="AE329" s="118"/>
      <c r="AF329" s="118"/>
      <c r="AG329" s="117"/>
      <c r="AH329" s="118"/>
      <c r="AI329" s="117"/>
      <c r="AJ329" s="121"/>
      <c r="AK329" s="116"/>
      <c r="AL329" s="120"/>
      <c r="AM329" s="120"/>
      <c r="AN329" s="116"/>
      <c r="AO329" s="116"/>
      <c r="AP329" s="116"/>
      <c r="AQ329" s="116"/>
      <c r="AR329" s="116"/>
      <c r="AS329" s="116"/>
      <c r="AT329" s="116"/>
      <c r="AU329" s="121"/>
      <c r="AV329" s="121"/>
    </row>
    <row r="330" spans="1:48" ht="21.1">
      <c r="A330" s="82" t="s">
        <v>459</v>
      </c>
      <c r="B330" s="539"/>
      <c r="C330" s="214"/>
      <c r="D330" s="133"/>
      <c r="E330" s="134"/>
      <c r="F330" s="135"/>
      <c r="G330" s="136"/>
      <c r="H330" s="683"/>
      <c r="I330" s="676"/>
      <c r="J330" s="96" t="s">
        <v>375</v>
      </c>
      <c r="K330" s="96" t="s">
        <v>375</v>
      </c>
      <c r="L330" s="104"/>
      <c r="M330" s="75"/>
      <c r="N330" s="75"/>
      <c r="O330" s="75"/>
      <c r="P330" s="75"/>
      <c r="Q330" s="105"/>
      <c r="R330" s="105"/>
      <c r="S330" s="96" t="s">
        <v>375</v>
      </c>
      <c r="T330" s="109" t="s">
        <v>375</v>
      </c>
      <c r="U330" s="100"/>
      <c r="V330" s="110"/>
      <c r="W330" s="110"/>
      <c r="X330" s="100"/>
      <c r="Y330" s="100"/>
      <c r="Z330" s="100"/>
      <c r="AA330" s="110"/>
      <c r="AB330" s="110"/>
      <c r="AC330" s="100"/>
      <c r="AD330" s="109"/>
      <c r="AE330" s="109"/>
      <c r="AF330" s="109"/>
      <c r="AG330" s="108"/>
      <c r="AH330" s="109"/>
      <c r="AI330" s="108"/>
      <c r="AJ330" s="111"/>
      <c r="AK330" s="100"/>
      <c r="AL330" s="110"/>
      <c r="AM330" s="110"/>
      <c r="AN330" s="100"/>
      <c r="AO330" s="100"/>
      <c r="AP330" s="100"/>
      <c r="AQ330" s="100"/>
      <c r="AR330" s="100"/>
      <c r="AS330" s="100"/>
      <c r="AT330" s="100"/>
      <c r="AU330" s="111"/>
      <c r="AV330" s="111"/>
    </row>
    <row r="331" spans="1:48" ht="16.3">
      <c r="A331" s="246" t="s">
        <v>1</v>
      </c>
      <c r="B331" s="538">
        <f>SUM(L331+M331+N331+O331+P331+U331+X331+Y331+Z331+AC331+AK331+AL331+AK331+AO331+AR331+AS331+AU331+AV331+AW331+AX331+AP331)</f>
        <v>0</v>
      </c>
      <c r="C331" s="215">
        <f>SUM(L331+M331+N331+O331+P331+U331+Y331+Z331+X331+AC331+AL331+AK331+AL331+AP331+AS331+AO331+AV331+AW331+AX331+AY331+AR331+AU331)</f>
        <v>0</v>
      </c>
      <c r="D331" s="133"/>
      <c r="E331" s="134"/>
      <c r="F331" s="135"/>
      <c r="G331" s="136"/>
      <c r="H331" s="683"/>
      <c r="I331" s="676"/>
      <c r="J331" s="96"/>
      <c r="K331" s="96"/>
      <c r="L331" s="104"/>
      <c r="M331" s="75"/>
      <c r="N331" s="75"/>
      <c r="O331" s="75"/>
      <c r="P331" s="75"/>
      <c r="Q331" s="105"/>
      <c r="R331" s="105"/>
      <c r="S331" s="96"/>
      <c r="T331" s="109"/>
      <c r="U331" s="100"/>
      <c r="V331" s="110"/>
      <c r="W331" s="110"/>
      <c r="X331" s="100"/>
      <c r="Y331" s="100"/>
      <c r="Z331" s="100"/>
      <c r="AA331" s="110"/>
      <c r="AB331" s="110"/>
      <c r="AC331" s="100"/>
      <c r="AD331" s="109"/>
      <c r="AE331" s="109"/>
      <c r="AF331" s="109"/>
      <c r="AG331" s="108"/>
      <c r="AH331" s="109"/>
      <c r="AI331" s="108"/>
      <c r="AJ331" s="111"/>
      <c r="AK331" s="100"/>
      <c r="AL331" s="110"/>
      <c r="AM331" s="110"/>
      <c r="AN331" s="100"/>
      <c r="AO331" s="100"/>
      <c r="AP331" s="100"/>
      <c r="AQ331" s="100"/>
      <c r="AR331" s="100"/>
      <c r="AS331" s="100"/>
      <c r="AT331" s="100"/>
      <c r="AU331" s="111"/>
      <c r="AV331" s="111"/>
    </row>
    <row r="332" spans="1:48" ht="16.3">
      <c r="A332" s="246" t="s">
        <v>2</v>
      </c>
      <c r="B332" s="538">
        <f>SUM(L332+M332+N332+O332+P332+U332+X332+Y332+Z332+AC332+AK332+AL332+AK332+AO332+AR332+AS332+AU332+AV332+AW332+AX332+AP332)</f>
        <v>0</v>
      </c>
      <c r="C332" s="215">
        <f>SUM(L332+M332+N332+O332+P332+U332+Y332+Z332+X332+AC332+AL332+AK332+AL332+AP332+AS332+AO332+AV332+AW332+AX332+AY332+AR332+AU332)</f>
        <v>0</v>
      </c>
      <c r="D332" s="133"/>
      <c r="E332" s="134"/>
      <c r="F332" s="135"/>
      <c r="G332" s="136"/>
      <c r="H332" s="683"/>
      <c r="I332" s="676"/>
      <c r="J332" s="96">
        <v>1</v>
      </c>
      <c r="K332" s="96">
        <v>1</v>
      </c>
      <c r="L332" s="104"/>
      <c r="M332" s="75"/>
      <c r="N332" s="75"/>
      <c r="O332" s="75"/>
      <c r="P332" s="75"/>
      <c r="Q332" s="105"/>
      <c r="R332" s="105"/>
      <c r="S332" s="96">
        <v>1</v>
      </c>
      <c r="T332" s="109">
        <v>1</v>
      </c>
      <c r="U332" s="100"/>
      <c r="V332" s="110"/>
      <c r="W332" s="110"/>
      <c r="X332" s="100"/>
      <c r="Y332" s="100"/>
      <c r="Z332" s="100"/>
      <c r="AA332" s="110"/>
      <c r="AB332" s="110"/>
      <c r="AC332" s="100"/>
      <c r="AD332" s="109"/>
      <c r="AE332" s="109"/>
      <c r="AF332" s="109"/>
      <c r="AG332" s="108"/>
      <c r="AH332" s="109"/>
      <c r="AI332" s="108"/>
      <c r="AJ332" s="111"/>
      <c r="AK332" s="100"/>
      <c r="AL332" s="110"/>
      <c r="AM332" s="110"/>
      <c r="AN332" s="100"/>
      <c r="AO332" s="100"/>
      <c r="AP332" s="100"/>
      <c r="AQ332" s="100"/>
      <c r="AR332" s="100"/>
      <c r="AS332" s="100"/>
      <c r="AT332" s="100"/>
      <c r="AU332" s="111"/>
      <c r="AV332" s="111"/>
    </row>
    <row r="333" spans="1:48" ht="16.3">
      <c r="A333" s="83" t="s">
        <v>363</v>
      </c>
      <c r="B333" s="539">
        <f t="shared" ref="B333:C333" si="55">SUM(B331+B332)</f>
        <v>0</v>
      </c>
      <c r="C333" s="214">
        <f t="shared" si="55"/>
        <v>0</v>
      </c>
      <c r="D333" s="133"/>
      <c r="E333" s="134"/>
      <c r="F333" s="135"/>
      <c r="G333" s="136"/>
      <c r="H333" s="683"/>
      <c r="I333" s="676"/>
      <c r="J333" s="96"/>
      <c r="K333" s="96"/>
      <c r="L333" s="104"/>
      <c r="M333" s="75"/>
      <c r="N333" s="75"/>
      <c r="O333" s="75"/>
      <c r="P333" s="75"/>
      <c r="Q333" s="105"/>
      <c r="R333" s="105"/>
      <c r="S333" s="96"/>
      <c r="T333" s="109"/>
      <c r="U333" s="100"/>
      <c r="V333" s="110"/>
      <c r="W333" s="110"/>
      <c r="X333" s="100"/>
      <c r="Y333" s="100"/>
      <c r="Z333" s="100"/>
      <c r="AA333" s="110"/>
      <c r="AB333" s="110"/>
      <c r="AC333" s="100"/>
      <c r="AD333" s="109"/>
      <c r="AE333" s="109"/>
      <c r="AF333" s="109"/>
      <c r="AG333" s="108"/>
      <c r="AH333" s="109"/>
      <c r="AI333" s="108"/>
      <c r="AJ333" s="111"/>
      <c r="AK333" s="100"/>
      <c r="AL333" s="110"/>
      <c r="AM333" s="110"/>
      <c r="AN333" s="100"/>
      <c r="AO333" s="100"/>
      <c r="AP333" s="100"/>
      <c r="AQ333" s="100"/>
      <c r="AR333" s="100"/>
      <c r="AS333" s="100"/>
      <c r="AT333" s="100"/>
      <c r="AU333" s="111"/>
      <c r="AV333" s="111"/>
    </row>
    <row r="334" spans="1:48" ht="16.3">
      <c r="A334" s="83" t="s">
        <v>3</v>
      </c>
      <c r="B334" s="539">
        <f>SUM(L334+M334+N334+O334+P334+U334+X334+Y334+Z334+AC334+AK334+AL334+AK334+AO334+AR334+AS334+AU334+AV334+AW334+AX334+AP334)</f>
        <v>0</v>
      </c>
      <c r="C334" s="214">
        <f>SUM(L334+M334+N334+O334+P334+U334+Y334+Z334+X334+AC334+AL334+AK334+AL334+AP334+AS334+AO334+AV334+AW334+AX334+AY334+AR334+AU334)</f>
        <v>0</v>
      </c>
      <c r="D334" s="133"/>
      <c r="E334" s="134"/>
      <c r="F334" s="135"/>
      <c r="G334" s="136"/>
      <c r="H334" s="683"/>
      <c r="I334" s="676"/>
      <c r="J334" s="96"/>
      <c r="K334" s="96"/>
      <c r="L334" s="104"/>
      <c r="M334" s="75"/>
      <c r="N334" s="75"/>
      <c r="O334" s="75"/>
      <c r="P334" s="75"/>
      <c r="Q334" s="105"/>
      <c r="R334" s="105"/>
      <c r="S334" s="96"/>
      <c r="T334" s="109"/>
      <c r="U334" s="100"/>
      <c r="V334" s="110"/>
      <c r="W334" s="110"/>
      <c r="X334" s="100"/>
      <c r="Y334" s="100"/>
      <c r="Z334" s="100"/>
      <c r="AA334" s="110"/>
      <c r="AB334" s="110"/>
      <c r="AC334" s="100"/>
      <c r="AD334" s="109"/>
      <c r="AE334" s="109"/>
      <c r="AF334" s="109"/>
      <c r="AG334" s="108"/>
      <c r="AH334" s="109"/>
      <c r="AI334" s="108"/>
      <c r="AJ334" s="111"/>
      <c r="AK334" s="100"/>
      <c r="AL334" s="110"/>
      <c r="AM334" s="110"/>
      <c r="AN334" s="100"/>
      <c r="AO334" s="100"/>
      <c r="AP334" s="100"/>
      <c r="AQ334" s="100"/>
      <c r="AR334" s="100"/>
      <c r="AS334" s="100"/>
      <c r="AT334" s="100"/>
      <c r="AU334" s="111"/>
      <c r="AV334" s="111"/>
    </row>
    <row r="335" spans="1:48" ht="17" thickBot="1">
      <c r="A335" s="85" t="s">
        <v>4</v>
      </c>
      <c r="B335" s="541">
        <f>SUM(L335+M335+N335+O335+P335+U335+X335+Y335+Z335+AC335+AK335+AL335+AK335+AO335+AR335+AS335+AU335+AV335+AW335+AX335+AP335)</f>
        <v>0</v>
      </c>
      <c r="C335" s="217">
        <f>SUM(L335+M335+N335+O335+P335+U335+Y335+Z335+X335+AC335+AL335+AK335+AL335+AP335+AS335+AO335+AV335+AW335+AX335+AY335+AR335+AU335)</f>
        <v>0</v>
      </c>
      <c r="D335" s="144"/>
      <c r="E335" s="145"/>
      <c r="F335" s="146"/>
      <c r="G335" s="147"/>
      <c r="H335" s="684"/>
      <c r="I335" s="677"/>
      <c r="J335" s="114"/>
      <c r="K335" s="114"/>
      <c r="L335" s="113"/>
      <c r="M335" s="112"/>
      <c r="N335" s="112"/>
      <c r="O335" s="112"/>
      <c r="P335" s="112"/>
      <c r="Q335" s="127"/>
      <c r="R335" s="127"/>
      <c r="S335" s="114"/>
      <c r="T335" s="118"/>
      <c r="U335" s="116"/>
      <c r="V335" s="120"/>
      <c r="W335" s="120"/>
      <c r="X335" s="116"/>
      <c r="Y335" s="116"/>
      <c r="Z335" s="116"/>
      <c r="AA335" s="120"/>
      <c r="AB335" s="120"/>
      <c r="AC335" s="116"/>
      <c r="AD335" s="118"/>
      <c r="AE335" s="118"/>
      <c r="AF335" s="118"/>
      <c r="AG335" s="117"/>
      <c r="AH335" s="118"/>
      <c r="AI335" s="117"/>
      <c r="AJ335" s="121"/>
      <c r="AK335" s="116"/>
      <c r="AL335" s="120"/>
      <c r="AM335" s="120"/>
      <c r="AN335" s="116"/>
      <c r="AO335" s="116"/>
      <c r="AP335" s="116"/>
      <c r="AQ335" s="116"/>
      <c r="AR335" s="116"/>
      <c r="AS335" s="116"/>
      <c r="AT335" s="116"/>
      <c r="AU335" s="121"/>
      <c r="AV335" s="121"/>
    </row>
    <row r="336" spans="1:48" ht="21.1">
      <c r="A336" s="82" t="s">
        <v>1010</v>
      </c>
      <c r="B336" s="539"/>
      <c r="C336" s="214"/>
      <c r="D336" s="133"/>
      <c r="E336" s="134"/>
      <c r="F336" s="135"/>
      <c r="G336" s="136"/>
      <c r="H336" s="683"/>
      <c r="I336" s="676"/>
      <c r="J336" s="96"/>
      <c r="K336" s="96"/>
      <c r="L336" s="104"/>
      <c r="M336" s="75"/>
      <c r="N336" s="75"/>
      <c r="O336" s="75"/>
      <c r="P336" s="75"/>
      <c r="Q336" s="105"/>
      <c r="R336" s="105"/>
      <c r="S336" s="96"/>
      <c r="T336" s="109"/>
      <c r="U336" s="100"/>
      <c r="V336" s="110"/>
      <c r="W336" s="110"/>
      <c r="X336" s="100"/>
      <c r="Y336" s="100"/>
      <c r="Z336" s="100"/>
      <c r="AA336" s="110"/>
      <c r="AB336" s="110"/>
      <c r="AC336" s="100"/>
      <c r="AD336" s="109"/>
      <c r="AE336" s="109" t="s">
        <v>393</v>
      </c>
      <c r="AF336" s="109"/>
      <c r="AG336" s="108"/>
      <c r="AH336" s="109"/>
      <c r="AI336" s="108"/>
      <c r="AJ336" s="111"/>
      <c r="AK336" s="100"/>
      <c r="AL336" s="110"/>
      <c r="AM336" s="110"/>
      <c r="AN336" s="100"/>
      <c r="AO336" s="100"/>
      <c r="AP336" s="100"/>
      <c r="AQ336" s="100"/>
      <c r="AR336" s="100"/>
      <c r="AS336" s="100"/>
      <c r="AT336" s="100"/>
      <c r="AU336" s="111"/>
      <c r="AV336" s="111"/>
    </row>
    <row r="337" spans="1:48" ht="16.3">
      <c r="A337" s="246" t="s">
        <v>1</v>
      </c>
      <c r="B337" s="538">
        <f>SUM(L337+M337+N337+O337+P337+U337+X337+Y337+Z337+AC337+AK337+AL337+AK337+AO337+AR337+AS337+AU337+AV337+AW337+AX337+AP337)</f>
        <v>0</v>
      </c>
      <c r="C337" s="215">
        <f>SUM(L337+M337+N337+O337+P337+U337+Y337+Z337+X337+AC337+AL337+AK337+AL337+AP337+AS337+AO337+AV337+AW337+AX337+AY337+AR337+AU337)</f>
        <v>0</v>
      </c>
      <c r="D337" s="133"/>
      <c r="E337" s="134"/>
      <c r="F337" s="135"/>
      <c r="G337" s="136"/>
      <c r="H337" s="683"/>
      <c r="I337" s="676"/>
      <c r="J337" s="96"/>
      <c r="K337" s="96"/>
      <c r="L337" s="104"/>
      <c r="M337" s="75"/>
      <c r="N337" s="75"/>
      <c r="O337" s="75"/>
      <c r="P337" s="75"/>
      <c r="Q337" s="105"/>
      <c r="R337" s="105"/>
      <c r="S337" s="96"/>
      <c r="T337" s="109"/>
      <c r="U337" s="100"/>
      <c r="V337" s="110"/>
      <c r="W337" s="110"/>
      <c r="X337" s="100"/>
      <c r="Y337" s="100"/>
      <c r="Z337" s="100"/>
      <c r="AA337" s="110"/>
      <c r="AB337" s="110"/>
      <c r="AC337" s="100"/>
      <c r="AD337" s="109"/>
      <c r="AE337" s="109"/>
      <c r="AF337" s="109"/>
      <c r="AG337" s="108"/>
      <c r="AH337" s="109"/>
      <c r="AI337" s="108"/>
      <c r="AJ337" s="111"/>
      <c r="AK337" s="100"/>
      <c r="AL337" s="110"/>
      <c r="AM337" s="110"/>
      <c r="AN337" s="100"/>
      <c r="AO337" s="100"/>
      <c r="AP337" s="100"/>
      <c r="AQ337" s="100"/>
      <c r="AR337" s="100"/>
      <c r="AS337" s="100"/>
      <c r="AT337" s="100"/>
      <c r="AU337" s="111"/>
      <c r="AV337" s="111"/>
    </row>
    <row r="338" spans="1:48" ht="16.3">
      <c r="A338" s="246" t="s">
        <v>2</v>
      </c>
      <c r="B338" s="538">
        <f>SUM(L338+M338+N338+O338+P338+U338+X338+Y338+Z338+AC338+AK338+AL338+AK338+AO338+AR338+AS338+AU338+AV338+AW338+AX338+AP338)</f>
        <v>0</v>
      </c>
      <c r="C338" s="215">
        <f>SUM(L338+M338+N338+O338+P338+U338+Y338+Z338+X338+AC338+AL338+AK338+AL338+AP338+AS338+AO338+AV338+AW338+AX338+AY338+AR338+AU338)</f>
        <v>0</v>
      </c>
      <c r="D338" s="133"/>
      <c r="E338" s="134"/>
      <c r="F338" s="135"/>
      <c r="G338" s="136"/>
      <c r="H338" s="683"/>
      <c r="I338" s="676"/>
      <c r="J338" s="96"/>
      <c r="K338" s="96"/>
      <c r="L338" s="104"/>
      <c r="M338" s="75"/>
      <c r="N338" s="75"/>
      <c r="O338" s="75"/>
      <c r="P338" s="75"/>
      <c r="Q338" s="105"/>
      <c r="R338" s="105"/>
      <c r="S338" s="96"/>
      <c r="T338" s="109"/>
      <c r="U338" s="100"/>
      <c r="V338" s="110"/>
      <c r="W338" s="110"/>
      <c r="X338" s="100"/>
      <c r="Y338" s="100"/>
      <c r="Z338" s="100"/>
      <c r="AA338" s="110"/>
      <c r="AB338" s="110"/>
      <c r="AC338" s="100"/>
      <c r="AD338" s="109"/>
      <c r="AE338" s="109"/>
      <c r="AF338" s="109"/>
      <c r="AG338" s="108"/>
      <c r="AH338" s="109"/>
      <c r="AI338" s="108"/>
      <c r="AJ338" s="111"/>
      <c r="AK338" s="100"/>
      <c r="AL338" s="110"/>
      <c r="AM338" s="110"/>
      <c r="AN338" s="100"/>
      <c r="AO338" s="100"/>
      <c r="AP338" s="100"/>
      <c r="AQ338" s="100"/>
      <c r="AR338" s="100"/>
      <c r="AS338" s="100"/>
      <c r="AT338" s="100"/>
      <c r="AU338" s="111"/>
      <c r="AV338" s="111"/>
    </row>
    <row r="339" spans="1:48" ht="16.3">
      <c r="A339" s="83" t="s">
        <v>363</v>
      </c>
      <c r="B339" s="539">
        <f t="shared" ref="B339:C339" si="56">SUM(B337+B338)</f>
        <v>0</v>
      </c>
      <c r="C339" s="214">
        <f t="shared" si="56"/>
        <v>0</v>
      </c>
      <c r="D339" s="133"/>
      <c r="E339" s="134"/>
      <c r="F339" s="135"/>
      <c r="G339" s="136"/>
      <c r="H339" s="683"/>
      <c r="I339" s="676"/>
      <c r="J339" s="96"/>
      <c r="K339" s="96"/>
      <c r="L339" s="104"/>
      <c r="M339" s="75"/>
      <c r="N339" s="75"/>
      <c r="O339" s="75"/>
      <c r="P339" s="75"/>
      <c r="Q339" s="105"/>
      <c r="R339" s="105"/>
      <c r="S339" s="96"/>
      <c r="T339" s="109"/>
      <c r="U339" s="100"/>
      <c r="V339" s="110"/>
      <c r="W339" s="110"/>
      <c r="X339" s="100"/>
      <c r="Y339" s="100"/>
      <c r="Z339" s="100"/>
      <c r="AA339" s="110"/>
      <c r="AB339" s="110"/>
      <c r="AC339" s="100"/>
      <c r="AD339" s="109"/>
      <c r="AE339" s="109"/>
      <c r="AF339" s="109"/>
      <c r="AG339" s="108"/>
      <c r="AH339" s="109"/>
      <c r="AI339" s="108"/>
      <c r="AJ339" s="111"/>
      <c r="AK339" s="100"/>
      <c r="AL339" s="110"/>
      <c r="AM339" s="110"/>
      <c r="AN339" s="100"/>
      <c r="AO339" s="100"/>
      <c r="AP339" s="100"/>
      <c r="AQ339" s="100"/>
      <c r="AR339" s="100"/>
      <c r="AS339" s="100"/>
      <c r="AT339" s="100"/>
      <c r="AU339" s="111"/>
      <c r="AV339" s="111"/>
    </row>
    <row r="340" spans="1:48" ht="16.3">
      <c r="A340" s="83" t="s">
        <v>3</v>
      </c>
      <c r="B340" s="539">
        <f>SUM(L340+M340+N340+O340+P340+U340+X340+Y340+Z340+AC340+AK340+AL340+AK340+AO340+AR340+AS340+AU340+AV340+AW340+AX340+AP340)</f>
        <v>0</v>
      </c>
      <c r="C340" s="214">
        <f>SUM(L340+M340+N340+O340+P340+U340+Y340+Z340+X340+AC340+AL340+AK340+AL340+AP340+AS340+AO340+AV340+AW340+AX340+AY340+AR340+AU340)</f>
        <v>0</v>
      </c>
      <c r="D340" s="133"/>
      <c r="E340" s="134"/>
      <c r="F340" s="135"/>
      <c r="G340" s="136"/>
      <c r="H340" s="683"/>
      <c r="I340" s="676"/>
      <c r="J340" s="96"/>
      <c r="K340" s="96"/>
      <c r="L340" s="104"/>
      <c r="M340" s="75"/>
      <c r="N340" s="75"/>
      <c r="O340" s="75"/>
      <c r="P340" s="75"/>
      <c r="Q340" s="105"/>
      <c r="R340" s="105"/>
      <c r="S340" s="96"/>
      <c r="T340" s="109"/>
      <c r="U340" s="100"/>
      <c r="V340" s="110"/>
      <c r="W340" s="110"/>
      <c r="X340" s="100"/>
      <c r="Y340" s="100"/>
      <c r="Z340" s="100"/>
      <c r="AA340" s="110"/>
      <c r="AB340" s="110"/>
      <c r="AC340" s="100"/>
      <c r="AD340" s="109"/>
      <c r="AE340" s="109"/>
      <c r="AF340" s="109"/>
      <c r="AG340" s="108"/>
      <c r="AH340" s="109"/>
      <c r="AI340" s="108"/>
      <c r="AJ340" s="111"/>
      <c r="AK340" s="100"/>
      <c r="AL340" s="110"/>
      <c r="AM340" s="110"/>
      <c r="AN340" s="100"/>
      <c r="AO340" s="100"/>
      <c r="AP340" s="100"/>
      <c r="AQ340" s="100"/>
      <c r="AR340" s="100"/>
      <c r="AS340" s="100"/>
      <c r="AT340" s="100"/>
      <c r="AU340" s="111"/>
      <c r="AV340" s="111"/>
    </row>
    <row r="341" spans="1:48" ht="17" thickBot="1">
      <c r="A341" s="85" t="s">
        <v>4</v>
      </c>
      <c r="B341" s="541">
        <f>SUM(L341+M341+N341+O341+P341+U341+X341+Y341+Z341+AC341+AK341+AL341+AK341+AO341+AR341+AS341+AU341+AV341+AW341+AX341+AP341)</f>
        <v>0</v>
      </c>
      <c r="C341" s="217">
        <f>SUM(L341+M341+N341+O341+P341+U341+Y341+Z341+X341+AC341+AL341+AK341+AL341+AP341+AS341+AO341+AV341+AW341+AX341+AY341+AR341+AU341)</f>
        <v>0</v>
      </c>
      <c r="D341" s="144"/>
      <c r="E341" s="145"/>
      <c r="F341" s="146"/>
      <c r="G341" s="147"/>
      <c r="H341" s="684"/>
      <c r="I341" s="677"/>
      <c r="J341" s="114"/>
      <c r="K341" s="114"/>
      <c r="L341" s="113"/>
      <c r="M341" s="112"/>
      <c r="N341" s="112"/>
      <c r="O341" s="112"/>
      <c r="P341" s="112"/>
      <c r="Q341" s="127"/>
      <c r="R341" s="127"/>
      <c r="S341" s="114"/>
      <c r="T341" s="118"/>
      <c r="U341" s="116"/>
      <c r="V341" s="120"/>
      <c r="W341" s="120"/>
      <c r="X341" s="116"/>
      <c r="Y341" s="116"/>
      <c r="Z341" s="116"/>
      <c r="AA341" s="120"/>
      <c r="AB341" s="120"/>
      <c r="AC341" s="116"/>
      <c r="AD341" s="118"/>
      <c r="AE341" s="118"/>
      <c r="AF341" s="118"/>
      <c r="AG341" s="117"/>
      <c r="AH341" s="118"/>
      <c r="AI341" s="117"/>
      <c r="AJ341" s="121"/>
      <c r="AK341" s="116"/>
      <c r="AL341" s="120"/>
      <c r="AM341" s="120"/>
      <c r="AN341" s="116"/>
      <c r="AO341" s="116"/>
      <c r="AP341" s="116"/>
      <c r="AQ341" s="116"/>
      <c r="AR341" s="116"/>
      <c r="AS341" s="116"/>
      <c r="AT341" s="116"/>
      <c r="AU341" s="121"/>
      <c r="AV341" s="121"/>
    </row>
    <row r="342" spans="1:48" ht="21.1">
      <c r="A342" s="82" t="s">
        <v>461</v>
      </c>
      <c r="B342" s="539"/>
      <c r="C342" s="214"/>
      <c r="D342" s="133"/>
      <c r="E342" s="134"/>
      <c r="F342" s="135"/>
      <c r="G342" s="136"/>
      <c r="H342" s="683"/>
      <c r="I342" s="676"/>
      <c r="J342" s="96">
        <v>7</v>
      </c>
      <c r="K342" s="96" t="s">
        <v>375</v>
      </c>
      <c r="L342" s="104"/>
      <c r="M342" s="75" t="s">
        <v>375</v>
      </c>
      <c r="N342" s="75"/>
      <c r="O342" s="75"/>
      <c r="P342" s="75"/>
      <c r="Q342" s="105"/>
      <c r="R342" s="105"/>
      <c r="S342" s="96" t="s">
        <v>375</v>
      </c>
      <c r="T342" s="109">
        <v>7</v>
      </c>
      <c r="U342" s="100"/>
      <c r="V342" s="110"/>
      <c r="W342" s="110"/>
      <c r="X342" s="100"/>
      <c r="Y342" s="100"/>
      <c r="Z342" s="100"/>
      <c r="AA342" s="110"/>
      <c r="AB342" s="110"/>
      <c r="AC342" s="100"/>
      <c r="AD342" s="109">
        <v>7</v>
      </c>
      <c r="AE342" s="109" t="s">
        <v>373</v>
      </c>
      <c r="AF342" s="109" t="s">
        <v>375</v>
      </c>
      <c r="AG342" s="108"/>
      <c r="AH342" s="109"/>
      <c r="AI342" s="108"/>
      <c r="AJ342" s="111"/>
      <c r="AK342" s="100"/>
      <c r="AL342" s="110"/>
      <c r="AM342" s="110"/>
      <c r="AN342" s="100"/>
      <c r="AO342" s="100"/>
      <c r="AP342" s="100"/>
      <c r="AQ342" s="100"/>
      <c r="AR342" s="100"/>
      <c r="AS342" s="100"/>
      <c r="AT342" s="100"/>
      <c r="AU342" s="111"/>
      <c r="AV342" s="111"/>
    </row>
    <row r="343" spans="1:48" ht="16.3">
      <c r="A343" s="246" t="s">
        <v>1</v>
      </c>
      <c r="B343" s="538">
        <f>SUM(L343+M343+N343+O343+P343+U343+X343+Y343+Z343+AC343+AK343+AL343+AK343+AO343+AR343+AS343+AU343+AV343+AW343+AX343+AP343)</f>
        <v>0</v>
      </c>
      <c r="C343" s="215">
        <f>SUM(L343+M343+N343+O343+P343+U343+Y343+Z343+X343+AC343+AL343+AK343+AL343+AP343+AS343+AO343+AV343+AW343+AX343+AY343+AR343+AU343)</f>
        <v>0</v>
      </c>
      <c r="D343" s="133"/>
      <c r="E343" s="134"/>
      <c r="F343" s="135"/>
      <c r="G343" s="136"/>
      <c r="H343" s="683"/>
      <c r="I343" s="676"/>
      <c r="J343" s="96">
        <v>1</v>
      </c>
      <c r="K343" s="96"/>
      <c r="L343" s="104"/>
      <c r="M343" s="75"/>
      <c r="N343" s="75"/>
      <c r="O343" s="75"/>
      <c r="P343" s="75"/>
      <c r="Q343" s="105"/>
      <c r="R343" s="105"/>
      <c r="S343" s="96"/>
      <c r="T343" s="109">
        <v>1</v>
      </c>
      <c r="U343" s="100"/>
      <c r="V343" s="110"/>
      <c r="W343" s="110"/>
      <c r="X343" s="100"/>
      <c r="Y343" s="100"/>
      <c r="Z343" s="100"/>
      <c r="AA343" s="110"/>
      <c r="AB343" s="110"/>
      <c r="AC343" s="100"/>
      <c r="AD343" s="109">
        <v>1</v>
      </c>
      <c r="AE343" s="109">
        <v>1</v>
      </c>
      <c r="AF343" s="109"/>
      <c r="AG343" s="108"/>
      <c r="AH343" s="109"/>
      <c r="AI343" s="108"/>
      <c r="AJ343" s="111"/>
      <c r="AK343" s="100"/>
      <c r="AL343" s="110"/>
      <c r="AM343" s="110"/>
      <c r="AN343" s="100"/>
      <c r="AO343" s="100"/>
      <c r="AP343" s="100"/>
      <c r="AQ343" s="100"/>
      <c r="AR343" s="100"/>
      <c r="AS343" s="100"/>
      <c r="AT343" s="100"/>
      <c r="AU343" s="111"/>
      <c r="AV343" s="111"/>
    </row>
    <row r="344" spans="1:48" ht="16.3">
      <c r="A344" s="246" t="s">
        <v>2</v>
      </c>
      <c r="B344" s="538">
        <f>SUM(L344+M344+N344+O344+P344+U344+X344+Y344+Z344+AC344+AK344+AL344+AK344+AO344+AR344+AS344+AU344+AV344+AW344+AX344+AP344)</f>
        <v>1</v>
      </c>
      <c r="C344" s="215">
        <f>SUM(L344+M344+N344+O344+P344+U344+Y344+Z344+X344+AC344+AL344+AK344+AL344+AP344+AS344+AO344+AV344+AW344+AX344+AY344+AR344+AU344)</f>
        <v>1</v>
      </c>
      <c r="D344" s="133"/>
      <c r="E344" s="134"/>
      <c r="F344" s="135"/>
      <c r="G344" s="136"/>
      <c r="H344" s="683"/>
      <c r="I344" s="676"/>
      <c r="J344" s="96"/>
      <c r="K344" s="96">
        <v>1</v>
      </c>
      <c r="L344" s="104"/>
      <c r="M344" s="75">
        <v>1</v>
      </c>
      <c r="N344" s="75"/>
      <c r="O344" s="75"/>
      <c r="P344" s="75"/>
      <c r="Q344" s="105"/>
      <c r="R344" s="105"/>
      <c r="S344" s="96">
        <v>1</v>
      </c>
      <c r="T344" s="109"/>
      <c r="U344" s="100"/>
      <c r="V344" s="110"/>
      <c r="W344" s="110"/>
      <c r="X344" s="100"/>
      <c r="Y344" s="100"/>
      <c r="Z344" s="100"/>
      <c r="AA344" s="110"/>
      <c r="AB344" s="110"/>
      <c r="AC344" s="100"/>
      <c r="AD344" s="109"/>
      <c r="AE344" s="109"/>
      <c r="AF344" s="109">
        <v>1</v>
      </c>
      <c r="AG344" s="108"/>
      <c r="AH344" s="109"/>
      <c r="AI344" s="108"/>
      <c r="AJ344" s="111"/>
      <c r="AK344" s="100"/>
      <c r="AL344" s="110"/>
      <c r="AM344" s="110"/>
      <c r="AN344" s="100"/>
      <c r="AO344" s="100"/>
      <c r="AP344" s="100"/>
      <c r="AQ344" s="100"/>
      <c r="AR344" s="100"/>
      <c r="AS344" s="100"/>
      <c r="AT344" s="100"/>
      <c r="AU344" s="111"/>
      <c r="AV344" s="111"/>
    </row>
    <row r="345" spans="1:48" ht="16.3">
      <c r="A345" s="83" t="s">
        <v>363</v>
      </c>
      <c r="B345" s="539">
        <f t="shared" ref="B345" si="57">SUM(B343+B344)</f>
        <v>1</v>
      </c>
      <c r="C345" s="214">
        <f t="shared" ref="C345" si="58">SUM(C343+C344)</f>
        <v>1</v>
      </c>
      <c r="D345" s="133"/>
      <c r="E345" s="134"/>
      <c r="F345" s="135"/>
      <c r="G345" s="136"/>
      <c r="H345" s="683"/>
      <c r="I345" s="676"/>
      <c r="J345" s="96"/>
      <c r="K345" s="96"/>
      <c r="L345" s="104"/>
      <c r="M345" s="75"/>
      <c r="N345" s="75"/>
      <c r="O345" s="75"/>
      <c r="P345" s="75"/>
      <c r="Q345" s="105"/>
      <c r="R345" s="105"/>
      <c r="S345" s="96"/>
      <c r="T345" s="109"/>
      <c r="U345" s="100"/>
      <c r="V345" s="110"/>
      <c r="W345" s="110"/>
      <c r="X345" s="100"/>
      <c r="Y345" s="100"/>
      <c r="Z345" s="100"/>
      <c r="AA345" s="110"/>
      <c r="AB345" s="110"/>
      <c r="AC345" s="100"/>
      <c r="AD345" s="109"/>
      <c r="AE345" s="109"/>
      <c r="AF345" s="109"/>
      <c r="AG345" s="108"/>
      <c r="AH345" s="109"/>
      <c r="AI345" s="108"/>
      <c r="AJ345" s="111"/>
      <c r="AK345" s="100"/>
      <c r="AL345" s="110"/>
      <c r="AM345" s="110"/>
      <c r="AN345" s="100"/>
      <c r="AO345" s="100"/>
      <c r="AP345" s="100"/>
      <c r="AQ345" s="100"/>
      <c r="AR345" s="100"/>
      <c r="AS345" s="100"/>
      <c r="AT345" s="100"/>
      <c r="AU345" s="111"/>
      <c r="AV345" s="111"/>
    </row>
    <row r="346" spans="1:48" ht="16.3">
      <c r="A346" s="83" t="s">
        <v>3</v>
      </c>
      <c r="B346" s="539">
        <f>SUM(L346+M346+N346+O346+P346+U346+X346+Y346+Z346+AC346+AK346+AL346+AK346+AO346+AR346+AS346+AU346+AV346+AW346+AX346+AP346)</f>
        <v>0</v>
      </c>
      <c r="C346" s="214">
        <f>SUM(L346+M346+N346+O346+P346+U346+Y346+Z346+X346+AC346+AL346+AK346+AL346+AP346+AS346+AO346+AV346+AW346+AX346+AY346+AR346+AU346)</f>
        <v>0</v>
      </c>
      <c r="D346" s="133"/>
      <c r="E346" s="134"/>
      <c r="F346" s="135"/>
      <c r="G346" s="136"/>
      <c r="H346" s="683"/>
      <c r="I346" s="676"/>
      <c r="J346" s="96"/>
      <c r="K346" s="96"/>
      <c r="L346" s="104"/>
      <c r="M346" s="75"/>
      <c r="N346" s="75"/>
      <c r="O346" s="75"/>
      <c r="P346" s="75"/>
      <c r="Q346" s="105"/>
      <c r="R346" s="105"/>
      <c r="S346" s="96"/>
      <c r="T346" s="109"/>
      <c r="U346" s="100"/>
      <c r="V346" s="110"/>
      <c r="W346" s="110"/>
      <c r="X346" s="100"/>
      <c r="Y346" s="100"/>
      <c r="Z346" s="100"/>
      <c r="AA346" s="110"/>
      <c r="AB346" s="110"/>
      <c r="AC346" s="100"/>
      <c r="AD346" s="109">
        <v>1</v>
      </c>
      <c r="AE346" s="109"/>
      <c r="AF346" s="109"/>
      <c r="AG346" s="108"/>
      <c r="AH346" s="109"/>
      <c r="AI346" s="108"/>
      <c r="AJ346" s="111"/>
      <c r="AK346" s="100"/>
      <c r="AL346" s="110"/>
      <c r="AM346" s="110"/>
      <c r="AN346" s="100"/>
      <c r="AO346" s="100"/>
      <c r="AP346" s="100"/>
      <c r="AQ346" s="100"/>
      <c r="AR346" s="100"/>
      <c r="AS346" s="100"/>
      <c r="AT346" s="100"/>
      <c r="AU346" s="111"/>
      <c r="AV346" s="111"/>
    </row>
    <row r="347" spans="1:48" ht="17" thickBot="1">
      <c r="A347" s="85" t="s">
        <v>4</v>
      </c>
      <c r="B347" s="541">
        <f>SUM(L347+M347+N347+O347+P347+U347+X347+Y347+Z347+AC347+AK347+AL347+AK347+AO347+AR347+AS347+AU347+AV347+AW347+AX347+AP347)</f>
        <v>0</v>
      </c>
      <c r="C347" s="217">
        <f>SUM(L347+M347+N347+O347+P347+U347+Y347+Z347+X347+AC347+AL347+AK347+AL347+AP347+AS347+AO347+AV347+AW347+AX347+AY347+AR347+AU347)</f>
        <v>0</v>
      </c>
      <c r="D347" s="144"/>
      <c r="E347" s="145"/>
      <c r="F347" s="146"/>
      <c r="G347" s="147"/>
      <c r="H347" s="684"/>
      <c r="I347" s="677"/>
      <c r="J347" s="114"/>
      <c r="K347" s="114"/>
      <c r="L347" s="113"/>
      <c r="M347" s="112"/>
      <c r="N347" s="112"/>
      <c r="O347" s="112"/>
      <c r="P347" s="112"/>
      <c r="Q347" s="127"/>
      <c r="R347" s="127"/>
      <c r="S347" s="114"/>
      <c r="T347" s="118"/>
      <c r="U347" s="116"/>
      <c r="V347" s="120"/>
      <c r="W347" s="120"/>
      <c r="X347" s="116"/>
      <c r="Y347" s="116"/>
      <c r="Z347" s="116"/>
      <c r="AA347" s="120"/>
      <c r="AB347" s="120"/>
      <c r="AC347" s="116"/>
      <c r="AD347" s="118">
        <v>5</v>
      </c>
      <c r="AE347" s="118"/>
      <c r="AF347" s="118"/>
      <c r="AG347" s="117"/>
      <c r="AH347" s="118"/>
      <c r="AI347" s="117"/>
      <c r="AJ347" s="121"/>
      <c r="AK347" s="116"/>
      <c r="AL347" s="120"/>
      <c r="AM347" s="120"/>
      <c r="AN347" s="116"/>
      <c r="AO347" s="116"/>
      <c r="AP347" s="116"/>
      <c r="AQ347" s="116"/>
      <c r="AR347" s="116"/>
      <c r="AS347" s="116"/>
      <c r="AT347" s="116"/>
      <c r="AU347" s="121"/>
      <c r="AV347" s="121"/>
    </row>
    <row r="348" spans="1:48" ht="21.1">
      <c r="A348" s="82" t="s">
        <v>817</v>
      </c>
      <c r="B348" s="539"/>
      <c r="C348" s="214"/>
      <c r="D348" s="133"/>
      <c r="E348" s="134"/>
      <c r="F348" s="135"/>
      <c r="G348" s="136"/>
      <c r="H348" s="683"/>
      <c r="I348" s="676"/>
      <c r="J348" s="96"/>
      <c r="K348" s="96"/>
      <c r="L348" s="104"/>
      <c r="M348" s="75"/>
      <c r="N348" s="75"/>
      <c r="O348" s="75"/>
      <c r="P348" s="75"/>
      <c r="Q348" s="105"/>
      <c r="R348" s="105"/>
      <c r="S348" s="96">
        <v>6</v>
      </c>
      <c r="T348" s="109" t="s">
        <v>382</v>
      </c>
      <c r="U348" s="100"/>
      <c r="V348" s="110"/>
      <c r="W348" s="110"/>
      <c r="X348" s="100"/>
      <c r="Y348" s="100"/>
      <c r="Z348" s="100"/>
      <c r="AA348" s="110"/>
      <c r="AB348" s="110"/>
      <c r="AC348" s="100"/>
      <c r="AD348" s="109" t="s">
        <v>375</v>
      </c>
      <c r="AE348" s="109">
        <v>5</v>
      </c>
      <c r="AF348" s="109" t="s">
        <v>382</v>
      </c>
      <c r="AG348" s="108"/>
      <c r="AH348" s="109" t="s">
        <v>375</v>
      </c>
      <c r="AI348" s="108"/>
      <c r="AJ348" s="111"/>
      <c r="AK348" s="100"/>
      <c r="AL348" s="110"/>
      <c r="AM348" s="110"/>
      <c r="AN348" s="100"/>
      <c r="AO348" s="100"/>
      <c r="AP348" s="100"/>
      <c r="AQ348" s="100"/>
      <c r="AR348" s="100"/>
      <c r="AS348" s="100"/>
      <c r="AT348" s="100"/>
      <c r="AU348" s="111"/>
      <c r="AV348" s="111"/>
    </row>
    <row r="349" spans="1:48" ht="16.3">
      <c r="A349" s="246" t="s">
        <v>1</v>
      </c>
      <c r="B349" s="538">
        <f>SUM(L349+M349+N349+O349+P349+U349+X349+Y349+Z349+AC349+AK349+AL349+AK349+AO349+AR349+AS349+AU349+AV349+AW349+AX349+AP349)</f>
        <v>0</v>
      </c>
      <c r="C349" s="215">
        <f>SUM(L349+M349+N349+O349+P349+U349+Y349+Z349+X349+AC349+AL349+AK349+AL349+AP349+AS349+AO349+AV349+AW349+AX349+AY349+AR349+AU349)</f>
        <v>0</v>
      </c>
      <c r="D349" s="133"/>
      <c r="E349" s="134"/>
      <c r="F349" s="135"/>
      <c r="G349" s="136"/>
      <c r="H349" s="683"/>
      <c r="I349" s="676"/>
      <c r="J349" s="96"/>
      <c r="K349" s="96"/>
      <c r="L349" s="104"/>
      <c r="M349" s="75"/>
      <c r="N349" s="75"/>
      <c r="O349" s="75"/>
      <c r="P349" s="75"/>
      <c r="Q349" s="105"/>
      <c r="R349" s="105"/>
      <c r="S349" s="96">
        <v>1</v>
      </c>
      <c r="T349" s="109">
        <v>1</v>
      </c>
      <c r="U349" s="100"/>
      <c r="V349" s="110"/>
      <c r="W349" s="110"/>
      <c r="X349" s="100"/>
      <c r="Y349" s="100"/>
      <c r="Z349" s="100"/>
      <c r="AA349" s="110"/>
      <c r="AB349" s="110"/>
      <c r="AC349" s="100"/>
      <c r="AD349" s="109"/>
      <c r="AE349" s="109">
        <v>1</v>
      </c>
      <c r="AF349" s="109">
        <v>1</v>
      </c>
      <c r="AG349" s="108"/>
      <c r="AH349" s="109"/>
      <c r="AI349" s="108"/>
      <c r="AJ349" s="111"/>
      <c r="AK349" s="100"/>
      <c r="AL349" s="110"/>
      <c r="AM349" s="110"/>
      <c r="AN349" s="100"/>
      <c r="AO349" s="100"/>
      <c r="AP349" s="100"/>
      <c r="AQ349" s="100"/>
      <c r="AR349" s="100"/>
      <c r="AS349" s="100"/>
      <c r="AT349" s="100"/>
      <c r="AU349" s="111"/>
      <c r="AV349" s="111"/>
    </row>
    <row r="350" spans="1:48" ht="16.3">
      <c r="A350" s="246" t="s">
        <v>2</v>
      </c>
      <c r="B350" s="538">
        <f>SUM(L350+M350+N350+O350+P350+U350+X350+Y350+Z350+AC350+AK350+AL350+AK350+AO350+AR350+AS350+AU350+AV350+AW350+AX350+AP350)+1</f>
        <v>1</v>
      </c>
      <c r="C350" s="215">
        <f>SUM(L350+M350+N350+O350+P350+U350+Y350+Z350+X350+AC350+AL350+AK350+AL350+AP350+AS350+AO350+AV350+AW350+AX350+AY350+AR350+AU350)+1</f>
        <v>1</v>
      </c>
      <c r="D350" s="133"/>
      <c r="E350" s="134"/>
      <c r="F350" s="135"/>
      <c r="G350" s="136"/>
      <c r="H350" s="683"/>
      <c r="I350" s="676"/>
      <c r="J350" s="96"/>
      <c r="K350" s="96"/>
      <c r="L350" s="104"/>
      <c r="M350" s="75"/>
      <c r="N350" s="75"/>
      <c r="O350" s="75"/>
      <c r="P350" s="75"/>
      <c r="Q350" s="105"/>
      <c r="R350" s="105"/>
      <c r="S350" s="96"/>
      <c r="T350" s="109"/>
      <c r="U350" s="100"/>
      <c r="V350" s="110"/>
      <c r="W350" s="110"/>
      <c r="X350" s="100"/>
      <c r="Y350" s="100"/>
      <c r="Z350" s="100"/>
      <c r="AA350" s="110"/>
      <c r="AB350" s="110"/>
      <c r="AC350" s="100"/>
      <c r="AD350" s="109">
        <v>1</v>
      </c>
      <c r="AE350" s="109"/>
      <c r="AF350" s="109"/>
      <c r="AG350" s="108"/>
      <c r="AH350" s="109">
        <v>1</v>
      </c>
      <c r="AI350" s="108"/>
      <c r="AJ350" s="111"/>
      <c r="AK350" s="100"/>
      <c r="AL350" s="110"/>
      <c r="AM350" s="110"/>
      <c r="AN350" s="100"/>
      <c r="AO350" s="100"/>
      <c r="AP350" s="100"/>
      <c r="AQ350" s="100"/>
      <c r="AR350" s="100"/>
      <c r="AS350" s="100"/>
      <c r="AT350" s="100"/>
      <c r="AU350" s="111"/>
      <c r="AV350" s="111"/>
    </row>
    <row r="351" spans="1:48" ht="16.3">
      <c r="A351" s="83" t="s">
        <v>363</v>
      </c>
      <c r="B351" s="539">
        <f t="shared" ref="B351:C351" si="59">SUM(B349+B350)</f>
        <v>1</v>
      </c>
      <c r="C351" s="214">
        <f t="shared" si="59"/>
        <v>1</v>
      </c>
      <c r="D351" s="133"/>
      <c r="E351" s="134"/>
      <c r="F351" s="135"/>
      <c r="G351" s="136"/>
      <c r="H351" s="683"/>
      <c r="I351" s="676"/>
      <c r="J351" s="96"/>
      <c r="K351" s="96"/>
      <c r="L351" s="104"/>
      <c r="M351" s="75"/>
      <c r="N351" s="75"/>
      <c r="O351" s="75"/>
      <c r="P351" s="75"/>
      <c r="Q351" s="105"/>
      <c r="R351" s="105"/>
      <c r="S351" s="96"/>
      <c r="T351" s="109"/>
      <c r="U351" s="100"/>
      <c r="V351" s="110"/>
      <c r="W351" s="110"/>
      <c r="X351" s="100"/>
      <c r="Y351" s="100"/>
      <c r="Z351" s="100"/>
      <c r="AA351" s="110"/>
      <c r="AB351" s="110"/>
      <c r="AC351" s="100"/>
      <c r="AD351" s="109"/>
      <c r="AE351" s="109"/>
      <c r="AF351" s="109"/>
      <c r="AG351" s="108"/>
      <c r="AH351" s="109"/>
      <c r="AI351" s="108"/>
      <c r="AJ351" s="111"/>
      <c r="AK351" s="100"/>
      <c r="AL351" s="110"/>
      <c r="AM351" s="110"/>
      <c r="AN351" s="100"/>
      <c r="AO351" s="100"/>
      <c r="AP351" s="100"/>
      <c r="AQ351" s="100"/>
      <c r="AR351" s="100"/>
      <c r="AS351" s="100"/>
      <c r="AT351" s="100"/>
      <c r="AU351" s="111"/>
      <c r="AV351" s="111"/>
    </row>
    <row r="352" spans="1:48" ht="16.3">
      <c r="A352" s="83" t="s">
        <v>3</v>
      </c>
      <c r="B352" s="539">
        <f>SUM(L352+M352+N352+O352+P352+U352+X352+Y352+Z352+AC352+AK352+AL352+AK352+AO352+AR352+AS352+AU352+AV352+AW352+AX352+AP352)</f>
        <v>0</v>
      </c>
      <c r="C352" s="214">
        <f>SUM(L352+M352+N352+O352+P352+U352+Y352+Z352+X352+AC352+AL352+AK352+AL352+AP352+AS352+AO352+AV352+AW352+AX352+AY352+AR352+AU352)</f>
        <v>0</v>
      </c>
      <c r="D352" s="133"/>
      <c r="E352" s="134"/>
      <c r="F352" s="135"/>
      <c r="G352" s="136"/>
      <c r="H352" s="683"/>
      <c r="I352" s="676"/>
      <c r="J352" s="96"/>
      <c r="K352" s="96"/>
      <c r="L352" s="104"/>
      <c r="M352" s="75"/>
      <c r="N352" s="75"/>
      <c r="O352" s="75"/>
      <c r="P352" s="75"/>
      <c r="Q352" s="105"/>
      <c r="R352" s="105"/>
      <c r="S352" s="96"/>
      <c r="T352" s="109">
        <v>1</v>
      </c>
      <c r="U352" s="100"/>
      <c r="V352" s="110"/>
      <c r="W352" s="110"/>
      <c r="X352" s="100"/>
      <c r="Y352" s="100"/>
      <c r="Z352" s="100"/>
      <c r="AA352" s="110"/>
      <c r="AB352" s="110"/>
      <c r="AC352" s="100"/>
      <c r="AD352" s="109"/>
      <c r="AE352" s="109"/>
      <c r="AF352" s="109">
        <v>1</v>
      </c>
      <c r="AG352" s="108"/>
      <c r="AH352" s="109"/>
      <c r="AI352" s="108"/>
      <c r="AJ352" s="111"/>
      <c r="AK352" s="100"/>
      <c r="AL352" s="110"/>
      <c r="AM352" s="110"/>
      <c r="AN352" s="100"/>
      <c r="AO352" s="100"/>
      <c r="AP352" s="100"/>
      <c r="AQ352" s="100"/>
      <c r="AR352" s="100"/>
      <c r="AS352" s="100"/>
      <c r="AT352" s="100"/>
      <c r="AU352" s="111"/>
      <c r="AV352" s="111"/>
    </row>
    <row r="353" spans="1:48" ht="17" thickBot="1">
      <c r="A353" s="85" t="s">
        <v>4</v>
      </c>
      <c r="B353" s="541">
        <f>SUM(L353+M353+N353+O353+P353+U353+X353+Y353+Z353+AC353+AK353+AL353+AK353+AO353+AR353+AS353+AU353+AV353+AW353+AX353+AP353)</f>
        <v>0</v>
      </c>
      <c r="C353" s="217">
        <f>SUM(L353+M353+N353+O353+P353+U353+Y353+Z353+X353+AC353+AL353+AK353+AL353+AP353+AS353+AO353+AV353+AW353+AX353+AY353+AR353+AU353)</f>
        <v>0</v>
      </c>
      <c r="D353" s="144"/>
      <c r="E353" s="145"/>
      <c r="F353" s="146"/>
      <c r="G353" s="147"/>
      <c r="H353" s="684"/>
      <c r="I353" s="677"/>
      <c r="J353" s="114"/>
      <c r="K353" s="114"/>
      <c r="L353" s="113"/>
      <c r="M353" s="112"/>
      <c r="N353" s="112"/>
      <c r="O353" s="112"/>
      <c r="P353" s="112"/>
      <c r="Q353" s="127"/>
      <c r="R353" s="127"/>
      <c r="S353" s="114"/>
      <c r="T353" s="118">
        <v>5</v>
      </c>
      <c r="U353" s="116"/>
      <c r="V353" s="120"/>
      <c r="W353" s="120"/>
      <c r="X353" s="116"/>
      <c r="Y353" s="116"/>
      <c r="Z353" s="116"/>
      <c r="AA353" s="120"/>
      <c r="AB353" s="120"/>
      <c r="AC353" s="116"/>
      <c r="AD353" s="118"/>
      <c r="AE353" s="118"/>
      <c r="AF353" s="118">
        <v>5</v>
      </c>
      <c r="AG353" s="117"/>
      <c r="AH353" s="118"/>
      <c r="AI353" s="117"/>
      <c r="AJ353" s="121"/>
      <c r="AK353" s="116"/>
      <c r="AL353" s="120"/>
      <c r="AM353" s="120"/>
      <c r="AN353" s="116"/>
      <c r="AO353" s="116"/>
      <c r="AP353" s="116"/>
      <c r="AQ353" s="116"/>
      <c r="AR353" s="116"/>
      <c r="AS353" s="116"/>
      <c r="AT353" s="116"/>
      <c r="AU353" s="121"/>
      <c r="AV353" s="121"/>
    </row>
    <row r="354" spans="1:48" ht="21.1">
      <c r="A354" s="82" t="s">
        <v>216</v>
      </c>
      <c r="B354" s="539"/>
      <c r="C354" s="214"/>
      <c r="D354" s="133"/>
      <c r="E354" s="134"/>
      <c r="F354" s="135"/>
      <c r="G354" s="136"/>
      <c r="H354" s="683"/>
      <c r="I354" s="676"/>
      <c r="J354" s="96" t="s">
        <v>339</v>
      </c>
      <c r="K354" s="96" t="s">
        <v>339</v>
      </c>
      <c r="L354" s="104" t="s">
        <v>339</v>
      </c>
      <c r="M354" s="75" t="s">
        <v>339</v>
      </c>
      <c r="N354" s="75" t="s">
        <v>339</v>
      </c>
      <c r="O354" s="75" t="s">
        <v>339</v>
      </c>
      <c r="P354" s="75" t="s">
        <v>339</v>
      </c>
      <c r="Q354" s="105"/>
      <c r="R354" s="105"/>
      <c r="S354" s="96" t="s">
        <v>339</v>
      </c>
      <c r="T354" s="109" t="s">
        <v>339</v>
      </c>
      <c r="U354" s="100" t="s">
        <v>339</v>
      </c>
      <c r="V354" s="110" t="s">
        <v>339</v>
      </c>
      <c r="W354" s="110" t="s">
        <v>339</v>
      </c>
      <c r="X354" s="100" t="s">
        <v>339</v>
      </c>
      <c r="Y354" s="100" t="s">
        <v>339</v>
      </c>
      <c r="Z354" s="100" t="s">
        <v>339</v>
      </c>
      <c r="AA354" s="110" t="s">
        <v>339</v>
      </c>
      <c r="AB354" s="110" t="s">
        <v>339</v>
      </c>
      <c r="AC354" s="100" t="s">
        <v>339</v>
      </c>
      <c r="AD354" s="109" t="s">
        <v>339</v>
      </c>
      <c r="AE354" s="109" t="s">
        <v>339</v>
      </c>
      <c r="AF354" s="109" t="s">
        <v>339</v>
      </c>
      <c r="AG354" s="108"/>
      <c r="AH354" s="109" t="s">
        <v>339</v>
      </c>
      <c r="AI354" s="108"/>
      <c r="AJ354" s="111"/>
      <c r="AK354" s="100"/>
      <c r="AL354" s="110"/>
      <c r="AM354" s="110"/>
      <c r="AN354" s="100"/>
      <c r="AO354" s="100"/>
      <c r="AP354" s="100"/>
      <c r="AQ354" s="100"/>
      <c r="AR354" s="100"/>
      <c r="AS354" s="100"/>
      <c r="AT354" s="100"/>
      <c r="AU354" s="111"/>
      <c r="AV354" s="111"/>
    </row>
    <row r="355" spans="1:48" ht="16.3">
      <c r="A355" s="246" t="s">
        <v>1</v>
      </c>
      <c r="B355" s="538">
        <f>SUM(L355+M355+N355+O355+P355+U355+X355+Y355+Z355+AC355+AK355+AL355+AK355+AO355+AR355+AS355+AU355+AV355+AW355+AX355+AP355)+1</f>
        <v>1</v>
      </c>
      <c r="C355" s="215">
        <f>SUM(L355+M355+N355+O355+P355+U355+Y355+Z355+X355+AC355+AL355+AK355+AL355+AP355+AS355+AO355+AV355+AW355+AX355+AY355+AR355+AU355)+1</f>
        <v>1</v>
      </c>
      <c r="D355" s="133"/>
      <c r="E355" s="134"/>
      <c r="F355" s="135"/>
      <c r="G355" s="136"/>
      <c r="H355" s="683"/>
      <c r="I355" s="676"/>
      <c r="J355" s="96"/>
      <c r="K355" s="96"/>
      <c r="L355" s="104"/>
      <c r="M355" s="75"/>
      <c r="N355" s="75"/>
      <c r="O355" s="75"/>
      <c r="P355" s="75"/>
      <c r="Q355" s="105"/>
      <c r="R355" s="105"/>
      <c r="S355" s="96"/>
      <c r="T355" s="109"/>
      <c r="U355" s="100"/>
      <c r="V355" s="110"/>
      <c r="W355" s="110"/>
      <c r="X355" s="100"/>
      <c r="Y355" s="100"/>
      <c r="Z355" s="100"/>
      <c r="AA355" s="110"/>
      <c r="AB355" s="110"/>
      <c r="AC355" s="100"/>
      <c r="AD355" s="109"/>
      <c r="AE355" s="109"/>
      <c r="AF355" s="109"/>
      <c r="AG355" s="108"/>
      <c r="AH355" s="109"/>
      <c r="AI355" s="108"/>
      <c r="AJ355" s="111"/>
      <c r="AK355" s="100"/>
      <c r="AL355" s="110"/>
      <c r="AM355" s="110"/>
      <c r="AN355" s="100"/>
      <c r="AO355" s="100"/>
      <c r="AP355" s="100"/>
      <c r="AQ355" s="100"/>
      <c r="AR355" s="100"/>
      <c r="AS355" s="100"/>
      <c r="AT355" s="100"/>
      <c r="AU355" s="111"/>
      <c r="AV355" s="111"/>
    </row>
    <row r="356" spans="1:48" ht="16.3">
      <c r="A356" s="246" t="s">
        <v>2</v>
      </c>
      <c r="B356" s="538">
        <f>SUM(L356+M356+N356+O356+P356+U356+X356+Y356+Z356+AC356+AK356+AL356+AK356+AO356+AR356+AS356+AU356+AV356+AW356+AX356+AP356)+1</f>
        <v>1</v>
      </c>
      <c r="C356" s="215">
        <f>SUM(L356+M356+N356+O356+P356+U356+Y356+Z356+X356+AC356+AL356+AK356+AL356+AP356+AS356+AO356+AV356+AW356+AX356+AY356+AR356+AU356)+1</f>
        <v>1</v>
      </c>
      <c r="D356" s="133"/>
      <c r="E356" s="134"/>
      <c r="F356" s="135"/>
      <c r="G356" s="136"/>
      <c r="H356" s="683"/>
      <c r="I356" s="676"/>
      <c r="J356" s="96"/>
      <c r="K356" s="96"/>
      <c r="L356" s="104"/>
      <c r="M356" s="75"/>
      <c r="N356" s="75"/>
      <c r="O356" s="75"/>
      <c r="P356" s="75"/>
      <c r="Q356" s="105"/>
      <c r="R356" s="105"/>
      <c r="S356" s="96"/>
      <c r="T356" s="109"/>
      <c r="U356" s="100"/>
      <c r="V356" s="110"/>
      <c r="W356" s="110"/>
      <c r="X356" s="100"/>
      <c r="Y356" s="100"/>
      <c r="Z356" s="100"/>
      <c r="AA356" s="110"/>
      <c r="AB356" s="110"/>
      <c r="AC356" s="100"/>
      <c r="AD356" s="109"/>
      <c r="AE356" s="109"/>
      <c r="AF356" s="109"/>
      <c r="AG356" s="108"/>
      <c r="AH356" s="109"/>
      <c r="AI356" s="108"/>
      <c r="AJ356" s="111"/>
      <c r="AK356" s="100"/>
      <c r="AL356" s="110"/>
      <c r="AM356" s="110"/>
      <c r="AN356" s="100"/>
      <c r="AO356" s="100"/>
      <c r="AP356" s="100"/>
      <c r="AQ356" s="100"/>
      <c r="AR356" s="100"/>
      <c r="AS356" s="100"/>
      <c r="AT356" s="100"/>
      <c r="AU356" s="111"/>
      <c r="AV356" s="111"/>
    </row>
    <row r="357" spans="1:48" ht="16.3">
      <c r="A357" s="83" t="s">
        <v>363</v>
      </c>
      <c r="B357" s="539">
        <f t="shared" ref="B357:C357" si="60">SUM(B355+B356)</f>
        <v>2</v>
      </c>
      <c r="C357" s="214">
        <f t="shared" si="60"/>
        <v>2</v>
      </c>
      <c r="D357" s="133"/>
      <c r="E357" s="134"/>
      <c r="F357" s="135"/>
      <c r="G357" s="136"/>
      <c r="H357" s="683"/>
      <c r="I357" s="676"/>
      <c r="J357" s="96"/>
      <c r="K357" s="96"/>
      <c r="L357" s="104"/>
      <c r="M357" s="75"/>
      <c r="N357" s="75"/>
      <c r="O357" s="75"/>
      <c r="P357" s="75"/>
      <c r="Q357" s="105"/>
      <c r="R357" s="105"/>
      <c r="S357" s="96"/>
      <c r="T357" s="109"/>
      <c r="U357" s="100"/>
      <c r="V357" s="110"/>
      <c r="W357" s="110"/>
      <c r="X357" s="100"/>
      <c r="Y357" s="100"/>
      <c r="Z357" s="100"/>
      <c r="AA357" s="110"/>
      <c r="AB357" s="110"/>
      <c r="AC357" s="100"/>
      <c r="AD357" s="109"/>
      <c r="AE357" s="109"/>
      <c r="AF357" s="109"/>
      <c r="AG357" s="108"/>
      <c r="AH357" s="109"/>
      <c r="AI357" s="108"/>
      <c r="AJ357" s="111"/>
      <c r="AK357" s="100"/>
      <c r="AL357" s="110"/>
      <c r="AM357" s="110"/>
      <c r="AN357" s="100"/>
      <c r="AO357" s="100"/>
      <c r="AP357" s="100"/>
      <c r="AQ357" s="100"/>
      <c r="AR357" s="100"/>
      <c r="AS357" s="100"/>
      <c r="AT357" s="100"/>
      <c r="AU357" s="111"/>
      <c r="AV357" s="111"/>
    </row>
    <row r="358" spans="1:48" ht="16.3">
      <c r="A358" s="83" t="s">
        <v>3</v>
      </c>
      <c r="B358" s="539">
        <f>SUM(L358+M358+N358+O358+P358+U358+X358+Y358+Z358+AC358+AK358+AL358+AK358+AO358+AR358+AS358+AU358+AV358+AW358+AX358+AP358)</f>
        <v>0</v>
      </c>
      <c r="C358" s="214">
        <f>SUM(L358+M358+N358+O358+P358+U358+Y358+Z358+X358+AC358+AL358+AK358+AL358+AP358+AS358+AO358+AV358+AW358+AX358+AY358+AR358+AU358)</f>
        <v>0</v>
      </c>
      <c r="D358" s="133"/>
      <c r="E358" s="134"/>
      <c r="F358" s="135"/>
      <c r="G358" s="136"/>
      <c r="H358" s="683"/>
      <c r="I358" s="676"/>
      <c r="J358" s="96"/>
      <c r="K358" s="96"/>
      <c r="L358" s="104"/>
      <c r="M358" s="75"/>
      <c r="N358" s="75"/>
      <c r="O358" s="75"/>
      <c r="P358" s="75"/>
      <c r="Q358" s="105"/>
      <c r="R358" s="105"/>
      <c r="S358" s="96"/>
      <c r="T358" s="109"/>
      <c r="U358" s="100"/>
      <c r="V358" s="110"/>
      <c r="W358" s="110"/>
      <c r="X358" s="100"/>
      <c r="Y358" s="100"/>
      <c r="Z358" s="100"/>
      <c r="AA358" s="110"/>
      <c r="AB358" s="110"/>
      <c r="AC358" s="100"/>
      <c r="AD358" s="109"/>
      <c r="AE358" s="109"/>
      <c r="AF358" s="109"/>
      <c r="AG358" s="108"/>
      <c r="AH358" s="109"/>
      <c r="AI358" s="108"/>
      <c r="AJ358" s="111"/>
      <c r="AK358" s="100"/>
      <c r="AL358" s="110"/>
      <c r="AM358" s="110"/>
      <c r="AN358" s="100"/>
      <c r="AO358" s="100"/>
      <c r="AP358" s="100"/>
      <c r="AQ358" s="100"/>
      <c r="AR358" s="100"/>
      <c r="AS358" s="100"/>
      <c r="AT358" s="100"/>
      <c r="AU358" s="111"/>
      <c r="AV358" s="111"/>
    </row>
    <row r="359" spans="1:48" ht="17" thickBot="1">
      <c r="A359" s="85" t="s">
        <v>4</v>
      </c>
      <c r="B359" s="541">
        <f>SUM(L359+M359+N359+O359+P359+U359+X359+Y359+Z359+AC359+AK359+AL359+AK359+AO359+AR359+AS359+AU359+AV359+AW359+AX359+AP359)</f>
        <v>0</v>
      </c>
      <c r="C359" s="217">
        <f>SUM(L359+M359+N359+O359+P359+U359+Y359+Z359+X359+AC359+AL359+AK359+AL359+AP359+AS359+AO359+AV359+AW359+AX359+AY359+AR359+AU359)</f>
        <v>0</v>
      </c>
      <c r="D359" s="144"/>
      <c r="E359" s="145"/>
      <c r="F359" s="146"/>
      <c r="G359" s="147"/>
      <c r="H359" s="684"/>
      <c r="I359" s="677"/>
      <c r="J359" s="114"/>
      <c r="K359" s="114"/>
      <c r="L359" s="113"/>
      <c r="M359" s="112"/>
      <c r="N359" s="112"/>
      <c r="O359" s="112"/>
      <c r="P359" s="112"/>
      <c r="Q359" s="127"/>
      <c r="R359" s="127"/>
      <c r="S359" s="114"/>
      <c r="T359" s="118"/>
      <c r="U359" s="116"/>
      <c r="V359" s="120"/>
      <c r="W359" s="120"/>
      <c r="X359" s="116"/>
      <c r="Y359" s="116"/>
      <c r="Z359" s="116"/>
      <c r="AA359" s="119"/>
      <c r="AB359" s="110"/>
      <c r="AC359" s="100"/>
      <c r="AD359" s="109"/>
      <c r="AE359" s="109"/>
      <c r="AF359" s="109"/>
      <c r="AG359" s="108"/>
      <c r="AH359" s="109"/>
      <c r="AI359" s="108"/>
      <c r="AJ359" s="111"/>
      <c r="AK359" s="100"/>
      <c r="AL359" s="110"/>
      <c r="AM359" s="110"/>
      <c r="AN359" s="100"/>
      <c r="AO359" s="100"/>
      <c r="AP359" s="100"/>
      <c r="AQ359" s="100"/>
      <c r="AR359" s="100"/>
      <c r="AS359" s="100"/>
      <c r="AT359" s="100"/>
      <c r="AU359" s="111"/>
      <c r="AV359" s="111"/>
    </row>
    <row r="360" spans="1:48" ht="21.1">
      <c r="A360" s="82" t="s">
        <v>98</v>
      </c>
      <c r="B360" s="539"/>
      <c r="C360" s="214"/>
      <c r="D360" s="133"/>
      <c r="E360" s="134"/>
      <c r="F360" s="135"/>
      <c r="G360" s="136"/>
      <c r="H360" s="683"/>
      <c r="I360" s="676"/>
      <c r="J360" s="96" t="s">
        <v>339</v>
      </c>
      <c r="K360" s="96" t="s">
        <v>339</v>
      </c>
      <c r="L360" s="104" t="s">
        <v>339</v>
      </c>
      <c r="M360" s="75" t="s">
        <v>339</v>
      </c>
      <c r="N360" s="75" t="s">
        <v>339</v>
      </c>
      <c r="O360" s="75" t="s">
        <v>339</v>
      </c>
      <c r="P360" s="75" t="s">
        <v>375</v>
      </c>
      <c r="Q360" s="105"/>
      <c r="R360" s="105"/>
      <c r="S360" s="96" t="s">
        <v>790</v>
      </c>
      <c r="T360" s="96" t="s">
        <v>790</v>
      </c>
      <c r="U360" s="100">
        <v>4</v>
      </c>
      <c r="V360" s="110">
        <v>6</v>
      </c>
      <c r="W360" s="110" t="s">
        <v>382</v>
      </c>
      <c r="X360" s="100"/>
      <c r="Y360" s="102" t="s">
        <v>382</v>
      </c>
      <c r="Z360" s="102">
        <v>6</v>
      </c>
      <c r="AA360" s="101">
        <v>6</v>
      </c>
      <c r="AB360" s="101" t="s">
        <v>382</v>
      </c>
      <c r="AC360" s="102"/>
      <c r="AD360" s="99"/>
      <c r="AE360" s="99"/>
      <c r="AF360" s="99"/>
      <c r="AG360" s="98"/>
      <c r="AH360" s="99">
        <v>6</v>
      </c>
      <c r="AI360" s="98"/>
      <c r="AJ360" s="103"/>
      <c r="AK360" s="102"/>
      <c r="AL360" s="101"/>
      <c r="AM360" s="101"/>
      <c r="AN360" s="102"/>
      <c r="AO360" s="102"/>
      <c r="AP360" s="102"/>
      <c r="AQ360" s="102"/>
      <c r="AR360" s="102"/>
      <c r="AS360" s="102"/>
      <c r="AT360" s="102"/>
      <c r="AU360" s="103"/>
      <c r="AV360" s="103"/>
    </row>
    <row r="361" spans="1:48" ht="16.3">
      <c r="A361" s="246" t="s">
        <v>1</v>
      </c>
      <c r="B361" s="538">
        <f>SUM(L361+M361+N361+O361+P361+U361+X361+Y361+Z361+AC361+AK361+AL361+AK361+AO361+AR361+AS361+AU361+AV361+AW361+AX361+AP361)+39</f>
        <v>42</v>
      </c>
      <c r="C361" s="215">
        <f>SUM(L361+M361+N361+O361+P361+U361+Y361+Z361+X361+AC361+AL361+AK361+AL361+AP361+AS361+AO361+AV361+AW361+AX361+AY361+AR361+AU361)+39</f>
        <v>42</v>
      </c>
      <c r="D361" s="133"/>
      <c r="E361" s="134"/>
      <c r="F361" s="135"/>
      <c r="G361" s="136"/>
      <c r="H361" s="683"/>
      <c r="I361" s="676"/>
      <c r="J361" s="96"/>
      <c r="K361" s="96"/>
      <c r="L361" s="104"/>
      <c r="M361" s="75"/>
      <c r="N361" s="75"/>
      <c r="O361" s="75"/>
      <c r="P361" s="75"/>
      <c r="Q361" s="105"/>
      <c r="R361" s="105"/>
      <c r="S361" s="96"/>
      <c r="T361" s="109"/>
      <c r="U361" s="100">
        <v>1</v>
      </c>
      <c r="V361" s="110">
        <v>1</v>
      </c>
      <c r="W361" s="110">
        <v>1</v>
      </c>
      <c r="X361" s="100"/>
      <c r="Y361" s="100">
        <v>1</v>
      </c>
      <c r="Z361" s="100">
        <v>1</v>
      </c>
      <c r="AA361" s="110">
        <v>1</v>
      </c>
      <c r="AB361" s="110">
        <v>1</v>
      </c>
      <c r="AC361" s="100"/>
      <c r="AD361" s="109"/>
      <c r="AE361" s="109"/>
      <c r="AF361" s="109"/>
      <c r="AG361" s="108"/>
      <c r="AH361" s="109">
        <v>1</v>
      </c>
      <c r="AI361" s="108"/>
      <c r="AJ361" s="111"/>
      <c r="AK361" s="100"/>
      <c r="AL361" s="110"/>
      <c r="AM361" s="110"/>
      <c r="AN361" s="100"/>
      <c r="AO361" s="100"/>
      <c r="AP361" s="100"/>
      <c r="AQ361" s="100"/>
      <c r="AR361" s="100"/>
      <c r="AS361" s="100"/>
      <c r="AT361" s="100"/>
      <c r="AU361" s="111"/>
      <c r="AV361" s="111"/>
    </row>
    <row r="362" spans="1:48" ht="16.3">
      <c r="A362" s="246" t="s">
        <v>2</v>
      </c>
      <c r="B362" s="538">
        <f>SUM(L362+M362+N362+O362+P362+U362+X362+Y362+Z362+AC362+AK362+AL362+AK362+AO362+AR362+AS362+AU362+AV362+AW362+AX362+AP362)+14</f>
        <v>15</v>
      </c>
      <c r="C362" s="215">
        <f>SUM(L362+M362+N362+O362+P362+U362+Y362+Z362+X362+AC362+AL362+AK362+AL362+AP362+AS362+AO362+AV362+AW362+AX362+AY362+AR362+AU362)+14</f>
        <v>15</v>
      </c>
      <c r="D362" s="133"/>
      <c r="E362" s="134"/>
      <c r="F362" s="135"/>
      <c r="G362" s="136"/>
      <c r="H362" s="683"/>
      <c r="I362" s="676"/>
      <c r="J362" s="96"/>
      <c r="K362" s="96"/>
      <c r="L362" s="104"/>
      <c r="M362" s="75"/>
      <c r="N362" s="75"/>
      <c r="O362" s="75"/>
      <c r="P362" s="75">
        <v>1</v>
      </c>
      <c r="Q362" s="105"/>
      <c r="R362" s="105"/>
      <c r="S362" s="96"/>
      <c r="T362" s="109"/>
      <c r="U362" s="100"/>
      <c r="V362" s="110"/>
      <c r="W362" s="110"/>
      <c r="X362" s="100"/>
      <c r="Y362" s="100"/>
      <c r="Z362" s="100"/>
      <c r="AA362" s="110"/>
      <c r="AB362" s="110"/>
      <c r="AC362" s="100"/>
      <c r="AD362" s="109"/>
      <c r="AE362" s="109"/>
      <c r="AF362" s="109"/>
      <c r="AG362" s="108"/>
      <c r="AH362" s="109"/>
      <c r="AI362" s="108"/>
      <c r="AJ362" s="111"/>
      <c r="AK362" s="100"/>
      <c r="AL362" s="110"/>
      <c r="AM362" s="110"/>
      <c r="AN362" s="100"/>
      <c r="AO362" s="100"/>
      <c r="AP362" s="100"/>
      <c r="AQ362" s="100"/>
      <c r="AR362" s="100"/>
      <c r="AS362" s="100"/>
      <c r="AT362" s="100"/>
      <c r="AU362" s="111"/>
      <c r="AV362" s="111"/>
    </row>
    <row r="363" spans="1:48" ht="16.3">
      <c r="A363" s="83" t="s">
        <v>363</v>
      </c>
      <c r="B363" s="539">
        <f t="shared" ref="B363:C363" si="61">SUM(B361+B362)</f>
        <v>57</v>
      </c>
      <c r="C363" s="214">
        <f t="shared" si="61"/>
        <v>57</v>
      </c>
      <c r="D363" s="133"/>
      <c r="E363" s="134"/>
      <c r="F363" s="135"/>
      <c r="G363" s="136"/>
      <c r="H363" s="683"/>
      <c r="I363" s="676"/>
      <c r="J363" s="96"/>
      <c r="K363" s="96"/>
      <c r="L363" s="104"/>
      <c r="M363" s="75"/>
      <c r="N363" s="75"/>
      <c r="O363" s="75"/>
      <c r="P363" s="75"/>
      <c r="Q363" s="105"/>
      <c r="R363" s="105"/>
      <c r="S363" s="96"/>
      <c r="T363" s="109"/>
      <c r="U363" s="100"/>
      <c r="V363" s="110"/>
      <c r="W363" s="110"/>
      <c r="X363" s="100"/>
      <c r="Y363" s="100"/>
      <c r="Z363" s="100"/>
      <c r="AA363" s="110"/>
      <c r="AB363" s="110"/>
      <c r="AC363" s="100"/>
      <c r="AD363" s="109"/>
      <c r="AE363" s="109"/>
      <c r="AF363" s="109"/>
      <c r="AG363" s="108"/>
      <c r="AH363" s="109"/>
      <c r="AI363" s="108"/>
      <c r="AJ363" s="111"/>
      <c r="AK363" s="100"/>
      <c r="AL363" s="110"/>
      <c r="AM363" s="110"/>
      <c r="AN363" s="100"/>
      <c r="AO363" s="100"/>
      <c r="AP363" s="100"/>
      <c r="AQ363" s="100"/>
      <c r="AR363" s="100"/>
      <c r="AS363" s="100"/>
      <c r="AT363" s="100"/>
      <c r="AU363" s="111"/>
      <c r="AV363" s="111"/>
    </row>
    <row r="364" spans="1:48" ht="16.3">
      <c r="A364" s="83" t="s">
        <v>3</v>
      </c>
      <c r="B364" s="539">
        <f>SUM(L364+M364+N364+O364+P364+U364+X364+Y364+Z364+AC364+AK364+AL364+AK364+AO364+AR364+AS364+AU364+AV364+AW364+AX364+AP364)+11</f>
        <v>14</v>
      </c>
      <c r="C364" s="214">
        <f>SUM(L364+M364+N364+O364+P364+U364+Y364+Z364+X364+AC364+AL364+AK364+AL364+AP364+AS364+AO364+AV364+AW364+AX364+AY364+AR364+AU364)+11</f>
        <v>14</v>
      </c>
      <c r="D364" s="133"/>
      <c r="E364" s="134"/>
      <c r="F364" s="135"/>
      <c r="G364" s="136"/>
      <c r="H364" s="683"/>
      <c r="I364" s="676"/>
      <c r="J364" s="96"/>
      <c r="K364" s="96"/>
      <c r="L364" s="104"/>
      <c r="M364" s="75"/>
      <c r="N364" s="75"/>
      <c r="O364" s="75"/>
      <c r="P364" s="75"/>
      <c r="Q364" s="105"/>
      <c r="R364" s="105"/>
      <c r="S364" s="96"/>
      <c r="T364" s="109"/>
      <c r="U364" s="100"/>
      <c r="V364" s="110"/>
      <c r="W364" s="110"/>
      <c r="X364" s="100"/>
      <c r="Y364" s="100">
        <v>2</v>
      </c>
      <c r="Z364" s="100">
        <v>1</v>
      </c>
      <c r="AA364" s="110"/>
      <c r="AB364" s="110"/>
      <c r="AC364" s="100"/>
      <c r="AD364" s="109"/>
      <c r="AE364" s="109"/>
      <c r="AF364" s="109"/>
      <c r="AG364" s="108"/>
      <c r="AH364" s="109"/>
      <c r="AI364" s="108"/>
      <c r="AJ364" s="111"/>
      <c r="AK364" s="100"/>
      <c r="AL364" s="110"/>
      <c r="AM364" s="110"/>
      <c r="AN364" s="100"/>
      <c r="AO364" s="100"/>
      <c r="AP364" s="100"/>
      <c r="AQ364" s="100"/>
      <c r="AR364" s="100"/>
      <c r="AS364" s="100"/>
      <c r="AT364" s="100"/>
      <c r="AU364" s="111"/>
      <c r="AV364" s="111"/>
    </row>
    <row r="365" spans="1:48" ht="17" thickBot="1">
      <c r="A365" s="85" t="s">
        <v>4</v>
      </c>
      <c r="B365" s="541">
        <f>SUM(L365+M365+N365+O365+P365+U365+X365+Y365+Z365+AC365+AK365+AL365+AK365+AO365+AR365+AS365+AU365+AV365+AW365+AX365+AP365)+55</f>
        <v>70</v>
      </c>
      <c r="C365" s="217">
        <f>SUM(L365+M365+N365+O365+P365+U365+Y365+Z365+X365+AC365+AL365+AK365+AL365+AP365+AS365+AO365+AV365+AW365+AX365+AY365+AR365+AU365)+55</f>
        <v>70</v>
      </c>
      <c r="D365" s="144"/>
      <c r="E365" s="145"/>
      <c r="F365" s="146"/>
      <c r="G365" s="147"/>
      <c r="H365" s="684"/>
      <c r="I365" s="677"/>
      <c r="J365" s="114"/>
      <c r="K365" s="114"/>
      <c r="L365" s="113"/>
      <c r="M365" s="112"/>
      <c r="N365" s="112"/>
      <c r="O365" s="112"/>
      <c r="P365" s="112"/>
      <c r="Q365" s="127"/>
      <c r="R365" s="127"/>
      <c r="S365" s="114"/>
      <c r="T365" s="118"/>
      <c r="U365" s="116"/>
      <c r="V365" s="119"/>
      <c r="W365" s="119"/>
      <c r="X365" s="100"/>
      <c r="Y365" s="100">
        <v>10</v>
      </c>
      <c r="Z365" s="100">
        <v>5</v>
      </c>
      <c r="AA365" s="110"/>
      <c r="AB365" s="110"/>
      <c r="AC365" s="100"/>
      <c r="AD365" s="109"/>
      <c r="AE365" s="109"/>
      <c r="AF365" s="109"/>
      <c r="AG365" s="108"/>
      <c r="AH365" s="109"/>
      <c r="AI365" s="108"/>
      <c r="AJ365" s="111"/>
      <c r="AK365" s="100"/>
      <c r="AL365" s="110"/>
      <c r="AM365" s="110"/>
      <c r="AN365" s="100"/>
      <c r="AO365" s="100"/>
      <c r="AP365" s="100"/>
      <c r="AQ365" s="100"/>
      <c r="AR365" s="100"/>
      <c r="AS365" s="100"/>
      <c r="AT365" s="100"/>
      <c r="AU365" s="111"/>
      <c r="AV365" s="111"/>
    </row>
    <row r="366" spans="1:48" ht="21.1">
      <c r="A366" s="82" t="s">
        <v>279</v>
      </c>
      <c r="B366" s="539"/>
      <c r="C366" s="214"/>
      <c r="D366" s="133"/>
      <c r="E366" s="134"/>
      <c r="F366" s="135"/>
      <c r="G366" s="136"/>
      <c r="H366" s="683"/>
      <c r="I366" s="676"/>
      <c r="J366" s="96" t="s">
        <v>394</v>
      </c>
      <c r="K366" s="96" t="s">
        <v>394</v>
      </c>
      <c r="L366" s="104" t="s">
        <v>394</v>
      </c>
      <c r="M366" s="75" t="s">
        <v>394</v>
      </c>
      <c r="N366" s="75" t="s">
        <v>375</v>
      </c>
      <c r="O366" s="75" t="s">
        <v>382</v>
      </c>
      <c r="P366" s="75" t="s">
        <v>382</v>
      </c>
      <c r="Q366" s="105"/>
      <c r="R366" s="105"/>
      <c r="S366" s="96" t="s">
        <v>394</v>
      </c>
      <c r="T366" s="109" t="s">
        <v>394</v>
      </c>
      <c r="U366" s="100" t="s">
        <v>382</v>
      </c>
      <c r="V366" s="110"/>
      <c r="W366" s="110"/>
      <c r="X366" s="102" t="s">
        <v>382</v>
      </c>
      <c r="Y366" s="102" t="s">
        <v>375</v>
      </c>
      <c r="Z366" s="102" t="s">
        <v>375</v>
      </c>
      <c r="AA366" s="101" t="s">
        <v>373</v>
      </c>
      <c r="AB366" s="101" t="s">
        <v>959</v>
      </c>
      <c r="AC366" s="102" t="s">
        <v>375</v>
      </c>
      <c r="AD366" s="99"/>
      <c r="AE366" s="99"/>
      <c r="AF366" s="99"/>
      <c r="AG366" s="98"/>
      <c r="AH366" s="99" t="s">
        <v>375</v>
      </c>
      <c r="AI366" s="98"/>
      <c r="AJ366" s="103"/>
      <c r="AK366" s="102"/>
      <c r="AL366" s="101"/>
      <c r="AM366" s="101"/>
      <c r="AN366" s="102"/>
      <c r="AO366" s="102"/>
      <c r="AP366" s="102"/>
      <c r="AQ366" s="102"/>
      <c r="AR366" s="102"/>
      <c r="AS366" s="102"/>
      <c r="AT366" s="102"/>
      <c r="AU366" s="103"/>
      <c r="AV366" s="103"/>
    </row>
    <row r="367" spans="1:48" ht="16.3">
      <c r="A367" s="246" t="s">
        <v>1</v>
      </c>
      <c r="B367" s="538">
        <f>SUM(L367+M367+N367+O367+P367+U367+X367+Y367+Z367+AC367+AK367+AL367+AK367+AO367+AR367+AS367+AU367+AV367+AW367+AX367+AP367)+24</f>
        <v>28</v>
      </c>
      <c r="C367" s="215">
        <f>SUM(L367+M367+N367+O367+P367+U367+Y367+Z367+X367+AC367+AL367+AK367+AL367+AP367+AS367+AO367+AV367+AW367+AX367+AY367+AR367+AU367)+38</f>
        <v>42</v>
      </c>
      <c r="D367" s="133"/>
      <c r="E367" s="134"/>
      <c r="F367" s="135"/>
      <c r="G367" s="136"/>
      <c r="H367" s="683"/>
      <c r="I367" s="676"/>
      <c r="J367" s="96"/>
      <c r="K367" s="96"/>
      <c r="L367" s="104"/>
      <c r="M367" s="75"/>
      <c r="N367" s="75"/>
      <c r="O367" s="75">
        <v>1</v>
      </c>
      <c r="P367" s="75">
        <v>1</v>
      </c>
      <c r="Q367" s="105"/>
      <c r="R367" s="105"/>
      <c r="S367" s="96"/>
      <c r="T367" s="109"/>
      <c r="U367" s="100">
        <v>1</v>
      </c>
      <c r="V367" s="110"/>
      <c r="W367" s="110"/>
      <c r="X367" s="100">
        <v>1</v>
      </c>
      <c r="Y367" s="100"/>
      <c r="Z367" s="100"/>
      <c r="AA367" s="110">
        <v>1</v>
      </c>
      <c r="AB367" s="110">
        <v>1</v>
      </c>
      <c r="AC367" s="100"/>
      <c r="AD367" s="109"/>
      <c r="AE367" s="109"/>
      <c r="AF367" s="109"/>
      <c r="AG367" s="108"/>
      <c r="AH367" s="109"/>
      <c r="AI367" s="108"/>
      <c r="AJ367" s="111"/>
      <c r="AK367" s="100"/>
      <c r="AL367" s="110"/>
      <c r="AM367" s="110"/>
      <c r="AN367" s="100"/>
      <c r="AO367" s="100"/>
      <c r="AP367" s="100"/>
      <c r="AQ367" s="100"/>
      <c r="AR367" s="100"/>
      <c r="AS367" s="100"/>
      <c r="AT367" s="100"/>
      <c r="AU367" s="111"/>
      <c r="AV367" s="111"/>
    </row>
    <row r="368" spans="1:48" ht="16.3">
      <c r="A368" s="246" t="s">
        <v>2</v>
      </c>
      <c r="B368" s="538">
        <f>SUM(L368+M368+N368+O368+P368+U368+X368+Y368+Z368+AC368+AK368+AL368+AK368+AO368+AR368+AS368+AU368+AV368+AW368+AX368+AP368)+4</f>
        <v>8</v>
      </c>
      <c r="C368" s="215">
        <f>SUM(L368+M368+N368+O368+P368+U368+Y368+Z368+X368+AC368+AL368+AK368+AL368+AP368+AS368+AO368+AV368+AW368+AX368+AY368+AR368+AU368)+17</f>
        <v>21</v>
      </c>
      <c r="D368" s="133"/>
      <c r="E368" s="134"/>
      <c r="F368" s="135"/>
      <c r="G368" s="136"/>
      <c r="H368" s="683"/>
      <c r="I368" s="676"/>
      <c r="J368" s="96"/>
      <c r="K368" s="96"/>
      <c r="L368" s="104"/>
      <c r="M368" s="75"/>
      <c r="N368" s="75">
        <v>1</v>
      </c>
      <c r="O368" s="75"/>
      <c r="P368" s="75"/>
      <c r="Q368" s="105"/>
      <c r="R368" s="105"/>
      <c r="S368" s="96"/>
      <c r="T368" s="109"/>
      <c r="U368" s="100"/>
      <c r="V368" s="110"/>
      <c r="W368" s="110"/>
      <c r="X368" s="100"/>
      <c r="Y368" s="100">
        <v>1</v>
      </c>
      <c r="Z368" s="100">
        <v>1</v>
      </c>
      <c r="AA368" s="110"/>
      <c r="AB368" s="110"/>
      <c r="AC368" s="100">
        <v>1</v>
      </c>
      <c r="AD368" s="109"/>
      <c r="AE368" s="109"/>
      <c r="AF368" s="109"/>
      <c r="AG368" s="108"/>
      <c r="AH368" s="109">
        <v>1</v>
      </c>
      <c r="AI368" s="108"/>
      <c r="AJ368" s="111"/>
      <c r="AK368" s="100"/>
      <c r="AL368" s="110"/>
      <c r="AM368" s="110"/>
      <c r="AN368" s="100"/>
      <c r="AO368" s="100"/>
      <c r="AP368" s="100"/>
      <c r="AQ368" s="100"/>
      <c r="AR368" s="100"/>
      <c r="AS368" s="100"/>
      <c r="AT368" s="100"/>
      <c r="AU368" s="111"/>
      <c r="AV368" s="111"/>
    </row>
    <row r="369" spans="1:48" ht="16.3">
      <c r="A369" s="87" t="s">
        <v>363</v>
      </c>
      <c r="B369" s="539">
        <f t="shared" ref="B369" si="62">SUM(B367+B368)</f>
        <v>36</v>
      </c>
      <c r="C369" s="214">
        <f t="shared" ref="C369" si="63">SUM(C367+C368)</f>
        <v>63</v>
      </c>
      <c r="D369" s="133"/>
      <c r="E369" s="134"/>
      <c r="F369" s="135"/>
      <c r="G369" s="136"/>
      <c r="H369" s="683"/>
      <c r="I369" s="676"/>
      <c r="J369" s="96"/>
      <c r="K369" s="96"/>
      <c r="L369" s="104"/>
      <c r="M369" s="75"/>
      <c r="N369" s="75"/>
      <c r="O369" s="75"/>
      <c r="P369" s="75"/>
      <c r="Q369" s="105"/>
      <c r="R369" s="105"/>
      <c r="S369" s="96"/>
      <c r="T369" s="109"/>
      <c r="U369" s="100"/>
      <c r="V369" s="110"/>
      <c r="W369" s="110"/>
      <c r="X369" s="100"/>
      <c r="Y369" s="100"/>
      <c r="Z369" s="100"/>
      <c r="AA369" s="110"/>
      <c r="AB369" s="110"/>
      <c r="AC369" s="100"/>
      <c r="AD369" s="109"/>
      <c r="AE369" s="109"/>
      <c r="AF369" s="109"/>
      <c r="AG369" s="108"/>
      <c r="AH369" s="109"/>
      <c r="AI369" s="108"/>
      <c r="AJ369" s="111"/>
      <c r="AK369" s="100"/>
      <c r="AL369" s="110"/>
      <c r="AM369" s="110"/>
      <c r="AN369" s="100"/>
      <c r="AO369" s="100"/>
      <c r="AP369" s="100"/>
      <c r="AQ369" s="100"/>
      <c r="AR369" s="100"/>
      <c r="AS369" s="100"/>
      <c r="AT369" s="100"/>
      <c r="AU369" s="111"/>
      <c r="AV369" s="111"/>
    </row>
    <row r="370" spans="1:48" ht="16.3">
      <c r="A370" s="246" t="s">
        <v>362</v>
      </c>
      <c r="B370" s="538">
        <f>SUM(L370+M370+N370+O370+P370+U370+X370+Y370+Z370+AC370+AK370+AL370+AK370+AO370+AR370+AS370+AU370+AV370+AW370+AX370+AP370)+1</f>
        <v>1</v>
      </c>
      <c r="C370" s="215">
        <f>SUM(L370+M370+N370+O370+P370+U370+Y370+Z370+X370+AC370+AL370+AK370+AL370+AP370+AS370+AO370+AV370+AW370+AX370+AY370+AR370+AU370)+1</f>
        <v>1</v>
      </c>
      <c r="D370" s="133"/>
      <c r="E370" s="134"/>
      <c r="F370" s="135"/>
      <c r="G370" s="136"/>
      <c r="H370" s="683"/>
      <c r="I370" s="676"/>
      <c r="J370" s="96"/>
      <c r="K370" s="96"/>
      <c r="L370" s="104"/>
      <c r="M370" s="75"/>
      <c r="N370" s="75"/>
      <c r="O370" s="75"/>
      <c r="P370" s="75"/>
      <c r="Q370" s="105"/>
      <c r="R370" s="105"/>
      <c r="S370" s="96"/>
      <c r="T370" s="109"/>
      <c r="U370" s="100"/>
      <c r="V370" s="110"/>
      <c r="W370" s="110"/>
      <c r="X370" s="100"/>
      <c r="Y370" s="100"/>
      <c r="Z370" s="100"/>
      <c r="AA370" s="110"/>
      <c r="AB370" s="110"/>
      <c r="AC370" s="100"/>
      <c r="AD370" s="109"/>
      <c r="AE370" s="109"/>
      <c r="AF370" s="109"/>
      <c r="AG370" s="108"/>
      <c r="AH370" s="109"/>
      <c r="AI370" s="108"/>
      <c r="AJ370" s="111"/>
      <c r="AK370" s="100"/>
      <c r="AL370" s="110"/>
      <c r="AM370" s="110"/>
      <c r="AN370" s="100"/>
      <c r="AO370" s="100"/>
      <c r="AP370" s="100"/>
      <c r="AQ370" s="100"/>
      <c r="AR370" s="100"/>
      <c r="AS370" s="100"/>
      <c r="AT370" s="100"/>
      <c r="AU370" s="111"/>
      <c r="AV370" s="111"/>
    </row>
    <row r="371" spans="1:48" ht="16.3">
      <c r="A371" s="87" t="s">
        <v>3</v>
      </c>
      <c r="B371" s="539">
        <f>SUM(L371+M371+N371+O371+P371+U371+X371+Y371+Z371+AC371+AK371+AL371+AK371+AO371+AR371+AS371+AU371+AV371+AW371+AX371+AP371)+13</f>
        <v>18</v>
      </c>
      <c r="C371" s="214">
        <f>SUM(L371+M371+N371+O371+P371+U371+Y371+Z371+X371+AC371+AL371+AK371+AL371+AP371+AS371+AO371+AV371+AW371+AX371+AY371+AR371+AU371)+16</f>
        <v>21</v>
      </c>
      <c r="D371" s="133"/>
      <c r="E371" s="134"/>
      <c r="F371" s="135"/>
      <c r="G371" s="136"/>
      <c r="H371" s="683"/>
      <c r="I371" s="676"/>
      <c r="J371" s="96"/>
      <c r="K371" s="96"/>
      <c r="L371" s="104"/>
      <c r="M371" s="75"/>
      <c r="N371" s="75"/>
      <c r="O371" s="75">
        <v>1</v>
      </c>
      <c r="P371" s="75">
        <v>1</v>
      </c>
      <c r="Q371" s="105"/>
      <c r="R371" s="105"/>
      <c r="S371" s="96"/>
      <c r="T371" s="109"/>
      <c r="U371" s="100">
        <v>2</v>
      </c>
      <c r="V371" s="110"/>
      <c r="W371" s="110"/>
      <c r="X371" s="100"/>
      <c r="Y371" s="100"/>
      <c r="Z371" s="100">
        <v>1</v>
      </c>
      <c r="AA371" s="110"/>
      <c r="AB371" s="110"/>
      <c r="AC371" s="100"/>
      <c r="AD371" s="109"/>
      <c r="AE371" s="109"/>
      <c r="AF371" s="109"/>
      <c r="AG371" s="108"/>
      <c r="AH371" s="109"/>
      <c r="AI371" s="108"/>
      <c r="AJ371" s="111"/>
      <c r="AK371" s="100"/>
      <c r="AL371" s="110"/>
      <c r="AM371" s="110"/>
      <c r="AN371" s="100"/>
      <c r="AO371" s="100"/>
      <c r="AP371" s="100"/>
      <c r="AQ371" s="150"/>
      <c r="AR371" s="100"/>
      <c r="AS371" s="100"/>
      <c r="AT371" s="100"/>
      <c r="AU371" s="111"/>
      <c r="AV371" s="111"/>
    </row>
    <row r="372" spans="1:48" ht="17" thickBot="1">
      <c r="A372" s="88" t="s">
        <v>4</v>
      </c>
      <c r="B372" s="541">
        <f>SUM(L372+M372+N372+O372+P372+U372+X372+Y372+Z372+AC372+AK372+AL372+AK372+AO372+AR372+AS372+AU372+AV372+AW372+AX372+AP372)+65</f>
        <v>90</v>
      </c>
      <c r="C372" s="217">
        <f>SUM(L372+M372+N372+O372+P372+U372+Y372+Z372+X372+AC372+AL372+AK372+AL372+AP372+AS372+AO372+AV372+AW372+AX372+AY372+AR372+AU372)+80</f>
        <v>105</v>
      </c>
      <c r="D372" s="144"/>
      <c r="E372" s="145"/>
      <c r="F372" s="146"/>
      <c r="G372" s="147"/>
      <c r="H372" s="684"/>
      <c r="I372" s="677"/>
      <c r="J372" s="114"/>
      <c r="K372" s="114"/>
      <c r="L372" s="113"/>
      <c r="M372" s="112"/>
      <c r="N372" s="112"/>
      <c r="O372" s="112">
        <v>5</v>
      </c>
      <c r="P372" s="112">
        <v>5</v>
      </c>
      <c r="Q372" s="127"/>
      <c r="R372" s="127"/>
      <c r="S372" s="114"/>
      <c r="T372" s="118"/>
      <c r="U372" s="116">
        <v>10</v>
      </c>
      <c r="V372" s="119"/>
      <c r="W372" s="119"/>
      <c r="X372" s="116"/>
      <c r="Y372" s="116"/>
      <c r="Z372" s="116">
        <v>5</v>
      </c>
      <c r="AA372" s="120"/>
      <c r="AB372" s="120"/>
      <c r="AC372" s="116"/>
      <c r="AD372" s="118"/>
      <c r="AE372" s="118"/>
      <c r="AF372" s="118"/>
      <c r="AG372" s="117"/>
      <c r="AH372" s="118"/>
      <c r="AI372" s="117"/>
      <c r="AJ372" s="121"/>
      <c r="AK372" s="116"/>
      <c r="AL372" s="120"/>
      <c r="AM372" s="120"/>
      <c r="AN372" s="116"/>
      <c r="AO372" s="116"/>
      <c r="AP372" s="116"/>
      <c r="AQ372" s="116"/>
      <c r="AR372" s="116"/>
      <c r="AS372" s="116"/>
      <c r="AT372" s="116"/>
      <c r="AU372" s="121"/>
      <c r="AV372" s="121"/>
    </row>
    <row r="373" spans="1:48" ht="21.1">
      <c r="A373" s="82" t="s">
        <v>239</v>
      </c>
      <c r="B373" s="539"/>
      <c r="C373" s="214"/>
      <c r="D373" s="133"/>
      <c r="E373" s="134"/>
      <c r="F373" s="135"/>
      <c r="G373" s="136"/>
      <c r="H373" s="683"/>
      <c r="I373" s="676"/>
      <c r="J373" s="96" t="s">
        <v>501</v>
      </c>
      <c r="K373" s="96"/>
      <c r="L373" s="104">
        <v>8</v>
      </c>
      <c r="M373" s="75" t="s">
        <v>374</v>
      </c>
      <c r="N373" s="75">
        <v>8</v>
      </c>
      <c r="O373" s="75">
        <v>8</v>
      </c>
      <c r="P373" s="75" t="s">
        <v>374</v>
      </c>
      <c r="Q373" s="105"/>
      <c r="R373" s="105"/>
      <c r="S373" s="96">
        <v>8</v>
      </c>
      <c r="T373" s="109"/>
      <c r="U373" s="100" t="s">
        <v>374</v>
      </c>
      <c r="V373" s="110" t="s">
        <v>374</v>
      </c>
      <c r="W373" s="110">
        <v>8</v>
      </c>
      <c r="X373" s="100" t="s">
        <v>374</v>
      </c>
      <c r="Y373" s="100" t="s">
        <v>912</v>
      </c>
      <c r="Z373" s="100">
        <v>8</v>
      </c>
      <c r="AA373" s="110" t="s">
        <v>944</v>
      </c>
      <c r="AB373" s="110" t="s">
        <v>375</v>
      </c>
      <c r="AC373" s="100" t="s">
        <v>374</v>
      </c>
      <c r="AD373" s="109"/>
      <c r="AE373" s="109">
        <v>8</v>
      </c>
      <c r="AF373" s="109"/>
      <c r="AG373" s="108"/>
      <c r="AH373" s="109"/>
      <c r="AI373" s="108"/>
      <c r="AJ373" s="111"/>
      <c r="AK373" s="100"/>
      <c r="AL373" s="110"/>
      <c r="AM373" s="110"/>
      <c r="AN373" s="100"/>
      <c r="AO373" s="100"/>
      <c r="AP373" s="100"/>
      <c r="AQ373" s="100"/>
      <c r="AR373" s="100"/>
      <c r="AS373" s="100"/>
      <c r="AT373" s="100"/>
      <c r="AU373" s="111"/>
      <c r="AV373" s="111"/>
    </row>
    <row r="374" spans="1:48" ht="16.3">
      <c r="A374" s="234" t="s">
        <v>1</v>
      </c>
      <c r="B374" s="538">
        <f>SUM(L374+M374+N374+O374+P374+U374+X374+Y374+Z374+AC374+AK374+AL374+AK374+AO374+AR374+AS374+AU374+AV374+AW374+AX374+AP374)+23</f>
        <v>33</v>
      </c>
      <c r="C374" s="215">
        <f>SUM(L374+M374+N374+O374+P374+U374+Y374+Z374+X374+AC374+AL374+AK374+AL374+AP374+AS374+AO374+AV374+AW374+AX374+AY374+AR374+AU374)+61</f>
        <v>71</v>
      </c>
      <c r="D374" s="133"/>
      <c r="E374" s="134"/>
      <c r="F374" s="135"/>
      <c r="G374" s="136"/>
      <c r="H374" s="683"/>
      <c r="I374" s="676"/>
      <c r="J374" s="96"/>
      <c r="K374" s="96"/>
      <c r="L374" s="104">
        <v>1</v>
      </c>
      <c r="M374" s="75">
        <v>1</v>
      </c>
      <c r="N374" s="75">
        <v>1</v>
      </c>
      <c r="O374" s="75">
        <v>1</v>
      </c>
      <c r="P374" s="75">
        <v>1</v>
      </c>
      <c r="Q374" s="105"/>
      <c r="R374" s="105"/>
      <c r="S374" s="96">
        <v>1</v>
      </c>
      <c r="T374" s="109"/>
      <c r="U374" s="100">
        <v>1</v>
      </c>
      <c r="V374" s="110">
        <v>1</v>
      </c>
      <c r="W374" s="110">
        <v>1</v>
      </c>
      <c r="X374" s="100">
        <v>1</v>
      </c>
      <c r="Y374" s="100">
        <v>1</v>
      </c>
      <c r="Z374" s="100">
        <v>1</v>
      </c>
      <c r="AA374" s="110">
        <v>1</v>
      </c>
      <c r="AB374" s="110"/>
      <c r="AC374" s="100">
        <v>1</v>
      </c>
      <c r="AD374" s="109"/>
      <c r="AE374" s="109">
        <v>1</v>
      </c>
      <c r="AF374" s="109"/>
      <c r="AG374" s="108"/>
      <c r="AH374" s="109"/>
      <c r="AI374" s="108"/>
      <c r="AJ374" s="111"/>
      <c r="AK374" s="100"/>
      <c r="AL374" s="110"/>
      <c r="AM374" s="110"/>
      <c r="AN374" s="100"/>
      <c r="AO374" s="100"/>
      <c r="AP374" s="100"/>
      <c r="AQ374" s="100"/>
      <c r="AR374" s="100"/>
      <c r="AS374" s="100"/>
      <c r="AT374" s="100"/>
      <c r="AU374" s="111"/>
      <c r="AV374" s="111"/>
    </row>
    <row r="375" spans="1:48" ht="16.3">
      <c r="A375" s="234" t="s">
        <v>2</v>
      </c>
      <c r="B375" s="538">
        <f>SUM(L375+M375+N375+O375+P375+U375+X375+Y375+Z375+AC375+AK375+AL375+AK375+AO375+AR375+AS375+AU375+AV375+AW375+AX375+AP375)+7</f>
        <v>7</v>
      </c>
      <c r="C375" s="215">
        <f>SUM(L375+M375+N375+O375+P375+U375+Y375+Z375+X375+AC375+AL375+AK375+AL375+AP375+AS375+AO375+AV375+AW375+AX375+AY375+AR375+AU375)+20</f>
        <v>20</v>
      </c>
      <c r="D375" s="133"/>
      <c r="E375" s="134"/>
      <c r="F375" s="135"/>
      <c r="G375" s="136"/>
      <c r="H375" s="683"/>
      <c r="I375" s="676"/>
      <c r="J375" s="96"/>
      <c r="K375" s="96"/>
      <c r="L375" s="104"/>
      <c r="M375" s="75"/>
      <c r="N375" s="75"/>
      <c r="O375" s="75"/>
      <c r="P375" s="75"/>
      <c r="Q375" s="105"/>
      <c r="R375" s="105"/>
      <c r="S375" s="96"/>
      <c r="T375" s="109"/>
      <c r="U375" s="100"/>
      <c r="V375" s="110"/>
      <c r="W375" s="110"/>
      <c r="X375" s="100"/>
      <c r="Y375" s="100"/>
      <c r="Z375" s="100"/>
      <c r="AA375" s="110"/>
      <c r="AB375" s="110">
        <v>1</v>
      </c>
      <c r="AC375" s="100"/>
      <c r="AD375" s="109"/>
      <c r="AE375" s="109"/>
      <c r="AF375" s="109"/>
      <c r="AG375" s="108"/>
      <c r="AH375" s="109"/>
      <c r="AI375" s="108"/>
      <c r="AJ375" s="111"/>
      <c r="AK375" s="100"/>
      <c r="AL375" s="110"/>
      <c r="AM375" s="110"/>
      <c r="AN375" s="100"/>
      <c r="AO375" s="100"/>
      <c r="AP375" s="100"/>
      <c r="AQ375" s="100"/>
      <c r="AR375" s="100"/>
      <c r="AS375" s="100"/>
      <c r="AT375" s="100"/>
      <c r="AU375" s="111"/>
      <c r="AV375" s="111"/>
    </row>
    <row r="376" spans="1:48" ht="16.3">
      <c r="A376" s="87" t="s">
        <v>363</v>
      </c>
      <c r="B376" s="539">
        <f t="shared" ref="B376" si="64">SUM(B374+B375)</f>
        <v>40</v>
      </c>
      <c r="C376" s="214">
        <f t="shared" ref="C376" si="65">SUM(C374+C375)</f>
        <v>91</v>
      </c>
      <c r="D376" s="133"/>
      <c r="E376" s="134"/>
      <c r="F376" s="135"/>
      <c r="G376" s="136"/>
      <c r="H376" s="683"/>
      <c r="I376" s="676"/>
      <c r="J376" s="96"/>
      <c r="K376" s="96"/>
      <c r="L376" s="104"/>
      <c r="M376" s="75"/>
      <c r="N376" s="75"/>
      <c r="O376" s="75"/>
      <c r="P376" s="75"/>
      <c r="Q376" s="105"/>
      <c r="R376" s="105"/>
      <c r="S376" s="96"/>
      <c r="T376" s="109"/>
      <c r="U376" s="100"/>
      <c r="V376" s="110"/>
      <c r="W376" s="110"/>
      <c r="X376" s="100"/>
      <c r="Y376" s="100"/>
      <c r="Z376" s="100"/>
      <c r="AA376" s="110"/>
      <c r="AB376" s="110"/>
      <c r="AC376" s="100"/>
      <c r="AD376" s="109"/>
      <c r="AE376" s="109"/>
      <c r="AF376" s="109"/>
      <c r="AG376" s="108"/>
      <c r="AH376" s="109"/>
      <c r="AI376" s="108"/>
      <c r="AJ376" s="111"/>
      <c r="AK376" s="100"/>
      <c r="AL376" s="110"/>
      <c r="AM376" s="110"/>
      <c r="AN376" s="100"/>
      <c r="AO376" s="100"/>
      <c r="AP376" s="100"/>
      <c r="AQ376" s="100"/>
      <c r="AR376" s="100"/>
      <c r="AS376" s="100"/>
      <c r="AT376" s="100"/>
      <c r="AU376" s="111"/>
      <c r="AV376" s="111"/>
    </row>
    <row r="377" spans="1:48" ht="16.3">
      <c r="A377" s="234" t="s">
        <v>362</v>
      </c>
      <c r="B377" s="538">
        <f>SUM(L377+M377+N377+O377+P377+U377+X377+Y377+Z377+AC377+AK377+AL377+AK377+AO377+AR377+AS377+AU377+AV377+AW377+AX377+AP377)</f>
        <v>0</v>
      </c>
      <c r="C377" s="215">
        <f>SUM(L377+M377+N377+O377+P377+U377+Y377+Z377+X377+AC377+AL377+AK377+AL377+AP377+AS377+AO377+AV377+AW377+AX377+AY377+AR377+AU377)+2</f>
        <v>2</v>
      </c>
      <c r="D377" s="133"/>
      <c r="E377" s="134"/>
      <c r="F377" s="135"/>
      <c r="G377" s="136"/>
      <c r="H377" s="683"/>
      <c r="I377" s="676"/>
      <c r="J377" s="96"/>
      <c r="K377" s="96"/>
      <c r="L377" s="104"/>
      <c r="M377" s="75"/>
      <c r="N377" s="75"/>
      <c r="O377" s="75"/>
      <c r="P377" s="75"/>
      <c r="Q377" s="105"/>
      <c r="R377" s="105"/>
      <c r="S377" s="96"/>
      <c r="T377" s="109"/>
      <c r="U377" s="100"/>
      <c r="V377" s="110"/>
      <c r="W377" s="110"/>
      <c r="X377" s="100"/>
      <c r="Y377" s="100"/>
      <c r="Z377" s="100"/>
      <c r="AA377" s="110"/>
      <c r="AB377" s="110"/>
      <c r="AC377" s="100"/>
      <c r="AD377" s="109"/>
      <c r="AE377" s="109"/>
      <c r="AF377" s="109"/>
      <c r="AG377" s="108"/>
      <c r="AH377" s="109"/>
      <c r="AI377" s="108"/>
      <c r="AJ377" s="111"/>
      <c r="AK377" s="100"/>
      <c r="AL377" s="110"/>
      <c r="AM377" s="110"/>
      <c r="AN377" s="100"/>
      <c r="AO377" s="100"/>
      <c r="AP377" s="100"/>
      <c r="AQ377" s="100"/>
      <c r="AR377" s="100"/>
      <c r="AS377" s="100"/>
      <c r="AT377" s="100"/>
      <c r="AU377" s="111"/>
      <c r="AV377" s="111"/>
    </row>
    <row r="378" spans="1:48" ht="16.3">
      <c r="A378" s="87" t="s">
        <v>3</v>
      </c>
      <c r="B378" s="539">
        <f>SUM(L378+M378+N378+O378+P378+U378+X378+Y378+Z378+AC378+AK378+AL378+AK378+AO378+AR378+AS378+AU378+AV378+AW378+AX378+AP378)+10</f>
        <v>10</v>
      </c>
      <c r="C378" s="214">
        <f>SUM(L378+M378+N378+O378+P378+U378+Y378+Z378+X378+AC378+AL378+AK378+AL378+AP378+AS378+AO378+AV378+AW378+AX378+AY378+AR378+AU378)+28</f>
        <v>28</v>
      </c>
      <c r="D378" s="133"/>
      <c r="E378" s="134"/>
      <c r="F378" s="135"/>
      <c r="G378" s="136"/>
      <c r="H378" s="683"/>
      <c r="I378" s="676"/>
      <c r="J378" s="96"/>
      <c r="K378" s="96"/>
      <c r="L378" s="104"/>
      <c r="M378" s="75"/>
      <c r="N378" s="75"/>
      <c r="O378" s="75"/>
      <c r="P378" s="75"/>
      <c r="Q378" s="105"/>
      <c r="R378" s="105"/>
      <c r="S378" s="96"/>
      <c r="T378" s="109"/>
      <c r="U378" s="100"/>
      <c r="V378" s="110"/>
      <c r="W378" s="110">
        <v>1</v>
      </c>
      <c r="X378" s="100"/>
      <c r="Y378" s="100"/>
      <c r="Z378" s="100"/>
      <c r="AA378" s="110">
        <v>1</v>
      </c>
      <c r="AB378" s="110"/>
      <c r="AC378" s="100"/>
      <c r="AD378" s="109"/>
      <c r="AE378" s="109">
        <v>1</v>
      </c>
      <c r="AF378" s="109"/>
      <c r="AG378" s="108"/>
      <c r="AH378" s="109"/>
      <c r="AI378" s="108"/>
      <c r="AJ378" s="111"/>
      <c r="AK378" s="100"/>
      <c r="AL378" s="110"/>
      <c r="AM378" s="110"/>
      <c r="AN378" s="100"/>
      <c r="AO378" s="100"/>
      <c r="AP378" s="100"/>
      <c r="AQ378" s="100"/>
      <c r="AR378" s="100"/>
      <c r="AS378" s="100"/>
      <c r="AT378" s="100"/>
      <c r="AU378" s="111"/>
      <c r="AV378" s="111"/>
    </row>
    <row r="379" spans="1:48" ht="17" thickBot="1">
      <c r="A379" s="88" t="s">
        <v>4</v>
      </c>
      <c r="B379" s="541">
        <f>SUM(L379+M379+N379+O379+P379+U379+X379+Y379+Z379+AC379+AK379+AL379+AK379+AO379+AR379+AS379+AU379+AV379+AW379+AX379+AP379)+50</f>
        <v>50</v>
      </c>
      <c r="C379" s="217">
        <f>SUM(L379+M379+N379+O379+P379+U379+Y379+Z379+X379+AC379+AL379+AK379+AL379+AP379+AS379+AO379+AV379+AW379+AX379+AY379+AR379+AU379)+140</f>
        <v>140</v>
      </c>
      <c r="D379" s="144"/>
      <c r="E379" s="145"/>
      <c r="F379" s="146"/>
      <c r="G379" s="147"/>
      <c r="H379" s="684"/>
      <c r="I379" s="677"/>
      <c r="J379" s="114"/>
      <c r="K379" s="114"/>
      <c r="L379" s="113"/>
      <c r="M379" s="112"/>
      <c r="N379" s="112"/>
      <c r="O379" s="112"/>
      <c r="P379" s="112"/>
      <c r="Q379" s="127"/>
      <c r="R379" s="127"/>
      <c r="S379" s="114"/>
      <c r="T379" s="118"/>
      <c r="U379" s="116"/>
      <c r="V379" s="120"/>
      <c r="W379" s="120">
        <v>5</v>
      </c>
      <c r="X379" s="116"/>
      <c r="Y379" s="116"/>
      <c r="Z379" s="112"/>
      <c r="AA379" s="110">
        <v>5</v>
      </c>
      <c r="AB379" s="110"/>
      <c r="AC379" s="100"/>
      <c r="AD379" s="109"/>
      <c r="AE379" s="109">
        <v>5</v>
      </c>
      <c r="AF379" s="109"/>
      <c r="AG379" s="108"/>
      <c r="AH379" s="109"/>
      <c r="AI379" s="108"/>
      <c r="AJ379" s="111"/>
      <c r="AK379" s="100"/>
      <c r="AL379" s="110"/>
      <c r="AM379" s="110"/>
      <c r="AN379" s="100"/>
      <c r="AO379" s="100"/>
      <c r="AP379" s="100"/>
      <c r="AQ379" s="100"/>
      <c r="AR379" s="100"/>
      <c r="AS379" s="100"/>
      <c r="AT379" s="100"/>
      <c r="AU379" s="111"/>
      <c r="AV379" s="111"/>
    </row>
    <row r="380" spans="1:48" ht="21.1">
      <c r="A380" s="82" t="s">
        <v>169</v>
      </c>
      <c r="B380" s="539"/>
      <c r="C380" s="214"/>
      <c r="D380" s="133"/>
      <c r="E380" s="134"/>
      <c r="F380" s="135"/>
      <c r="G380" s="136"/>
      <c r="H380" s="683"/>
      <c r="I380" s="676"/>
      <c r="J380" s="96" t="s">
        <v>339</v>
      </c>
      <c r="K380" s="96" t="s">
        <v>339</v>
      </c>
      <c r="L380" s="104" t="s">
        <v>339</v>
      </c>
      <c r="M380" s="75" t="s">
        <v>339</v>
      </c>
      <c r="N380" s="75" t="s">
        <v>339</v>
      </c>
      <c r="O380" s="75" t="s">
        <v>339</v>
      </c>
      <c r="P380" s="75" t="s">
        <v>339</v>
      </c>
      <c r="Q380" s="105"/>
      <c r="R380" s="105"/>
      <c r="S380" s="96" t="s">
        <v>339</v>
      </c>
      <c r="T380" s="109" t="s">
        <v>339</v>
      </c>
      <c r="U380" s="100" t="s">
        <v>339</v>
      </c>
      <c r="V380" s="110" t="s">
        <v>339</v>
      </c>
      <c r="W380" s="110" t="s">
        <v>339</v>
      </c>
      <c r="X380" s="100" t="s">
        <v>339</v>
      </c>
      <c r="Y380" s="100" t="s">
        <v>339</v>
      </c>
      <c r="Z380" s="100" t="s">
        <v>339</v>
      </c>
      <c r="AA380" s="101" t="s">
        <v>339</v>
      </c>
      <c r="AB380" s="101" t="s">
        <v>339</v>
      </c>
      <c r="AC380" s="102" t="s">
        <v>339</v>
      </c>
      <c r="AD380" s="99" t="s">
        <v>339</v>
      </c>
      <c r="AE380" s="99" t="s">
        <v>339</v>
      </c>
      <c r="AF380" s="99" t="s">
        <v>339</v>
      </c>
      <c r="AG380" s="98"/>
      <c r="AH380" s="99" t="s">
        <v>339</v>
      </c>
      <c r="AI380" s="98"/>
      <c r="AJ380" s="103"/>
      <c r="AK380" s="102"/>
      <c r="AL380" s="101"/>
      <c r="AM380" s="101"/>
      <c r="AN380" s="102"/>
      <c r="AO380" s="102"/>
      <c r="AP380" s="102"/>
      <c r="AQ380" s="102"/>
      <c r="AR380" s="102"/>
      <c r="AS380" s="102"/>
      <c r="AT380" s="102"/>
      <c r="AU380" s="103"/>
      <c r="AV380" s="103"/>
    </row>
    <row r="381" spans="1:48" ht="16.3">
      <c r="A381" s="246" t="s">
        <v>1</v>
      </c>
      <c r="B381" s="538">
        <f>SUM(L381+M381+N381+O381+P381+U381+X381+Y381+Z381+AC381+AK381+AL381+AK381+AO381+AR381+AS381+AU381+AV381+AW381+AX381+AP381)+10</f>
        <v>10</v>
      </c>
      <c r="C381" s="215">
        <f>SUM(L381+M381+N381+O381+P381+U381+Y381+Z381+X381+AC381+AL381+AK381+AL381+AP381+AS381+AO381+AV381+AW381+AX381+AY381+AR381+AU381)+10</f>
        <v>10</v>
      </c>
      <c r="D381" s="133"/>
      <c r="E381" s="134"/>
      <c r="F381" s="135"/>
      <c r="G381" s="136"/>
      <c r="H381" s="683"/>
      <c r="I381" s="676"/>
      <c r="J381" s="96"/>
      <c r="K381" s="96"/>
      <c r="L381" s="104"/>
      <c r="M381" s="75"/>
      <c r="N381" s="75"/>
      <c r="O381" s="75"/>
      <c r="P381" s="75"/>
      <c r="Q381" s="105"/>
      <c r="R381" s="105"/>
      <c r="S381" s="96"/>
      <c r="T381" s="96"/>
      <c r="U381" s="75"/>
      <c r="V381" s="106"/>
      <c r="W381" s="106"/>
      <c r="X381" s="75"/>
      <c r="Y381" s="75"/>
      <c r="Z381" s="75"/>
      <c r="AA381" s="106"/>
      <c r="AB381" s="106"/>
      <c r="AC381" s="75"/>
      <c r="AD381" s="96"/>
      <c r="AE381" s="96"/>
      <c r="AF381" s="96"/>
      <c r="AG381" s="105"/>
      <c r="AH381" s="96"/>
      <c r="AI381" s="105"/>
      <c r="AJ381" s="107"/>
      <c r="AK381" s="75"/>
      <c r="AL381" s="106"/>
      <c r="AM381" s="106"/>
      <c r="AN381" s="75"/>
      <c r="AO381" s="75"/>
      <c r="AP381" s="75"/>
      <c r="AQ381" s="75"/>
      <c r="AR381" s="75"/>
      <c r="AS381" s="75"/>
      <c r="AT381" s="75"/>
      <c r="AU381" s="107"/>
      <c r="AV381" s="107"/>
    </row>
    <row r="382" spans="1:48" ht="16.3">
      <c r="A382" s="246" t="s">
        <v>2</v>
      </c>
      <c r="B382" s="538">
        <f>SUM(L382+M382+N382+O382+P382+U382+X382+Y382+Z382+AC382+AK382+AL382+AK382+AO382+AR382+AS382+AU382+AV382+AW382+AX382+AP382)+16</f>
        <v>16</v>
      </c>
      <c r="C382" s="215">
        <f>SUM(L382+M382+N382+O382+P382+U382+Y382+Z382+X382+AC382+AL382+AK382+AL382+AP382+AS382+AO382+AV382+AW382+AX382+AY382+AR382+AU382)+16</f>
        <v>16</v>
      </c>
      <c r="D382" s="133"/>
      <c r="E382" s="134"/>
      <c r="F382" s="135"/>
      <c r="G382" s="136"/>
      <c r="H382" s="683"/>
      <c r="I382" s="676"/>
      <c r="J382" s="96"/>
      <c r="K382" s="96"/>
      <c r="L382" s="104"/>
      <c r="M382" s="75"/>
      <c r="N382" s="75"/>
      <c r="O382" s="75"/>
      <c r="P382" s="75"/>
      <c r="Q382" s="105"/>
      <c r="R382" s="105"/>
      <c r="S382" s="96"/>
      <c r="T382" s="109"/>
      <c r="U382" s="100"/>
      <c r="V382" s="110"/>
      <c r="W382" s="110"/>
      <c r="X382" s="100"/>
      <c r="Y382" s="100"/>
      <c r="Z382" s="100"/>
      <c r="AA382" s="110"/>
      <c r="AB382" s="110"/>
      <c r="AC382" s="100"/>
      <c r="AD382" s="109"/>
      <c r="AE382" s="109"/>
      <c r="AF382" s="109"/>
      <c r="AG382" s="108"/>
      <c r="AH382" s="109"/>
      <c r="AI382" s="108"/>
      <c r="AJ382" s="111"/>
      <c r="AK382" s="100"/>
      <c r="AL382" s="110"/>
      <c r="AM382" s="110"/>
      <c r="AN382" s="100"/>
      <c r="AO382" s="100"/>
      <c r="AP382" s="100"/>
      <c r="AQ382" s="100"/>
      <c r="AR382" s="100"/>
      <c r="AS382" s="100"/>
      <c r="AT382" s="100"/>
      <c r="AU382" s="111"/>
      <c r="AV382" s="111"/>
    </row>
    <row r="383" spans="1:48" ht="16.3">
      <c r="A383" s="83" t="s">
        <v>363</v>
      </c>
      <c r="B383" s="539">
        <f t="shared" ref="B383" si="66">SUM(B381+B382)</f>
        <v>26</v>
      </c>
      <c r="C383" s="214">
        <f t="shared" ref="C383" si="67">SUM(C381+C382)</f>
        <v>26</v>
      </c>
      <c r="D383" s="133"/>
      <c r="E383" s="134"/>
      <c r="F383" s="135"/>
      <c r="G383" s="136"/>
      <c r="H383" s="683"/>
      <c r="I383" s="676"/>
      <c r="J383" s="96"/>
      <c r="K383" s="96"/>
      <c r="L383" s="104"/>
      <c r="M383" s="75"/>
      <c r="N383" s="75"/>
      <c r="O383" s="75"/>
      <c r="P383" s="75"/>
      <c r="Q383" s="105"/>
      <c r="R383" s="105"/>
      <c r="S383" s="96"/>
      <c r="T383" s="109"/>
      <c r="U383" s="100"/>
      <c r="V383" s="110"/>
      <c r="W383" s="110"/>
      <c r="X383" s="100"/>
      <c r="Y383" s="100"/>
      <c r="Z383" s="100"/>
      <c r="AA383" s="110"/>
      <c r="AB383" s="110"/>
      <c r="AC383" s="100"/>
      <c r="AD383" s="109"/>
      <c r="AE383" s="109"/>
      <c r="AF383" s="109"/>
      <c r="AG383" s="108"/>
      <c r="AH383" s="109"/>
      <c r="AI383" s="108"/>
      <c r="AJ383" s="111"/>
      <c r="AK383" s="100"/>
      <c r="AL383" s="110"/>
      <c r="AM383" s="110"/>
      <c r="AN383" s="100"/>
      <c r="AO383" s="100"/>
      <c r="AP383" s="100"/>
      <c r="AQ383" s="100"/>
      <c r="AR383" s="100"/>
      <c r="AS383" s="100"/>
      <c r="AT383" s="100"/>
      <c r="AU383" s="111"/>
      <c r="AV383" s="111"/>
    </row>
    <row r="384" spans="1:48" ht="16.3">
      <c r="A384" s="246" t="s">
        <v>364</v>
      </c>
      <c r="B384" s="538">
        <f>SUM(L384+M384+N384+O384+P384+U384+X384+Y384+Z384+AC384+AK384+AL384+AK384+AO384+AR384+AS384+AU384+AV384+AW384+AX384+AP384)+1</f>
        <v>1</v>
      </c>
      <c r="C384" s="215">
        <f>SUM(L384+M384+N384+O384+P384+U384+Y384+Z384+X384+AC384+AL384+AK384+AL384+AP384+AS384+AO384+AV384+AW384+AX384+AY384+AR384+AU384)+1</f>
        <v>1</v>
      </c>
      <c r="D384" s="133"/>
      <c r="E384" s="134"/>
      <c r="F384" s="135"/>
      <c r="G384" s="136"/>
      <c r="H384" s="683"/>
      <c r="I384" s="676"/>
      <c r="J384" s="96"/>
      <c r="K384" s="96"/>
      <c r="L384" s="104"/>
      <c r="M384" s="75"/>
      <c r="N384" s="75"/>
      <c r="O384" s="75"/>
      <c r="P384" s="75"/>
      <c r="Q384" s="105"/>
      <c r="R384" s="105"/>
      <c r="S384" s="96"/>
      <c r="T384" s="109"/>
      <c r="U384" s="100"/>
      <c r="V384" s="110"/>
      <c r="W384" s="110"/>
      <c r="X384" s="100"/>
      <c r="Y384" s="100"/>
      <c r="Z384" s="100"/>
      <c r="AA384" s="110"/>
      <c r="AB384" s="110"/>
      <c r="AC384" s="100"/>
      <c r="AD384" s="109"/>
      <c r="AE384" s="109"/>
      <c r="AF384" s="109"/>
      <c r="AG384" s="108"/>
      <c r="AH384" s="109"/>
      <c r="AI384" s="108"/>
      <c r="AJ384" s="111"/>
      <c r="AK384" s="100"/>
      <c r="AL384" s="110"/>
      <c r="AM384" s="110"/>
      <c r="AN384" s="100"/>
      <c r="AO384" s="100"/>
      <c r="AP384" s="100"/>
      <c r="AQ384" s="100"/>
      <c r="AR384" s="100"/>
      <c r="AS384" s="100"/>
      <c r="AT384" s="100"/>
      <c r="AU384" s="111"/>
      <c r="AV384" s="111"/>
    </row>
    <row r="385" spans="1:48" ht="16.3">
      <c r="A385" s="83" t="s">
        <v>3</v>
      </c>
      <c r="B385" s="539">
        <f>SUM(L385+M385+N385+O385+P385+U385+X385+Y385+Z385+AC385+AK385+AL385+AK385+AO385+AR385+AS385+AU385+AV385+AW385+AX385+AP385)+1</f>
        <v>1</v>
      </c>
      <c r="C385" s="214">
        <f>SUM(L385+M385+N385+O385+P385+U385+Y385+Z385+X385+AC385+AL385+AK385+AL385+AP385+AS385+AO385+AV385+AW385+AX385+AY385+AR385+AU385)+1</f>
        <v>1</v>
      </c>
      <c r="D385" s="133"/>
      <c r="E385" s="134"/>
      <c r="F385" s="135"/>
      <c r="G385" s="136"/>
      <c r="H385" s="683"/>
      <c r="I385" s="676"/>
      <c r="J385" s="96"/>
      <c r="K385" s="96"/>
      <c r="L385" s="104"/>
      <c r="M385" s="75"/>
      <c r="N385" s="75"/>
      <c r="O385" s="75"/>
      <c r="P385" s="75"/>
      <c r="Q385" s="105"/>
      <c r="R385" s="105"/>
      <c r="S385" s="96"/>
      <c r="T385" s="109"/>
      <c r="U385" s="100"/>
      <c r="V385" s="110"/>
      <c r="W385" s="110"/>
      <c r="X385" s="100"/>
      <c r="Y385" s="100"/>
      <c r="Z385" s="100"/>
      <c r="AA385" s="110"/>
      <c r="AB385" s="110"/>
      <c r="AC385" s="100"/>
      <c r="AD385" s="109"/>
      <c r="AE385" s="109"/>
      <c r="AF385" s="109"/>
      <c r="AG385" s="108"/>
      <c r="AH385" s="109"/>
      <c r="AI385" s="108"/>
      <c r="AJ385" s="111"/>
      <c r="AK385" s="100"/>
      <c r="AL385" s="110"/>
      <c r="AM385" s="110"/>
      <c r="AN385" s="100"/>
      <c r="AO385" s="100"/>
      <c r="AP385" s="100"/>
      <c r="AQ385" s="100"/>
      <c r="AR385" s="100"/>
      <c r="AS385" s="100"/>
      <c r="AT385" s="100"/>
      <c r="AU385" s="111"/>
      <c r="AV385" s="111"/>
    </row>
    <row r="386" spans="1:48" ht="17" thickBot="1">
      <c r="A386" s="85" t="s">
        <v>4</v>
      </c>
      <c r="B386" s="541">
        <f>SUM(L386+M386+N386+O386+P386+U386+X386+Y386+Z386+AC386+AK386+AL386+AK386+AO386+AR386+AS386+AU386+AV386+AW386+AX386+AP386)+5</f>
        <v>5</v>
      </c>
      <c r="C386" s="217">
        <f>SUM(L386+M386+N386+O386+P386+U386+Y386+Z386+X386+AC386+AL386+AK386+AL386+AP386+AS386+AO386+AV386+AW386+AX386+AY386+AR386+AU386)+5</f>
        <v>5</v>
      </c>
      <c r="D386" s="144"/>
      <c r="E386" s="145"/>
      <c r="F386" s="146"/>
      <c r="G386" s="147"/>
      <c r="H386" s="684"/>
      <c r="I386" s="677"/>
      <c r="J386" s="114"/>
      <c r="K386" s="114"/>
      <c r="L386" s="113"/>
      <c r="M386" s="112"/>
      <c r="N386" s="112"/>
      <c r="O386" s="112"/>
      <c r="P386" s="112"/>
      <c r="Q386" s="127"/>
      <c r="R386" s="127"/>
      <c r="S386" s="114"/>
      <c r="T386" s="118"/>
      <c r="U386" s="116"/>
      <c r="V386" s="119"/>
      <c r="W386" s="119"/>
      <c r="X386" s="116"/>
      <c r="Y386" s="116"/>
      <c r="Z386" s="116"/>
      <c r="AA386" s="120"/>
      <c r="AB386" s="120"/>
      <c r="AC386" s="116"/>
      <c r="AD386" s="118"/>
      <c r="AE386" s="118"/>
      <c r="AF386" s="118"/>
      <c r="AG386" s="117"/>
      <c r="AH386" s="118"/>
      <c r="AI386" s="117"/>
      <c r="AJ386" s="121"/>
      <c r="AK386" s="116"/>
      <c r="AL386" s="120"/>
      <c r="AM386" s="120"/>
      <c r="AN386" s="116"/>
      <c r="AO386" s="116"/>
      <c r="AP386" s="116"/>
      <c r="AQ386" s="116"/>
      <c r="AR386" s="116"/>
      <c r="AS386" s="116"/>
      <c r="AT386" s="116"/>
      <c r="AU386" s="121"/>
      <c r="AV386" s="121"/>
    </row>
    <row r="387" spans="1:48" ht="21.1">
      <c r="A387" s="82" t="s">
        <v>488</v>
      </c>
      <c r="B387" s="539"/>
      <c r="C387" s="214"/>
      <c r="D387" s="133"/>
      <c r="E387" s="134"/>
      <c r="F387" s="135"/>
      <c r="G387" s="136"/>
      <c r="H387" s="683"/>
      <c r="I387" s="676"/>
      <c r="J387" s="96"/>
      <c r="K387" s="96"/>
      <c r="L387" s="104"/>
      <c r="M387" s="75"/>
      <c r="N387" s="75"/>
      <c r="O387" s="75"/>
      <c r="P387" s="75"/>
      <c r="Q387" s="105"/>
      <c r="R387" s="105"/>
      <c r="S387" s="96"/>
      <c r="T387" s="109"/>
      <c r="U387" s="100"/>
      <c r="V387" s="110"/>
      <c r="W387" s="110"/>
      <c r="X387" s="100"/>
      <c r="Y387" s="100"/>
      <c r="Z387" s="100"/>
      <c r="AA387" s="110"/>
      <c r="AB387" s="110"/>
      <c r="AC387" s="100"/>
      <c r="AD387" s="109"/>
      <c r="AE387" s="109"/>
      <c r="AF387" s="109"/>
      <c r="AG387" s="108"/>
      <c r="AH387" s="109"/>
      <c r="AI387" s="108"/>
      <c r="AJ387" s="111"/>
      <c r="AK387" s="100"/>
      <c r="AL387" s="110"/>
      <c r="AM387" s="110"/>
      <c r="AN387" s="100"/>
      <c r="AO387" s="100"/>
      <c r="AP387" s="100"/>
      <c r="AQ387" s="100"/>
      <c r="AR387" s="100"/>
      <c r="AS387" s="100"/>
      <c r="AT387" s="100"/>
      <c r="AU387" s="111"/>
      <c r="AV387" s="111"/>
    </row>
    <row r="388" spans="1:48" ht="16.3">
      <c r="A388" s="246" t="s">
        <v>1</v>
      </c>
      <c r="B388" s="538">
        <f>SUM(L388+M388+N388+O388+P388+U388+X388+Y388+Z388+AC388+AK388+AL388+AK388+AO388+AR388+AS388+AU388+AV388+AW388+AX388+AP388)</f>
        <v>0</v>
      </c>
      <c r="C388" s="215">
        <f>SUM(L388+M388+N388+O388+P388+U388+Y388+Z388+X388+AC388+AL388+AK388+AL388+AP388+AS388+AO388+AV388+AW388+AX388+AY388+AR388+AU388)</f>
        <v>0</v>
      </c>
      <c r="D388" s="133"/>
      <c r="E388" s="134"/>
      <c r="F388" s="135"/>
      <c r="G388" s="136"/>
      <c r="H388" s="683"/>
      <c r="I388" s="676"/>
      <c r="J388" s="96"/>
      <c r="K388" s="96"/>
      <c r="L388" s="104"/>
      <c r="M388" s="75"/>
      <c r="N388" s="75"/>
      <c r="O388" s="75"/>
      <c r="P388" s="75"/>
      <c r="Q388" s="105"/>
      <c r="R388" s="105"/>
      <c r="S388" s="96"/>
      <c r="T388" s="109"/>
      <c r="U388" s="100"/>
      <c r="V388" s="110"/>
      <c r="W388" s="110"/>
      <c r="X388" s="100"/>
      <c r="Y388" s="100"/>
      <c r="Z388" s="100"/>
      <c r="AA388" s="110"/>
      <c r="AB388" s="110"/>
      <c r="AC388" s="100"/>
      <c r="AD388" s="109"/>
      <c r="AE388" s="109"/>
      <c r="AF388" s="109"/>
      <c r="AG388" s="108"/>
      <c r="AH388" s="109"/>
      <c r="AI388" s="108"/>
      <c r="AJ388" s="111"/>
      <c r="AK388" s="100"/>
      <c r="AL388" s="110"/>
      <c r="AM388" s="110"/>
      <c r="AN388" s="100"/>
      <c r="AO388" s="100"/>
      <c r="AP388" s="100"/>
      <c r="AQ388" s="100"/>
      <c r="AR388" s="100"/>
      <c r="AS388" s="100"/>
      <c r="AT388" s="100"/>
      <c r="AU388" s="111"/>
      <c r="AV388" s="111"/>
    </row>
    <row r="389" spans="1:48" ht="16.3">
      <c r="A389" s="246" t="s">
        <v>2</v>
      </c>
      <c r="B389" s="538">
        <f>SUM(L389+M389+N389+O389+P389+U389+X389+Y389+Z389+AC389+AK389+AL389+AK389+AO389+AR389+AS389+AU389+AV389+AW389+AX389+AP389)</f>
        <v>0</v>
      </c>
      <c r="C389" s="215">
        <f>SUM(L389+M389+N389+O389+P389+U389+Y389+Z389+X389+AC389+AL389+AK389+AL389+AP389+AS389+AO389+AV389+AW389+AX389+AY389+AR389+AU389)</f>
        <v>0</v>
      </c>
      <c r="D389" s="133"/>
      <c r="E389" s="134"/>
      <c r="F389" s="135"/>
      <c r="G389" s="136"/>
      <c r="H389" s="683"/>
      <c r="I389" s="676"/>
      <c r="J389" s="96"/>
      <c r="K389" s="96"/>
      <c r="L389" s="104"/>
      <c r="M389" s="75"/>
      <c r="N389" s="75"/>
      <c r="O389" s="75"/>
      <c r="P389" s="75"/>
      <c r="Q389" s="105"/>
      <c r="R389" s="105"/>
      <c r="S389" s="96"/>
      <c r="T389" s="109"/>
      <c r="U389" s="100"/>
      <c r="V389" s="110"/>
      <c r="W389" s="110"/>
      <c r="X389" s="100"/>
      <c r="Y389" s="100"/>
      <c r="Z389" s="100"/>
      <c r="AA389" s="110"/>
      <c r="AB389" s="110"/>
      <c r="AC389" s="100"/>
      <c r="AD389" s="109"/>
      <c r="AE389" s="109"/>
      <c r="AF389" s="109"/>
      <c r="AG389" s="108"/>
      <c r="AH389" s="109"/>
      <c r="AI389" s="108"/>
      <c r="AJ389" s="111"/>
      <c r="AK389" s="100"/>
      <c r="AL389" s="110"/>
      <c r="AM389" s="110"/>
      <c r="AN389" s="100"/>
      <c r="AO389" s="100"/>
      <c r="AP389" s="100"/>
      <c r="AQ389" s="100"/>
      <c r="AR389" s="100"/>
      <c r="AS389" s="100"/>
      <c r="AT389" s="100"/>
      <c r="AU389" s="111"/>
      <c r="AV389" s="111"/>
    </row>
    <row r="390" spans="1:48" ht="16.3">
      <c r="A390" s="83" t="s">
        <v>363</v>
      </c>
      <c r="B390" s="539">
        <f t="shared" ref="B390" si="68">SUM(B388+B389)</f>
        <v>0</v>
      </c>
      <c r="C390" s="214">
        <f t="shared" ref="C390" si="69">SUM(C388+C389)</f>
        <v>0</v>
      </c>
      <c r="D390" s="133"/>
      <c r="E390" s="134"/>
      <c r="F390" s="135"/>
      <c r="G390" s="136"/>
      <c r="H390" s="683"/>
      <c r="I390" s="676"/>
      <c r="J390" s="96"/>
      <c r="K390" s="96"/>
      <c r="L390" s="104"/>
      <c r="M390" s="75"/>
      <c r="N390" s="75"/>
      <c r="O390" s="75"/>
      <c r="P390" s="75"/>
      <c r="Q390" s="105"/>
      <c r="R390" s="105"/>
      <c r="S390" s="96"/>
      <c r="T390" s="109"/>
      <c r="U390" s="100"/>
      <c r="V390" s="110"/>
      <c r="W390" s="110"/>
      <c r="X390" s="100"/>
      <c r="Y390" s="100"/>
      <c r="Z390" s="100"/>
      <c r="AA390" s="110"/>
      <c r="AB390" s="110"/>
      <c r="AC390" s="100"/>
      <c r="AD390" s="109"/>
      <c r="AE390" s="109"/>
      <c r="AF390" s="109"/>
      <c r="AG390" s="108"/>
      <c r="AH390" s="109"/>
      <c r="AI390" s="108"/>
      <c r="AJ390" s="111"/>
      <c r="AK390" s="100"/>
      <c r="AL390" s="110"/>
      <c r="AM390" s="110"/>
      <c r="AN390" s="100"/>
      <c r="AO390" s="100"/>
      <c r="AP390" s="100"/>
      <c r="AQ390" s="100"/>
      <c r="AR390" s="100"/>
      <c r="AS390" s="100"/>
      <c r="AT390" s="100"/>
      <c r="AU390" s="111"/>
      <c r="AV390" s="111"/>
    </row>
    <row r="391" spans="1:48" ht="16.3">
      <c r="A391" s="83" t="s">
        <v>3</v>
      </c>
      <c r="B391" s="539">
        <f>SUM(L391+M391+N391+O391+P391+U391+X391+Y391+Z391+AC391+AK391+AL391+AK391+AO391+AR391+AS391+AU391+AV391+AW391+AX391+AP391)</f>
        <v>0</v>
      </c>
      <c r="C391" s="214">
        <f>SUM(L391+M391+N391+O391+P391+U391+Y391+Z391+X391+AC391+AL391+AK391+AL391+AP391+AS391+AO391+AV391+AW391+AX391+AY391+AR391+AU391)</f>
        <v>0</v>
      </c>
      <c r="D391" s="133"/>
      <c r="E391" s="134"/>
      <c r="F391" s="135"/>
      <c r="G391" s="136"/>
      <c r="H391" s="683"/>
      <c r="I391" s="676"/>
      <c r="J391" s="96"/>
      <c r="K391" s="96"/>
      <c r="L391" s="104"/>
      <c r="M391" s="75"/>
      <c r="N391" s="75"/>
      <c r="O391" s="75"/>
      <c r="P391" s="75"/>
      <c r="Q391" s="105"/>
      <c r="R391" s="105"/>
      <c r="S391" s="96"/>
      <c r="T391" s="109"/>
      <c r="U391" s="100"/>
      <c r="V391" s="110"/>
      <c r="W391" s="110"/>
      <c r="X391" s="100"/>
      <c r="Y391" s="100"/>
      <c r="Z391" s="100"/>
      <c r="AA391" s="110"/>
      <c r="AB391" s="110"/>
      <c r="AC391" s="100"/>
      <c r="AD391" s="109"/>
      <c r="AE391" s="109"/>
      <c r="AF391" s="109"/>
      <c r="AG391" s="108"/>
      <c r="AH391" s="109"/>
      <c r="AI391" s="108"/>
      <c r="AJ391" s="111"/>
      <c r="AK391" s="100"/>
      <c r="AL391" s="110"/>
      <c r="AM391" s="110"/>
      <c r="AN391" s="100"/>
      <c r="AO391" s="100"/>
      <c r="AP391" s="100"/>
      <c r="AQ391" s="100"/>
      <c r="AR391" s="100"/>
      <c r="AS391" s="100"/>
      <c r="AT391" s="100"/>
      <c r="AU391" s="111"/>
      <c r="AV391" s="111"/>
    </row>
    <row r="392" spans="1:48" ht="17" thickBot="1">
      <c r="A392" s="85" t="s">
        <v>4</v>
      </c>
      <c r="B392" s="541">
        <f>SUM(L392+M392+N392+O392+P392+U392+X392+Y392+Z392+AC392+AK392+AL392+AK392+AO392+AR392+AS392+AU392+AV392+AW392+AX392+AP392)</f>
        <v>0</v>
      </c>
      <c r="C392" s="217">
        <f>SUM(L392+M392+N392+O392+P392+U392+Y392+Z392+X392+AC392+AL392+AK392+AL392+AP392+AS392+AO392+AV392+AW392+AX392+AY392+AR392+AU392)</f>
        <v>0</v>
      </c>
      <c r="D392" s="144"/>
      <c r="E392" s="145"/>
      <c r="F392" s="146"/>
      <c r="G392" s="147"/>
      <c r="H392" s="684"/>
      <c r="I392" s="677"/>
      <c r="J392" s="114"/>
      <c r="K392" s="114"/>
      <c r="L392" s="113"/>
      <c r="M392" s="112"/>
      <c r="N392" s="112"/>
      <c r="O392" s="112"/>
      <c r="P392" s="112"/>
      <c r="Q392" s="127"/>
      <c r="R392" s="127"/>
      <c r="S392" s="114"/>
      <c r="T392" s="118"/>
      <c r="U392" s="116"/>
      <c r="V392" s="120"/>
      <c r="W392" s="120"/>
      <c r="X392" s="116"/>
      <c r="Y392" s="116"/>
      <c r="Z392" s="116"/>
      <c r="AA392" s="120"/>
      <c r="AB392" s="120"/>
      <c r="AC392" s="116"/>
      <c r="AD392" s="118"/>
      <c r="AE392" s="118"/>
      <c r="AF392" s="118"/>
      <c r="AG392" s="117"/>
      <c r="AH392" s="118"/>
      <c r="AI392" s="117"/>
      <c r="AJ392" s="121"/>
      <c r="AK392" s="116"/>
      <c r="AL392" s="120"/>
      <c r="AM392" s="120"/>
      <c r="AN392" s="116"/>
      <c r="AO392" s="116"/>
      <c r="AP392" s="116"/>
      <c r="AQ392" s="116"/>
      <c r="AR392" s="116"/>
      <c r="AS392" s="116"/>
      <c r="AT392" s="116"/>
      <c r="AU392" s="121"/>
      <c r="AV392" s="121"/>
    </row>
    <row r="393" spans="1:48" ht="21.1">
      <c r="A393" s="82" t="s">
        <v>460</v>
      </c>
      <c r="B393" s="539"/>
      <c r="C393" s="214"/>
      <c r="D393" s="133"/>
      <c r="E393" s="134"/>
      <c r="F393" s="135"/>
      <c r="G393" s="136"/>
      <c r="H393" s="683"/>
      <c r="I393" s="676"/>
      <c r="J393" s="96" t="s">
        <v>375</v>
      </c>
      <c r="K393" s="96"/>
      <c r="L393" s="104"/>
      <c r="M393" s="75"/>
      <c r="N393" s="75"/>
      <c r="O393" s="75"/>
      <c r="P393" s="75"/>
      <c r="Q393" s="105"/>
      <c r="R393" s="105"/>
      <c r="S393" s="96" t="s">
        <v>373</v>
      </c>
      <c r="T393" s="109" t="s">
        <v>375</v>
      </c>
      <c r="U393" s="100"/>
      <c r="V393" s="110"/>
      <c r="W393" s="110"/>
      <c r="X393" s="100"/>
      <c r="Y393" s="100"/>
      <c r="Z393" s="100"/>
      <c r="AA393" s="110"/>
      <c r="AB393" s="110"/>
      <c r="AC393" s="100"/>
      <c r="AD393" s="109" t="s">
        <v>375</v>
      </c>
      <c r="AE393" s="109" t="s">
        <v>375</v>
      </c>
      <c r="AF393" s="109" t="s">
        <v>375</v>
      </c>
      <c r="AG393" s="108"/>
      <c r="AH393" s="109"/>
      <c r="AI393" s="108"/>
      <c r="AJ393" s="111"/>
      <c r="AK393" s="100"/>
      <c r="AL393" s="110"/>
      <c r="AM393" s="110"/>
      <c r="AN393" s="100"/>
      <c r="AO393" s="100"/>
      <c r="AP393" s="100"/>
      <c r="AQ393" s="100"/>
      <c r="AR393" s="100"/>
      <c r="AS393" s="100"/>
      <c r="AT393" s="100"/>
      <c r="AU393" s="111"/>
      <c r="AV393" s="111"/>
    </row>
    <row r="394" spans="1:48" ht="16.3">
      <c r="A394" s="246" t="s">
        <v>1</v>
      </c>
      <c r="B394" s="538">
        <f>SUM(L394+M394+N394+O394+P394+U394+X394+Y394+Z394+AC394+AK394+AL394+AK394+AO394+AR394+AS394+AU394+AV394+AW394+AX394+AP394)</f>
        <v>0</v>
      </c>
      <c r="C394" s="215">
        <f>SUM(L394+M394+N394+O394+P394+U394+Y394+Z394+X394+AC394+AL394+AK394+AL394+AP394+AS394+AO394+AV394+AW394+AX394+AY394+AR394+AU394)</f>
        <v>0</v>
      </c>
      <c r="D394" s="133"/>
      <c r="E394" s="134"/>
      <c r="F394" s="135"/>
      <c r="G394" s="136"/>
      <c r="H394" s="683"/>
      <c r="I394" s="676"/>
      <c r="J394" s="96"/>
      <c r="K394" s="96"/>
      <c r="L394" s="104"/>
      <c r="M394" s="75"/>
      <c r="N394" s="75"/>
      <c r="O394" s="75"/>
      <c r="P394" s="75"/>
      <c r="Q394" s="105"/>
      <c r="R394" s="105"/>
      <c r="S394" s="96">
        <v>1</v>
      </c>
      <c r="T394" s="109"/>
      <c r="U394" s="100"/>
      <c r="V394" s="110"/>
      <c r="W394" s="110"/>
      <c r="X394" s="100"/>
      <c r="Y394" s="100"/>
      <c r="Z394" s="100"/>
      <c r="AA394" s="110"/>
      <c r="AB394" s="110"/>
      <c r="AC394" s="100"/>
      <c r="AD394" s="109"/>
      <c r="AE394" s="109"/>
      <c r="AF394" s="109"/>
      <c r="AG394" s="108"/>
      <c r="AH394" s="109"/>
      <c r="AI394" s="108"/>
      <c r="AJ394" s="111"/>
      <c r="AK394" s="100"/>
      <c r="AL394" s="110"/>
      <c r="AM394" s="110"/>
      <c r="AN394" s="100"/>
      <c r="AO394" s="100"/>
      <c r="AP394" s="100"/>
      <c r="AQ394" s="100"/>
      <c r="AR394" s="100"/>
      <c r="AS394" s="100"/>
      <c r="AT394" s="100"/>
      <c r="AU394" s="111"/>
      <c r="AV394" s="111"/>
    </row>
    <row r="395" spans="1:48" ht="16.3">
      <c r="A395" s="246" t="s">
        <v>2</v>
      </c>
      <c r="B395" s="538">
        <f>SUM(L395+M395+N395+O395+P395+U395+X395+Y395+Z395+AC395+AK395+AL395+AK395+AO395+AR395+AS395+AU395+AV395+AW395+AX395+AP395)</f>
        <v>0</v>
      </c>
      <c r="C395" s="215">
        <f>SUM(L395+M395+N395+O395+P395+U395+Y395+Z395+X395+AC395+AL395+AK395+AL395+AP395+AS395+AO395+AV395+AW395+AX395+AY395+AR395+AU395)</f>
        <v>0</v>
      </c>
      <c r="D395" s="133"/>
      <c r="E395" s="134"/>
      <c r="F395" s="135"/>
      <c r="G395" s="136"/>
      <c r="H395" s="683"/>
      <c r="I395" s="676"/>
      <c r="J395" s="96">
        <v>1</v>
      </c>
      <c r="K395" s="96"/>
      <c r="L395" s="104"/>
      <c r="M395" s="75"/>
      <c r="N395" s="75"/>
      <c r="O395" s="75"/>
      <c r="P395" s="75"/>
      <c r="Q395" s="105"/>
      <c r="R395" s="105"/>
      <c r="S395" s="96"/>
      <c r="T395" s="109">
        <v>1</v>
      </c>
      <c r="U395" s="100"/>
      <c r="V395" s="110"/>
      <c r="W395" s="110"/>
      <c r="X395" s="100"/>
      <c r="Y395" s="100"/>
      <c r="Z395" s="100"/>
      <c r="AA395" s="110"/>
      <c r="AB395" s="110"/>
      <c r="AC395" s="100"/>
      <c r="AD395" s="109">
        <v>1</v>
      </c>
      <c r="AE395" s="109">
        <v>1</v>
      </c>
      <c r="AF395" s="109">
        <v>1</v>
      </c>
      <c r="AG395" s="108"/>
      <c r="AH395" s="109"/>
      <c r="AI395" s="108"/>
      <c r="AJ395" s="111"/>
      <c r="AK395" s="100"/>
      <c r="AL395" s="110"/>
      <c r="AM395" s="110"/>
      <c r="AN395" s="100"/>
      <c r="AO395" s="100"/>
      <c r="AP395" s="100"/>
      <c r="AQ395" s="100"/>
      <c r="AR395" s="100"/>
      <c r="AS395" s="100"/>
      <c r="AT395" s="100"/>
      <c r="AU395" s="111"/>
      <c r="AV395" s="111"/>
    </row>
    <row r="396" spans="1:48" ht="16.3">
      <c r="A396" s="83" t="s">
        <v>363</v>
      </c>
      <c r="B396" s="539">
        <f t="shared" ref="B396" si="70">SUM(B394+B395)</f>
        <v>0</v>
      </c>
      <c r="C396" s="214">
        <f t="shared" ref="C396" si="71">SUM(C394+C395)</f>
        <v>0</v>
      </c>
      <c r="D396" s="133"/>
      <c r="E396" s="134"/>
      <c r="F396" s="135"/>
      <c r="G396" s="136"/>
      <c r="H396" s="683"/>
      <c r="I396" s="676"/>
      <c r="J396" s="96"/>
      <c r="K396" s="96"/>
      <c r="L396" s="104"/>
      <c r="M396" s="75"/>
      <c r="N396" s="75"/>
      <c r="O396" s="75"/>
      <c r="P396" s="75"/>
      <c r="Q396" s="105"/>
      <c r="R396" s="105"/>
      <c r="S396" s="96"/>
      <c r="T396" s="109"/>
      <c r="U396" s="100"/>
      <c r="V396" s="110"/>
      <c r="W396" s="110"/>
      <c r="X396" s="100"/>
      <c r="Y396" s="100"/>
      <c r="Z396" s="100"/>
      <c r="AA396" s="110"/>
      <c r="AB396" s="110"/>
      <c r="AC396" s="100"/>
      <c r="AD396" s="109"/>
      <c r="AE396" s="109"/>
      <c r="AF396" s="109"/>
      <c r="AG396" s="108"/>
      <c r="AH396" s="109"/>
      <c r="AI396" s="108"/>
      <c r="AJ396" s="111"/>
      <c r="AK396" s="100"/>
      <c r="AL396" s="110"/>
      <c r="AM396" s="110"/>
      <c r="AN396" s="100"/>
      <c r="AO396" s="100"/>
      <c r="AP396" s="100"/>
      <c r="AQ396" s="100"/>
      <c r="AR396" s="100"/>
      <c r="AS396" s="100"/>
      <c r="AT396" s="100"/>
      <c r="AU396" s="111"/>
      <c r="AV396" s="111"/>
    </row>
    <row r="397" spans="1:48" ht="16.3">
      <c r="A397" s="83" t="s">
        <v>3</v>
      </c>
      <c r="B397" s="539">
        <f>SUM(L397+M397+N397+O397+P397+U397+X397+Y397+Z397+AC397+AK397+AL397+AK397+AO397+AR397+AS397+AU397+AV397+AW397+AX397+AP397)</f>
        <v>0</v>
      </c>
      <c r="C397" s="214">
        <f>SUM(L397+M397+N397+O397+P397+U397+Y397+Z397+X397+AC397+AL397+AK397+AL397+AP397+AS397+AO397+AV397+AW397+AX397+AY397+AR397+AU397)</f>
        <v>0</v>
      </c>
      <c r="D397" s="133"/>
      <c r="E397" s="134"/>
      <c r="F397" s="135"/>
      <c r="G397" s="136"/>
      <c r="H397" s="683"/>
      <c r="I397" s="676"/>
      <c r="J397" s="96"/>
      <c r="K397" s="96"/>
      <c r="L397" s="104"/>
      <c r="M397" s="75"/>
      <c r="N397" s="75"/>
      <c r="O397" s="75"/>
      <c r="P397" s="75"/>
      <c r="Q397" s="105"/>
      <c r="R397" s="105"/>
      <c r="S397" s="96"/>
      <c r="T397" s="109"/>
      <c r="U397" s="100"/>
      <c r="V397" s="110"/>
      <c r="W397" s="110"/>
      <c r="X397" s="100"/>
      <c r="Y397" s="100"/>
      <c r="Z397" s="100"/>
      <c r="AA397" s="110"/>
      <c r="AB397" s="110"/>
      <c r="AC397" s="100"/>
      <c r="AD397" s="109"/>
      <c r="AE397" s="109"/>
      <c r="AF397" s="109"/>
      <c r="AG397" s="108"/>
      <c r="AH397" s="109"/>
      <c r="AI397" s="108"/>
      <c r="AJ397" s="111"/>
      <c r="AK397" s="100"/>
      <c r="AL397" s="110"/>
      <c r="AM397" s="110"/>
      <c r="AN397" s="100"/>
      <c r="AO397" s="100"/>
      <c r="AP397" s="100"/>
      <c r="AQ397" s="100"/>
      <c r="AR397" s="100"/>
      <c r="AS397" s="100"/>
      <c r="AT397" s="100"/>
      <c r="AU397" s="111"/>
      <c r="AV397" s="111"/>
    </row>
    <row r="398" spans="1:48" ht="17" thickBot="1">
      <c r="A398" s="85" t="s">
        <v>4</v>
      </c>
      <c r="B398" s="541">
        <f>SUM(L398+M398+N398+O398+P398+U398+X398+Y398+Z398+AC398+AK398+AL398+AK398+AO398+AR398+AS398+AU398+AV398+AW398+AX398+AP398)</f>
        <v>0</v>
      </c>
      <c r="C398" s="217">
        <f>SUM(L398+M398+N398+O398+P398+U398+Y398+Z398+X398+AC398+AL398+AK398+AL398+AP398+AS398+AO398+AV398+AW398+AX398+AY398+AR398+AU398)</f>
        <v>0</v>
      </c>
      <c r="D398" s="144"/>
      <c r="E398" s="145"/>
      <c r="F398" s="146"/>
      <c r="G398" s="147"/>
      <c r="H398" s="684"/>
      <c r="I398" s="677"/>
      <c r="J398" s="114"/>
      <c r="K398" s="114"/>
      <c r="L398" s="113"/>
      <c r="M398" s="112"/>
      <c r="N398" s="112"/>
      <c r="O398" s="112"/>
      <c r="P398" s="112"/>
      <c r="Q398" s="127"/>
      <c r="R398" s="127"/>
      <c r="S398" s="114"/>
      <c r="T398" s="118"/>
      <c r="U398" s="116"/>
      <c r="V398" s="120"/>
      <c r="W398" s="120"/>
      <c r="X398" s="112"/>
      <c r="Y398" s="100"/>
      <c r="Z398" s="100"/>
      <c r="AA398" s="110"/>
      <c r="AB398" s="110"/>
      <c r="AC398" s="100"/>
      <c r="AD398" s="109"/>
      <c r="AE398" s="109"/>
      <c r="AF398" s="109"/>
      <c r="AG398" s="108"/>
      <c r="AH398" s="109"/>
      <c r="AI398" s="108"/>
      <c r="AJ398" s="111"/>
      <c r="AK398" s="100"/>
      <c r="AL398" s="110"/>
      <c r="AM398" s="110"/>
      <c r="AN398" s="100"/>
      <c r="AO398" s="100"/>
      <c r="AP398" s="100"/>
      <c r="AQ398" s="100"/>
      <c r="AR398" s="100"/>
      <c r="AS398" s="100"/>
      <c r="AT398" s="100"/>
      <c r="AU398" s="111"/>
      <c r="AV398" s="111"/>
    </row>
    <row r="399" spans="1:48" ht="21.1">
      <c r="A399" s="82" t="s">
        <v>99</v>
      </c>
      <c r="B399" s="539"/>
      <c r="C399" s="214"/>
      <c r="D399" s="133"/>
      <c r="E399" s="134"/>
      <c r="F399" s="135"/>
      <c r="G399" s="136"/>
      <c r="H399" s="683"/>
      <c r="I399" s="676"/>
      <c r="J399" s="96" t="s">
        <v>501</v>
      </c>
      <c r="K399" s="96" t="s">
        <v>501</v>
      </c>
      <c r="L399" s="104" t="s">
        <v>501</v>
      </c>
      <c r="M399" s="75" t="s">
        <v>501</v>
      </c>
      <c r="N399" s="75">
        <v>7</v>
      </c>
      <c r="O399" s="75">
        <v>7</v>
      </c>
      <c r="P399" s="75" t="s">
        <v>375</v>
      </c>
      <c r="Q399" s="105"/>
      <c r="R399" s="105"/>
      <c r="S399" s="96" t="s">
        <v>775</v>
      </c>
      <c r="T399" s="109" t="s">
        <v>775</v>
      </c>
      <c r="U399" s="100">
        <v>7</v>
      </c>
      <c r="V399" s="110"/>
      <c r="W399" s="110" t="s">
        <v>375</v>
      </c>
      <c r="X399" s="100">
        <v>7</v>
      </c>
      <c r="Y399" s="102" t="s">
        <v>375</v>
      </c>
      <c r="Z399" s="102" t="s">
        <v>373</v>
      </c>
      <c r="AA399" s="101" t="s">
        <v>375</v>
      </c>
      <c r="AB399" s="101" t="s">
        <v>374</v>
      </c>
      <c r="AC399" s="102"/>
      <c r="AD399" s="99" t="s">
        <v>775</v>
      </c>
      <c r="AE399" s="99" t="s">
        <v>775</v>
      </c>
      <c r="AF399" s="99" t="s">
        <v>775</v>
      </c>
      <c r="AG399" s="98"/>
      <c r="AH399" s="99" t="s">
        <v>775</v>
      </c>
      <c r="AI399" s="98"/>
      <c r="AJ399" s="103"/>
      <c r="AK399" s="102"/>
      <c r="AL399" s="101"/>
      <c r="AM399" s="101"/>
      <c r="AN399" s="102"/>
      <c r="AO399" s="102"/>
      <c r="AP399" s="102"/>
      <c r="AQ399" s="102"/>
      <c r="AR399" s="102"/>
      <c r="AS399" s="102"/>
      <c r="AT399" s="102"/>
      <c r="AU399" s="103"/>
      <c r="AV399" s="103"/>
    </row>
    <row r="400" spans="1:48" ht="16.3">
      <c r="A400" s="246" t="s">
        <v>1</v>
      </c>
      <c r="B400" s="538">
        <f>SUM(L400+M400+N400+O400+P400+U400+X400+Y400+Z400+AC400+AK400+AL400+AK400+AO400+AR400+AS400+AU400+AV400+AW400+AX400+AP400)+72</f>
        <v>77</v>
      </c>
      <c r="C400" s="215">
        <f>SUM(L400+M400+N400+O400+P400+U400+Y400+Z400+X400+AC400+AL400+AK400+AL400+AP400+AS400+AO400+AV400+AW400+AX400+AY400+AR400+AU400)+84</f>
        <v>89</v>
      </c>
      <c r="D400" s="133"/>
      <c r="E400" s="134"/>
      <c r="F400" s="135"/>
      <c r="G400" s="136"/>
      <c r="H400" s="683"/>
      <c r="I400" s="676"/>
      <c r="J400" s="96"/>
      <c r="K400" s="96"/>
      <c r="L400" s="104"/>
      <c r="M400" s="75"/>
      <c r="N400" s="75">
        <v>1</v>
      </c>
      <c r="O400" s="75">
        <v>1</v>
      </c>
      <c r="P400" s="75"/>
      <c r="Q400" s="105"/>
      <c r="R400" s="105"/>
      <c r="S400" s="96"/>
      <c r="T400" s="96"/>
      <c r="U400" s="75">
        <v>1</v>
      </c>
      <c r="V400" s="106"/>
      <c r="W400" s="106"/>
      <c r="X400" s="75">
        <v>1</v>
      </c>
      <c r="Y400" s="75"/>
      <c r="Z400" s="75">
        <v>1</v>
      </c>
      <c r="AA400" s="106"/>
      <c r="AB400" s="106">
        <v>1</v>
      </c>
      <c r="AC400" s="75"/>
      <c r="AD400" s="96"/>
      <c r="AE400" s="96"/>
      <c r="AF400" s="96"/>
      <c r="AG400" s="105"/>
      <c r="AH400" s="96"/>
      <c r="AI400" s="105"/>
      <c r="AJ400" s="107"/>
      <c r="AK400" s="75"/>
      <c r="AL400" s="106"/>
      <c r="AM400" s="106"/>
      <c r="AN400" s="75"/>
      <c r="AO400" s="75"/>
      <c r="AP400" s="75"/>
      <c r="AQ400" s="75"/>
      <c r="AR400" s="75"/>
      <c r="AS400" s="75"/>
      <c r="AT400" s="75"/>
      <c r="AU400" s="107"/>
      <c r="AV400" s="107"/>
    </row>
    <row r="401" spans="1:48" ht="16.3">
      <c r="A401" s="246" t="s">
        <v>2</v>
      </c>
      <c r="B401" s="538">
        <f>SUM(L401+M401+N401+O401+P401+U401+X401+Y401+Z401+AC401+AK401+AL401+AK401+AO401+AR401+AS401+AU401+AV401+AW401+AX401+AP401)+28</f>
        <v>30</v>
      </c>
      <c r="C401" s="215">
        <f>SUM(L401+M401+N401+O401+P401+U401+Y401+Z401+X401+AC401+AL401+AK401+AL401+AP401+AS401+AO401+AV401+AW401+AX401+AY401+AR401+AU401)+32</f>
        <v>34</v>
      </c>
      <c r="D401" s="133"/>
      <c r="E401" s="134"/>
      <c r="F401" s="135"/>
      <c r="G401" s="136"/>
      <c r="H401" s="683"/>
      <c r="I401" s="676"/>
      <c r="J401" s="96"/>
      <c r="K401" s="96"/>
      <c r="L401" s="104"/>
      <c r="M401" s="75"/>
      <c r="N401" s="75"/>
      <c r="O401" s="75"/>
      <c r="P401" s="75">
        <v>1</v>
      </c>
      <c r="Q401" s="105"/>
      <c r="R401" s="105"/>
      <c r="S401" s="96"/>
      <c r="T401" s="109"/>
      <c r="U401" s="100"/>
      <c r="V401" s="110"/>
      <c r="W401" s="110">
        <v>1</v>
      </c>
      <c r="X401" s="100"/>
      <c r="Y401" s="100">
        <v>1</v>
      </c>
      <c r="Z401" s="100"/>
      <c r="AA401" s="110">
        <v>1</v>
      </c>
      <c r="AB401" s="110"/>
      <c r="AC401" s="100"/>
      <c r="AD401" s="109"/>
      <c r="AE401" s="109"/>
      <c r="AF401" s="109"/>
      <c r="AG401" s="108"/>
      <c r="AH401" s="109"/>
      <c r="AI401" s="108"/>
      <c r="AJ401" s="111"/>
      <c r="AK401" s="100"/>
      <c r="AL401" s="110"/>
      <c r="AM401" s="110"/>
      <c r="AN401" s="100"/>
      <c r="AO401" s="100"/>
      <c r="AP401" s="100"/>
      <c r="AQ401" s="100"/>
      <c r="AR401" s="100"/>
      <c r="AS401" s="100"/>
      <c r="AT401" s="100"/>
      <c r="AU401" s="111"/>
      <c r="AV401" s="111"/>
    </row>
    <row r="402" spans="1:48" ht="16.3">
      <c r="A402" s="83" t="s">
        <v>363</v>
      </c>
      <c r="B402" s="539">
        <f t="shared" ref="B402" si="72">SUM(B400+B401)</f>
        <v>107</v>
      </c>
      <c r="C402" s="214">
        <f t="shared" ref="C402" si="73">SUM(C400+C401)</f>
        <v>123</v>
      </c>
      <c r="D402" s="133"/>
      <c r="E402" s="134"/>
      <c r="F402" s="135"/>
      <c r="G402" s="136"/>
      <c r="H402" s="683"/>
      <c r="I402" s="676"/>
      <c r="J402" s="96"/>
      <c r="K402" s="96"/>
      <c r="L402" s="104"/>
      <c r="M402" s="75"/>
      <c r="N402" s="75"/>
      <c r="O402" s="75"/>
      <c r="P402" s="75"/>
      <c r="Q402" s="105"/>
      <c r="R402" s="105"/>
      <c r="S402" s="96"/>
      <c r="T402" s="109"/>
      <c r="U402" s="100"/>
      <c r="V402" s="110"/>
      <c r="W402" s="110"/>
      <c r="X402" s="100"/>
      <c r="Y402" s="100"/>
      <c r="Z402" s="100"/>
      <c r="AA402" s="110"/>
      <c r="AB402" s="110"/>
      <c r="AC402" s="100"/>
      <c r="AD402" s="109"/>
      <c r="AE402" s="109"/>
      <c r="AF402" s="109"/>
      <c r="AG402" s="108"/>
      <c r="AH402" s="109"/>
      <c r="AI402" s="108"/>
      <c r="AJ402" s="111"/>
      <c r="AK402" s="100"/>
      <c r="AL402" s="110"/>
      <c r="AM402" s="110"/>
      <c r="AN402" s="100"/>
      <c r="AO402" s="100"/>
      <c r="AP402" s="100"/>
      <c r="AQ402" s="100"/>
      <c r="AR402" s="100"/>
      <c r="AS402" s="100"/>
      <c r="AT402" s="100"/>
      <c r="AU402" s="111"/>
      <c r="AV402" s="111"/>
    </row>
    <row r="403" spans="1:48" ht="16.3">
      <c r="A403" s="246" t="s">
        <v>366</v>
      </c>
      <c r="B403" s="538">
        <f>SUM(L403+M403+N403+O403+P403+U403+X403+Y403+Z403+AC403+AK403+AL403+AK403+AO403+AR403+AS403+AU403+AV403+AW403+AX403+AP403)+3</f>
        <v>3</v>
      </c>
      <c r="C403" s="215">
        <f>SUM(L403+M403+N403+O403+P403+U403+Y403+Z403+X403+AC403+AL403+AK403+AL403+AP403+AS403+AO403+AV403+AW403+AX403+AY403+AR403+AU403)+3</f>
        <v>3</v>
      </c>
      <c r="D403" s="133"/>
      <c r="E403" s="134"/>
      <c r="F403" s="135"/>
      <c r="G403" s="136"/>
      <c r="H403" s="683"/>
      <c r="I403" s="676"/>
      <c r="J403" s="96"/>
      <c r="K403" s="96"/>
      <c r="L403" s="104"/>
      <c r="M403" s="75"/>
      <c r="N403" s="75"/>
      <c r="O403" s="75"/>
      <c r="P403" s="75"/>
      <c r="Q403" s="105"/>
      <c r="R403" s="105"/>
      <c r="S403" s="96"/>
      <c r="T403" s="109"/>
      <c r="U403" s="100"/>
      <c r="V403" s="110"/>
      <c r="W403" s="110"/>
      <c r="X403" s="100"/>
      <c r="Y403" s="100"/>
      <c r="Z403" s="100"/>
      <c r="AA403" s="110"/>
      <c r="AB403" s="110"/>
      <c r="AC403" s="100"/>
      <c r="AD403" s="109"/>
      <c r="AE403" s="109"/>
      <c r="AF403" s="109"/>
      <c r="AG403" s="108"/>
      <c r="AH403" s="109"/>
      <c r="AI403" s="108"/>
      <c r="AJ403" s="111"/>
      <c r="AK403" s="100"/>
      <c r="AL403" s="110"/>
      <c r="AM403" s="110"/>
      <c r="AN403" s="100"/>
      <c r="AO403" s="100"/>
      <c r="AP403" s="100"/>
      <c r="AQ403" s="100"/>
      <c r="AR403" s="100"/>
      <c r="AS403" s="100"/>
      <c r="AT403" s="100"/>
      <c r="AU403" s="111"/>
      <c r="AV403" s="111"/>
    </row>
    <row r="404" spans="1:48" ht="16.3">
      <c r="A404" s="246" t="s">
        <v>362</v>
      </c>
      <c r="B404" s="538">
        <f>SUM(L404+M404+N404+O404+P404+U404+X404+Y404+Z404+AC404+AK404+AL404+AK404+AO404+AR404+AS404+AU404+AV404+AW404+AX404+AP404)+5</f>
        <v>5</v>
      </c>
      <c r="C404" s="215">
        <f>SUM(L404+M404+N404+O404+P404+U404+Y404+Z404+X404+AC404+AL404+AK404+AL404+AP404+AS404+AO404+AV404+AW404+AX404+AY404+AR404+AU404)+6</f>
        <v>6</v>
      </c>
      <c r="D404" s="133"/>
      <c r="E404" s="134"/>
      <c r="F404" s="135"/>
      <c r="G404" s="136"/>
      <c r="H404" s="683"/>
      <c r="I404" s="676"/>
      <c r="J404" s="96"/>
      <c r="K404" s="96"/>
      <c r="L404" s="104"/>
      <c r="M404" s="75"/>
      <c r="N404" s="75"/>
      <c r="O404" s="75"/>
      <c r="P404" s="75"/>
      <c r="Q404" s="105"/>
      <c r="R404" s="105"/>
      <c r="S404" s="96"/>
      <c r="T404" s="109"/>
      <c r="U404" s="100"/>
      <c r="V404" s="110"/>
      <c r="W404" s="110"/>
      <c r="X404" s="100"/>
      <c r="Y404" s="100"/>
      <c r="Z404" s="100"/>
      <c r="AA404" s="110"/>
      <c r="AB404" s="110"/>
      <c r="AC404" s="100"/>
      <c r="AD404" s="109"/>
      <c r="AE404" s="109"/>
      <c r="AF404" s="109"/>
      <c r="AG404" s="108"/>
      <c r="AH404" s="109"/>
      <c r="AI404" s="108"/>
      <c r="AJ404" s="111"/>
      <c r="AK404" s="100"/>
      <c r="AL404" s="110"/>
      <c r="AM404" s="110"/>
      <c r="AN404" s="100"/>
      <c r="AO404" s="100"/>
      <c r="AP404" s="100"/>
      <c r="AQ404" s="100"/>
      <c r="AR404" s="100"/>
      <c r="AS404" s="100"/>
      <c r="AT404" s="100"/>
      <c r="AU404" s="111"/>
      <c r="AV404" s="111"/>
    </row>
    <row r="405" spans="1:48" ht="16.3">
      <c r="A405" s="246" t="s">
        <v>364</v>
      </c>
      <c r="B405" s="538">
        <f>SUM(L405+M405+N405+O405+P405+U405+X405+Y405+Z405+AC405+AK405+AL405+AK405+AO405+AR405+AS405+AU405+AV405+AW405+AX405+AP405)+1</f>
        <v>1</v>
      </c>
      <c r="C405" s="215">
        <f>SUM(L405+M405+N405+O405+P405+U405+Y405+Z405+X405+AC405+AL405+AK405+AL405+AP405+AS405+AO405+AV405+AW405+AX405+AY405+AR405+AU405)+1</f>
        <v>1</v>
      </c>
      <c r="D405" s="133"/>
      <c r="E405" s="134"/>
      <c r="F405" s="135"/>
      <c r="G405" s="136"/>
      <c r="H405" s="683"/>
      <c r="I405" s="676"/>
      <c r="J405" s="96"/>
      <c r="K405" s="96"/>
      <c r="L405" s="104"/>
      <c r="M405" s="75"/>
      <c r="N405" s="75"/>
      <c r="O405" s="75"/>
      <c r="P405" s="75"/>
      <c r="Q405" s="105"/>
      <c r="R405" s="105"/>
      <c r="S405" s="96"/>
      <c r="T405" s="109"/>
      <c r="U405" s="100"/>
      <c r="V405" s="110"/>
      <c r="W405" s="110"/>
      <c r="X405" s="100"/>
      <c r="Y405" s="100"/>
      <c r="Z405" s="100"/>
      <c r="AA405" s="110"/>
      <c r="AB405" s="110"/>
      <c r="AC405" s="100"/>
      <c r="AD405" s="109"/>
      <c r="AE405" s="109"/>
      <c r="AF405" s="109"/>
      <c r="AG405" s="108"/>
      <c r="AH405" s="109"/>
      <c r="AI405" s="108"/>
      <c r="AJ405" s="111"/>
      <c r="AK405" s="100"/>
      <c r="AL405" s="110"/>
      <c r="AM405" s="110"/>
      <c r="AN405" s="100"/>
      <c r="AO405" s="100"/>
      <c r="AP405" s="100"/>
      <c r="AQ405" s="100"/>
      <c r="AR405" s="100"/>
      <c r="AS405" s="100"/>
      <c r="AT405" s="100"/>
      <c r="AU405" s="111"/>
      <c r="AV405" s="111"/>
    </row>
    <row r="406" spans="1:48" ht="16.3">
      <c r="A406" s="83" t="s">
        <v>3</v>
      </c>
      <c r="B406" s="539">
        <f>SUM(L406+M406+N406+O406+P406+U406+X406+Y406+Z406+AC406+AK406+AL406+AK406+AO406+AR406+AS406+AU406+AV406+AW406+AX406+AP406)+29</f>
        <v>31</v>
      </c>
      <c r="C406" s="214">
        <f>SUM(L406+M406+N406+O406+P406+U406+Y406+Z406+X406+AC406+AL406+AK406+AL406+AP406+AS406+AO406+AV406+AW406+AX406+AY406+AR406+AU406)+38</f>
        <v>40</v>
      </c>
      <c r="D406" s="133"/>
      <c r="E406" s="134"/>
      <c r="F406" s="135"/>
      <c r="G406" s="136"/>
      <c r="H406" s="683"/>
      <c r="I406" s="676"/>
      <c r="J406" s="96"/>
      <c r="K406" s="96"/>
      <c r="L406" s="104"/>
      <c r="M406" s="75"/>
      <c r="N406" s="75">
        <v>1</v>
      </c>
      <c r="O406" s="75">
        <v>1</v>
      </c>
      <c r="P406" s="75"/>
      <c r="Q406" s="105"/>
      <c r="R406" s="105"/>
      <c r="S406" s="96"/>
      <c r="T406" s="109"/>
      <c r="U406" s="100"/>
      <c r="V406" s="110"/>
      <c r="W406" s="110"/>
      <c r="X406" s="100"/>
      <c r="Y406" s="100"/>
      <c r="Z406" s="100"/>
      <c r="AA406" s="110"/>
      <c r="AB406" s="110"/>
      <c r="AC406" s="100"/>
      <c r="AD406" s="109"/>
      <c r="AE406" s="109"/>
      <c r="AF406" s="109"/>
      <c r="AG406" s="108"/>
      <c r="AH406" s="109"/>
      <c r="AI406" s="108"/>
      <c r="AJ406" s="111"/>
      <c r="AK406" s="100"/>
      <c r="AL406" s="110"/>
      <c r="AM406" s="110"/>
      <c r="AN406" s="100"/>
      <c r="AO406" s="100"/>
      <c r="AP406" s="100"/>
      <c r="AQ406" s="100"/>
      <c r="AR406" s="100"/>
      <c r="AS406" s="100"/>
      <c r="AT406" s="100"/>
      <c r="AU406" s="111"/>
      <c r="AV406" s="111"/>
    </row>
    <row r="407" spans="1:48" ht="17" thickBot="1">
      <c r="A407" s="85" t="s">
        <v>4</v>
      </c>
      <c r="B407" s="541">
        <f>SUM(L407+M407+N407+O407+P407+U407+X407+Y407+Z407+AC407+AK407+AL407+AK407+AO407+AR407+AS407+AU407+AV407+AW407+AX407+AP407)+145</f>
        <v>155</v>
      </c>
      <c r="C407" s="217">
        <f>SUM(L407+M407+N407+O407+P407+U407+Y407+Z407+X407+AC407+AL407+AK407+AL407+AP407+AS407+AO407+AV407+AW407+AX407+AY407+AR407+AU407)+190</f>
        <v>200</v>
      </c>
      <c r="D407" s="144"/>
      <c r="E407" s="145"/>
      <c r="F407" s="146"/>
      <c r="G407" s="147"/>
      <c r="H407" s="684"/>
      <c r="I407" s="677"/>
      <c r="J407" s="114"/>
      <c r="K407" s="114"/>
      <c r="L407" s="113"/>
      <c r="M407" s="112"/>
      <c r="N407" s="112">
        <v>5</v>
      </c>
      <c r="O407" s="112">
        <v>5</v>
      </c>
      <c r="P407" s="112"/>
      <c r="Q407" s="127"/>
      <c r="R407" s="127"/>
      <c r="S407" s="114"/>
      <c r="T407" s="118"/>
      <c r="U407" s="116"/>
      <c r="V407" s="119"/>
      <c r="W407" s="119"/>
      <c r="X407" s="100"/>
      <c r="Y407" s="100"/>
      <c r="Z407" s="100"/>
      <c r="AA407" s="110"/>
      <c r="AB407" s="110"/>
      <c r="AC407" s="100"/>
      <c r="AD407" s="109"/>
      <c r="AE407" s="109"/>
      <c r="AF407" s="109"/>
      <c r="AG407" s="108"/>
      <c r="AH407" s="109"/>
      <c r="AI407" s="108"/>
      <c r="AJ407" s="111"/>
      <c r="AK407" s="100"/>
      <c r="AL407" s="110"/>
      <c r="AM407" s="110"/>
      <c r="AN407" s="100"/>
      <c r="AO407" s="100"/>
      <c r="AP407" s="100"/>
      <c r="AQ407" s="100"/>
      <c r="AR407" s="100"/>
      <c r="AS407" s="100"/>
      <c r="AT407" s="100"/>
      <c r="AU407" s="111"/>
      <c r="AV407" s="111"/>
    </row>
    <row r="408" spans="1:48" ht="21.1">
      <c r="A408" s="82" t="s">
        <v>345</v>
      </c>
      <c r="B408" s="539"/>
      <c r="C408" s="214"/>
      <c r="D408" s="133"/>
      <c r="E408" s="134"/>
      <c r="F408" s="135"/>
      <c r="G408" s="136"/>
      <c r="H408" s="683"/>
      <c r="I408" s="676"/>
      <c r="J408" s="96"/>
      <c r="K408" s="96" t="s">
        <v>641</v>
      </c>
      <c r="L408" s="104">
        <v>7</v>
      </c>
      <c r="M408" s="75">
        <v>7</v>
      </c>
      <c r="N408" s="75" t="s">
        <v>382</v>
      </c>
      <c r="O408" s="75" t="s">
        <v>375</v>
      </c>
      <c r="P408" s="75" t="s">
        <v>373</v>
      </c>
      <c r="Q408" s="105"/>
      <c r="R408" s="105"/>
      <c r="S408" s="96" t="s">
        <v>783</v>
      </c>
      <c r="T408" s="109" t="s">
        <v>783</v>
      </c>
      <c r="U408" s="100"/>
      <c r="V408" s="110">
        <v>7</v>
      </c>
      <c r="W408" s="110" t="s">
        <v>877</v>
      </c>
      <c r="X408" s="102" t="s">
        <v>375</v>
      </c>
      <c r="Y408" s="102" t="s">
        <v>373</v>
      </c>
      <c r="Z408" s="102" t="s">
        <v>375</v>
      </c>
      <c r="AA408" s="101" t="s">
        <v>375</v>
      </c>
      <c r="AB408" s="101" t="s">
        <v>375</v>
      </c>
      <c r="AC408" s="102">
        <v>7</v>
      </c>
      <c r="AD408" s="99"/>
      <c r="AE408" s="99" t="s">
        <v>993</v>
      </c>
      <c r="AF408" s="99">
        <v>7</v>
      </c>
      <c r="AG408" s="98"/>
      <c r="AH408" s="99" t="s">
        <v>373</v>
      </c>
      <c r="AI408" s="98"/>
      <c r="AJ408" s="103"/>
      <c r="AK408" s="102"/>
      <c r="AL408" s="101"/>
      <c r="AM408" s="101"/>
      <c r="AN408" s="102"/>
      <c r="AO408" s="102"/>
      <c r="AP408" s="102"/>
      <c r="AQ408" s="102"/>
      <c r="AR408" s="102"/>
      <c r="AS408" s="102"/>
      <c r="AT408" s="102"/>
      <c r="AU408" s="103"/>
      <c r="AV408" s="103"/>
    </row>
    <row r="409" spans="1:48" ht="16.3">
      <c r="A409" s="246" t="s">
        <v>1</v>
      </c>
      <c r="B409" s="538">
        <f>SUM(L409+M409+N409+O409+P409+U409+X409+Y409+Z409+AC409+AK409+AL409+AK409+AO409+AR409+AS409+AU409+AV409+AW409+AX409+AP409)+36</f>
        <v>42</v>
      </c>
      <c r="C409" s="215">
        <f>SUM(L409+M409+N409+O409+P409+U409+Y409+Z409+X409+AC409+AL409+AK409+AL409+AP409+AS409+AO409+AV409+AW409+AX409+AY409+AR409+AU409)+36</f>
        <v>42</v>
      </c>
      <c r="D409" s="133"/>
      <c r="E409" s="134"/>
      <c r="F409" s="135"/>
      <c r="G409" s="136"/>
      <c r="H409" s="683"/>
      <c r="I409" s="676"/>
      <c r="J409" s="96"/>
      <c r="K409" s="96">
        <v>1</v>
      </c>
      <c r="L409" s="104">
        <v>1</v>
      </c>
      <c r="M409" s="75">
        <v>1</v>
      </c>
      <c r="N409" s="75">
        <v>1</v>
      </c>
      <c r="O409" s="75"/>
      <c r="P409" s="75">
        <v>1</v>
      </c>
      <c r="Q409" s="105"/>
      <c r="R409" s="105"/>
      <c r="S409" s="96"/>
      <c r="T409" s="109"/>
      <c r="U409" s="100"/>
      <c r="V409" s="110">
        <v>1</v>
      </c>
      <c r="W409" s="110">
        <v>1</v>
      </c>
      <c r="X409" s="100"/>
      <c r="Y409" s="100">
        <v>1</v>
      </c>
      <c r="Z409" s="100"/>
      <c r="AA409" s="110"/>
      <c r="AB409" s="110"/>
      <c r="AC409" s="100">
        <v>1</v>
      </c>
      <c r="AD409" s="109"/>
      <c r="AE409" s="109"/>
      <c r="AF409" s="109">
        <v>1</v>
      </c>
      <c r="AG409" s="108"/>
      <c r="AH409" s="109">
        <v>1</v>
      </c>
      <c r="AI409" s="108"/>
      <c r="AJ409" s="111"/>
      <c r="AK409" s="100"/>
      <c r="AL409" s="110"/>
      <c r="AM409" s="110"/>
      <c r="AN409" s="100"/>
      <c r="AO409" s="100"/>
      <c r="AP409" s="100"/>
      <c r="AQ409" s="100"/>
      <c r="AR409" s="100"/>
      <c r="AS409" s="100"/>
      <c r="AT409" s="100"/>
      <c r="AU409" s="111"/>
      <c r="AV409" s="111"/>
    </row>
    <row r="410" spans="1:48" ht="16.3">
      <c r="A410" s="246" t="s">
        <v>2</v>
      </c>
      <c r="B410" s="538">
        <f>SUM(L410+M410+N410+O410+P410+U410+X410+Y410+Z410+AC410+AK410+AL410+AK410+AO410+AR410+AS410+AU410+AV410+AW410+AX410+AP410)+31</f>
        <v>34</v>
      </c>
      <c r="C410" s="215">
        <f>SUM(L410+M410+N410+O410+P410+U410+Y410+Z410+X410+AC410+AL410+AK410+AL410+AP410+AS410+AO410+AV410+AW410+AX410+AY410+AR410+AU410)+31</f>
        <v>34</v>
      </c>
      <c r="D410" s="133"/>
      <c r="E410" s="134"/>
      <c r="F410" s="135"/>
      <c r="G410" s="136"/>
      <c r="H410" s="683"/>
      <c r="I410" s="676"/>
      <c r="J410" s="96"/>
      <c r="K410" s="96"/>
      <c r="L410" s="104"/>
      <c r="M410" s="75"/>
      <c r="N410" s="75"/>
      <c r="O410" s="75">
        <v>1</v>
      </c>
      <c r="P410" s="75"/>
      <c r="Q410" s="105"/>
      <c r="R410" s="105"/>
      <c r="S410" s="96"/>
      <c r="T410" s="109"/>
      <c r="U410" s="100"/>
      <c r="V410" s="110"/>
      <c r="W410" s="110"/>
      <c r="X410" s="100">
        <v>1</v>
      </c>
      <c r="Y410" s="100"/>
      <c r="Z410" s="100">
        <v>1</v>
      </c>
      <c r="AA410" s="110">
        <v>1</v>
      </c>
      <c r="AB410" s="110">
        <v>1</v>
      </c>
      <c r="AC410" s="100"/>
      <c r="AD410" s="109"/>
      <c r="AE410" s="109"/>
      <c r="AF410" s="109"/>
      <c r="AG410" s="108"/>
      <c r="AH410" s="109"/>
      <c r="AI410" s="108"/>
      <c r="AJ410" s="111"/>
      <c r="AK410" s="100"/>
      <c r="AL410" s="110"/>
      <c r="AM410" s="110"/>
      <c r="AN410" s="100"/>
      <c r="AO410" s="100"/>
      <c r="AP410" s="100"/>
      <c r="AQ410" s="100"/>
      <c r="AR410" s="100"/>
      <c r="AS410" s="100"/>
      <c r="AT410" s="100"/>
      <c r="AU410" s="111"/>
      <c r="AV410" s="111"/>
    </row>
    <row r="411" spans="1:48" ht="16.3">
      <c r="A411" s="83" t="s">
        <v>363</v>
      </c>
      <c r="B411" s="539">
        <f t="shared" ref="B411" si="74">SUM(B409+B410)</f>
        <v>76</v>
      </c>
      <c r="C411" s="214">
        <f t="shared" ref="C411" si="75">SUM(C409+C410)</f>
        <v>76</v>
      </c>
      <c r="D411" s="133"/>
      <c r="E411" s="134"/>
      <c r="F411" s="135"/>
      <c r="G411" s="136"/>
      <c r="H411" s="683"/>
      <c r="I411" s="676"/>
      <c r="J411" s="96"/>
      <c r="K411" s="96"/>
      <c r="L411" s="104"/>
      <c r="M411" s="75"/>
      <c r="N411" s="75"/>
      <c r="O411" s="75"/>
      <c r="P411" s="75"/>
      <c r="Q411" s="105"/>
      <c r="R411" s="105"/>
      <c r="S411" s="96"/>
      <c r="T411" s="109"/>
      <c r="U411" s="100"/>
      <c r="V411" s="110"/>
      <c r="W411" s="110"/>
      <c r="X411" s="100"/>
      <c r="Y411" s="100"/>
      <c r="Z411" s="100"/>
      <c r="AA411" s="110"/>
      <c r="AB411" s="110"/>
      <c r="AC411" s="100"/>
      <c r="AD411" s="109"/>
      <c r="AE411" s="109"/>
      <c r="AF411" s="109"/>
      <c r="AG411" s="108"/>
      <c r="AH411" s="109"/>
      <c r="AI411" s="108"/>
      <c r="AJ411" s="111"/>
      <c r="AK411" s="100"/>
      <c r="AL411" s="110"/>
      <c r="AM411" s="110"/>
      <c r="AN411" s="100"/>
      <c r="AO411" s="100"/>
      <c r="AP411" s="100"/>
      <c r="AQ411" s="100"/>
      <c r="AR411" s="100"/>
      <c r="AS411" s="100"/>
      <c r="AT411" s="100"/>
      <c r="AU411" s="111"/>
      <c r="AV411" s="111"/>
    </row>
    <row r="412" spans="1:48" ht="16.3">
      <c r="A412" s="246" t="s">
        <v>366</v>
      </c>
      <c r="B412" s="538">
        <f>SUM(L412+M412+N412+O412+P412+U412+X412+Y412+Z412+AC412+AK412+AL412+AK412+AO412+AR412+AS412+AU412+AV412+AW412+AX412+AP412)</f>
        <v>0</v>
      </c>
      <c r="C412" s="215">
        <f>SUM(L412+M412+N412+O412+P412+U412+Y412+Z412+X412+AC412+AL412+AK412+AL412+AP412+AS412+AO412+AV412+AW412+AX412+AY412+AR412+AU412)</f>
        <v>0</v>
      </c>
      <c r="D412" s="133"/>
      <c r="E412" s="134"/>
      <c r="F412" s="135"/>
      <c r="G412" s="136"/>
      <c r="H412" s="683"/>
      <c r="I412" s="676"/>
      <c r="J412" s="96"/>
      <c r="K412" s="96">
        <v>1</v>
      </c>
      <c r="L412" s="104"/>
      <c r="M412" s="75"/>
      <c r="N412" s="75"/>
      <c r="O412" s="75"/>
      <c r="P412" s="75"/>
      <c r="Q412" s="105"/>
      <c r="R412" s="105"/>
      <c r="S412" s="96"/>
      <c r="T412" s="109"/>
      <c r="U412" s="100"/>
      <c r="V412" s="110"/>
      <c r="W412" s="110">
        <v>1</v>
      </c>
      <c r="X412" s="100"/>
      <c r="Y412" s="100"/>
      <c r="Z412" s="100"/>
      <c r="AA412" s="110"/>
      <c r="AB412" s="110"/>
      <c r="AC412" s="100"/>
      <c r="AD412" s="109"/>
      <c r="AE412" s="109"/>
      <c r="AF412" s="109"/>
      <c r="AG412" s="108"/>
      <c r="AH412" s="109"/>
      <c r="AI412" s="108"/>
      <c r="AJ412" s="111"/>
      <c r="AK412" s="100"/>
      <c r="AL412" s="110"/>
      <c r="AM412" s="110"/>
      <c r="AN412" s="100"/>
      <c r="AO412" s="100"/>
      <c r="AP412" s="100"/>
      <c r="AQ412" s="100"/>
      <c r="AR412" s="100"/>
      <c r="AS412" s="100"/>
      <c r="AT412" s="100"/>
      <c r="AU412" s="111"/>
      <c r="AV412" s="111"/>
    </row>
    <row r="413" spans="1:48" ht="16.3">
      <c r="A413" s="246" t="s">
        <v>362</v>
      </c>
      <c r="B413" s="538">
        <f>SUM(L413+M413+N413+O413+P413+U413+X413+Y413+Z413+AC413+AK413+AL413+AK413+AO413+AR413+AS413+AU413+AV413+AW413+AX413+AP413)+2</f>
        <v>2</v>
      </c>
      <c r="C413" s="215">
        <f>SUM(L413+M413+N413+O413+P413+U413+Y413+Z413+X413+AC413+AL413+AK413+AL413+AP413+AS413+AO413+AV413+AW413+AX413+AY413+AR413+AU413)+2</f>
        <v>2</v>
      </c>
      <c r="D413" s="133"/>
      <c r="E413" s="134"/>
      <c r="F413" s="135"/>
      <c r="G413" s="136"/>
      <c r="H413" s="683"/>
      <c r="I413" s="676"/>
      <c r="J413" s="96"/>
      <c r="K413" s="96"/>
      <c r="L413" s="104"/>
      <c r="M413" s="75"/>
      <c r="N413" s="75"/>
      <c r="O413" s="75"/>
      <c r="P413" s="75"/>
      <c r="Q413" s="105"/>
      <c r="R413" s="105"/>
      <c r="S413" s="96"/>
      <c r="T413" s="109"/>
      <c r="U413" s="100"/>
      <c r="V413" s="110"/>
      <c r="W413" s="110"/>
      <c r="X413" s="100"/>
      <c r="Y413" s="100"/>
      <c r="Z413" s="100"/>
      <c r="AA413" s="110"/>
      <c r="AB413" s="110"/>
      <c r="AC413" s="100"/>
      <c r="AD413" s="109"/>
      <c r="AE413" s="109"/>
      <c r="AF413" s="109"/>
      <c r="AG413" s="108"/>
      <c r="AH413" s="109"/>
      <c r="AI413" s="108"/>
      <c r="AJ413" s="111"/>
      <c r="AK413" s="100"/>
      <c r="AL413" s="110"/>
      <c r="AM413" s="110"/>
      <c r="AN413" s="100"/>
      <c r="AO413" s="100"/>
      <c r="AP413" s="100"/>
      <c r="AQ413" s="100"/>
      <c r="AR413" s="100"/>
      <c r="AS413" s="100"/>
      <c r="AT413" s="100"/>
      <c r="AU413" s="111"/>
      <c r="AV413" s="111"/>
    </row>
    <row r="414" spans="1:48" ht="16.3">
      <c r="A414" s="83" t="s">
        <v>3</v>
      </c>
      <c r="B414" s="539">
        <f>SUM(L414+M414+N414+O414+P414+U414+X414+Y414+Z414+AC414+AK414+AL414+AK414+AO414+AR414+AS414+AU414+AV414+AW414+AX414+AP414)+7</f>
        <v>9</v>
      </c>
      <c r="C414" s="214">
        <f>SUM(L414+M414+N414+O414+P414+U414+Y414+Z414+X414+AC414+AL414+AK414+AL414+AP414+AS414+AO414+AV414+AW414+AX414+AY414+AR414+AU414)+7</f>
        <v>9</v>
      </c>
      <c r="D414" s="133"/>
      <c r="E414" s="134"/>
      <c r="F414" s="135"/>
      <c r="G414" s="136"/>
      <c r="H414" s="683"/>
      <c r="I414" s="676"/>
      <c r="J414" s="96"/>
      <c r="K414" s="96"/>
      <c r="L414" s="104">
        <v>1</v>
      </c>
      <c r="M414" s="75"/>
      <c r="N414" s="75"/>
      <c r="O414" s="75"/>
      <c r="P414" s="75"/>
      <c r="Q414" s="105"/>
      <c r="R414" s="105"/>
      <c r="S414" s="96"/>
      <c r="T414" s="109"/>
      <c r="U414" s="100"/>
      <c r="V414" s="110"/>
      <c r="W414" s="110"/>
      <c r="X414" s="100"/>
      <c r="Y414" s="100"/>
      <c r="Z414" s="100"/>
      <c r="AA414" s="110"/>
      <c r="AB414" s="110"/>
      <c r="AC414" s="100">
        <v>1</v>
      </c>
      <c r="AD414" s="109"/>
      <c r="AE414" s="109"/>
      <c r="AF414" s="109"/>
      <c r="AG414" s="108"/>
      <c r="AH414" s="109"/>
      <c r="AI414" s="108"/>
      <c r="AJ414" s="111"/>
      <c r="AK414" s="100"/>
      <c r="AL414" s="110"/>
      <c r="AM414" s="110"/>
      <c r="AN414" s="100"/>
      <c r="AO414" s="100"/>
      <c r="AP414" s="100"/>
      <c r="AQ414" s="100"/>
      <c r="AR414" s="100"/>
      <c r="AS414" s="100"/>
      <c r="AT414" s="100"/>
      <c r="AU414" s="111"/>
      <c r="AV414" s="111"/>
    </row>
    <row r="415" spans="1:48" ht="17" thickBot="1">
      <c r="A415" s="85" t="s">
        <v>4</v>
      </c>
      <c r="B415" s="539">
        <f>SUM(L415+M415+N415+O415+P415+U415+X415+Y415+Z415+AC415+AK415+AL415+AK415+AO415+AR415+AS415+AU415+AV415+AW415+AX415+AP415)+35</f>
        <v>45</v>
      </c>
      <c r="C415" s="214">
        <f>SUM(L415+M415+N415+O415+P415+U415+Y415+Z415+X415+AC415+AL415+AK415+AL415+AP415+AS415+AO415+AV415+AW415+AX415+AY415+AR415+AU415)+35</f>
        <v>45</v>
      </c>
      <c r="D415" s="133"/>
      <c r="E415" s="134"/>
      <c r="F415" s="135"/>
      <c r="G415" s="136"/>
      <c r="H415" s="146"/>
      <c r="I415" s="684"/>
      <c r="J415" s="114"/>
      <c r="K415" s="114"/>
      <c r="L415" s="113">
        <v>5</v>
      </c>
      <c r="M415" s="112"/>
      <c r="N415" s="112"/>
      <c r="O415" s="112"/>
      <c r="P415" s="112"/>
      <c r="Q415" s="127"/>
      <c r="R415" s="127"/>
      <c r="S415" s="114"/>
      <c r="T415" s="118"/>
      <c r="U415" s="116"/>
      <c r="V415" s="119"/>
      <c r="W415" s="120"/>
      <c r="X415" s="116"/>
      <c r="Y415" s="116"/>
      <c r="Z415" s="116"/>
      <c r="AA415" s="120"/>
      <c r="AB415" s="120"/>
      <c r="AC415" s="116">
        <v>5</v>
      </c>
      <c r="AD415" s="118"/>
      <c r="AE415" s="118"/>
      <c r="AF415" s="118"/>
      <c r="AG415" s="117"/>
      <c r="AH415" s="118"/>
      <c r="AI415" s="117"/>
      <c r="AJ415" s="121"/>
      <c r="AK415" s="116"/>
      <c r="AL415" s="120"/>
      <c r="AM415" s="120"/>
      <c r="AN415" s="116"/>
      <c r="AO415" s="116"/>
      <c r="AP415" s="116"/>
      <c r="AQ415" s="116"/>
      <c r="AR415" s="116"/>
      <c r="AS415" s="116"/>
      <c r="AT415" s="116"/>
      <c r="AU415" s="121"/>
      <c r="AV415" s="121"/>
    </row>
    <row r="416" spans="1:48" ht="21.1">
      <c r="A416" s="82" t="s">
        <v>206</v>
      </c>
      <c r="B416" s="542"/>
      <c r="C416" s="218"/>
      <c r="D416" s="153"/>
      <c r="E416" s="154"/>
      <c r="F416" s="155"/>
      <c r="G416" s="156"/>
      <c r="H416" s="683"/>
      <c r="I416" s="676"/>
      <c r="J416" s="96">
        <v>8</v>
      </c>
      <c r="K416" s="96">
        <v>8</v>
      </c>
      <c r="L416" s="104" t="s">
        <v>692</v>
      </c>
      <c r="M416" s="75" t="s">
        <v>703</v>
      </c>
      <c r="N416" s="75" t="s">
        <v>703</v>
      </c>
      <c r="O416" s="75" t="s">
        <v>703</v>
      </c>
      <c r="P416" s="75" t="s">
        <v>703</v>
      </c>
      <c r="Q416" s="105"/>
      <c r="R416" s="105"/>
      <c r="S416" s="96"/>
      <c r="T416" s="109">
        <v>8</v>
      </c>
      <c r="U416" s="100"/>
      <c r="V416" s="110" t="s">
        <v>375</v>
      </c>
      <c r="W416" s="110"/>
      <c r="X416" s="100"/>
      <c r="Y416" s="100"/>
      <c r="Z416" s="100"/>
      <c r="AA416" s="110"/>
      <c r="AB416" s="110"/>
      <c r="AC416" s="100" t="s">
        <v>382</v>
      </c>
      <c r="AD416" s="109" t="s">
        <v>721</v>
      </c>
      <c r="AE416" s="109" t="s">
        <v>721</v>
      </c>
      <c r="AF416" s="109" t="s">
        <v>1033</v>
      </c>
      <c r="AG416" s="108"/>
      <c r="AH416" s="109" t="s">
        <v>1033</v>
      </c>
      <c r="AI416" s="108"/>
      <c r="AJ416" s="111"/>
      <c r="AK416" s="100"/>
      <c r="AL416" s="110"/>
      <c r="AM416" s="110"/>
      <c r="AN416" s="100"/>
      <c r="AO416" s="100"/>
      <c r="AP416" s="100"/>
      <c r="AQ416" s="100"/>
      <c r="AR416" s="100"/>
      <c r="AS416" s="100"/>
      <c r="AT416" s="100"/>
      <c r="AU416" s="111"/>
      <c r="AV416" s="111"/>
    </row>
    <row r="417" spans="1:48" ht="16.3">
      <c r="A417" s="246" t="s">
        <v>1</v>
      </c>
      <c r="B417" s="538">
        <f>SUM(L417+M417+N417+O417+P417+U417+X417+Y417+Z417+AC417+AK417+AL417+AK417+AO417+AR417+AS417+AU417+AV417+AW417+AX417+AP417)+2</f>
        <v>4</v>
      </c>
      <c r="C417" s="215">
        <f>SUM(L417+M417+N417+O417+P417+U417+Y417+Z417+X417+AC417+AL417+AK417+AL417+AP417+AS417+AO417+AV417+AW417+AX417+AY417+AR417+AU417)+2</f>
        <v>4</v>
      </c>
      <c r="D417" s="133"/>
      <c r="E417" s="134"/>
      <c r="F417" s="135"/>
      <c r="G417" s="136"/>
      <c r="H417" s="683"/>
      <c r="I417" s="676"/>
      <c r="J417" s="96">
        <v>1</v>
      </c>
      <c r="K417" s="96">
        <v>1</v>
      </c>
      <c r="L417" s="104">
        <v>1</v>
      </c>
      <c r="M417" s="75"/>
      <c r="N417" s="75"/>
      <c r="O417" s="75"/>
      <c r="P417" s="75"/>
      <c r="Q417" s="105"/>
      <c r="R417" s="105"/>
      <c r="S417" s="96"/>
      <c r="T417" s="109">
        <v>1</v>
      </c>
      <c r="U417" s="100"/>
      <c r="V417" s="110"/>
      <c r="W417" s="110"/>
      <c r="X417" s="100"/>
      <c r="Y417" s="100"/>
      <c r="Z417" s="100"/>
      <c r="AA417" s="110"/>
      <c r="AB417" s="110"/>
      <c r="AC417" s="100">
        <v>1</v>
      </c>
      <c r="AD417" s="109">
        <v>1</v>
      </c>
      <c r="AE417" s="109">
        <v>1</v>
      </c>
      <c r="AF417" s="109">
        <v>1</v>
      </c>
      <c r="AG417" s="108"/>
      <c r="AH417" s="109">
        <v>1</v>
      </c>
      <c r="AI417" s="108"/>
      <c r="AJ417" s="111"/>
      <c r="AK417" s="100"/>
      <c r="AL417" s="110"/>
      <c r="AM417" s="110"/>
      <c r="AN417" s="100"/>
      <c r="AO417" s="100"/>
      <c r="AP417" s="100"/>
      <c r="AQ417" s="100"/>
      <c r="AR417" s="100"/>
      <c r="AS417" s="100"/>
      <c r="AT417" s="100"/>
      <c r="AU417" s="111"/>
      <c r="AV417" s="111"/>
    </row>
    <row r="418" spans="1:48" ht="16.3">
      <c r="A418" s="246" t="s">
        <v>2</v>
      </c>
      <c r="B418" s="538">
        <f>SUM(L418+M418+N418+O418+P418+U418+X418+Y418+Z418+AC418+AK418+AL418+AK418+AO418+AR418+AS418+AU418+AV418+AW418+AX418+AP418)+7</f>
        <v>7</v>
      </c>
      <c r="C418" s="215">
        <f>SUM(L418+M418+N418+O418+P418+U418+Y418+Z418+X418+AC418+AL418+AK418+AL418+AP418+AS418+AO418+AV418+AW418+AX418+AY418+AR418+AU418)+7</f>
        <v>7</v>
      </c>
      <c r="D418" s="133"/>
      <c r="E418" s="134"/>
      <c r="F418" s="135"/>
      <c r="G418" s="136"/>
      <c r="H418" s="683"/>
      <c r="I418" s="676"/>
      <c r="J418" s="96"/>
      <c r="K418" s="96"/>
      <c r="L418" s="104"/>
      <c r="M418" s="75"/>
      <c r="N418" s="75"/>
      <c r="O418" s="75"/>
      <c r="P418" s="75"/>
      <c r="Q418" s="105"/>
      <c r="R418" s="105"/>
      <c r="S418" s="96"/>
      <c r="T418" s="109"/>
      <c r="U418" s="100"/>
      <c r="V418" s="110">
        <v>1</v>
      </c>
      <c r="W418" s="110"/>
      <c r="X418" s="100"/>
      <c r="Y418" s="100"/>
      <c r="Z418" s="100"/>
      <c r="AA418" s="110"/>
      <c r="AB418" s="110"/>
      <c r="AC418" s="100"/>
      <c r="AD418" s="109"/>
      <c r="AE418" s="109"/>
      <c r="AF418" s="109"/>
      <c r="AG418" s="108"/>
      <c r="AH418" s="109"/>
      <c r="AI418" s="108"/>
      <c r="AJ418" s="111"/>
      <c r="AK418" s="100"/>
      <c r="AL418" s="110"/>
      <c r="AM418" s="110"/>
      <c r="AN418" s="100"/>
      <c r="AO418" s="100"/>
      <c r="AP418" s="100"/>
      <c r="AQ418" s="100"/>
      <c r="AR418" s="100"/>
      <c r="AS418" s="100"/>
      <c r="AT418" s="100"/>
      <c r="AU418" s="111"/>
      <c r="AV418" s="111"/>
    </row>
    <row r="419" spans="1:48" ht="16.3">
      <c r="A419" s="83" t="s">
        <v>363</v>
      </c>
      <c r="B419" s="539">
        <f>SUM(B417+B418)</f>
        <v>11</v>
      </c>
      <c r="C419" s="214">
        <f t="shared" ref="C419" si="76">SUM(C417+C418)</f>
        <v>11</v>
      </c>
      <c r="D419" s="133"/>
      <c r="E419" s="134"/>
      <c r="F419" s="135"/>
      <c r="G419" s="136"/>
      <c r="H419" s="683"/>
      <c r="I419" s="676"/>
      <c r="J419" s="96"/>
      <c r="K419" s="96"/>
      <c r="L419" s="104"/>
      <c r="M419" s="75"/>
      <c r="N419" s="75"/>
      <c r="O419" s="75"/>
      <c r="P419" s="75"/>
      <c r="Q419" s="105"/>
      <c r="R419" s="105"/>
      <c r="S419" s="96"/>
      <c r="T419" s="109"/>
      <c r="U419" s="100"/>
      <c r="V419" s="110"/>
      <c r="W419" s="110"/>
      <c r="X419" s="100"/>
      <c r="Y419" s="100"/>
      <c r="Z419" s="100"/>
      <c r="AA419" s="110"/>
      <c r="AB419" s="110"/>
      <c r="AC419" s="100"/>
      <c r="AD419" s="109"/>
      <c r="AE419" s="109"/>
      <c r="AF419" s="109"/>
      <c r="AG419" s="108"/>
      <c r="AH419" s="109"/>
      <c r="AI419" s="108"/>
      <c r="AJ419" s="111"/>
      <c r="AK419" s="100"/>
      <c r="AL419" s="110"/>
      <c r="AM419" s="110"/>
      <c r="AN419" s="100"/>
      <c r="AO419" s="100"/>
      <c r="AP419" s="100"/>
      <c r="AQ419" s="100"/>
      <c r="AR419" s="100"/>
      <c r="AS419" s="100"/>
      <c r="AT419" s="100"/>
      <c r="AU419" s="111"/>
      <c r="AV419" s="111"/>
    </row>
    <row r="420" spans="1:48" ht="16.3">
      <c r="A420" s="246" t="s">
        <v>366</v>
      </c>
      <c r="B420" s="538">
        <f>SUM(L420+M420+N420+O420+P420+U420+X420+Y420+Z420+AC420+AK420+AL420+AK420+AO420+AR420+AS420+AU420+AV420+AW420+AX420+AP420)</f>
        <v>0</v>
      </c>
      <c r="C420" s="215">
        <f>SUM(L420+M420+N420+O420+P420+U420+Y420+Z420+X420+AC420+AL420+AK420+AL420+AP420+AS420+AO420+AV420+AW420+AX420+AY420+AR420+AU420)</f>
        <v>0</v>
      </c>
      <c r="D420" s="133"/>
      <c r="E420" s="134"/>
      <c r="F420" s="135"/>
      <c r="G420" s="136"/>
      <c r="H420" s="683"/>
      <c r="I420" s="676"/>
      <c r="J420" s="96"/>
      <c r="K420" s="96"/>
      <c r="L420" s="104"/>
      <c r="M420" s="75"/>
      <c r="N420" s="75"/>
      <c r="O420" s="75"/>
      <c r="P420" s="75"/>
      <c r="Q420" s="105"/>
      <c r="R420" s="105"/>
      <c r="S420" s="96"/>
      <c r="T420" s="109"/>
      <c r="U420" s="100"/>
      <c r="V420" s="110"/>
      <c r="W420" s="110"/>
      <c r="X420" s="100"/>
      <c r="Y420" s="100"/>
      <c r="Z420" s="100"/>
      <c r="AA420" s="110"/>
      <c r="AB420" s="110"/>
      <c r="AC420" s="100"/>
      <c r="AD420" s="109">
        <v>1</v>
      </c>
      <c r="AE420" s="109">
        <v>1</v>
      </c>
      <c r="AF420" s="109">
        <v>1</v>
      </c>
      <c r="AG420" s="108"/>
      <c r="AH420" s="109">
        <v>1</v>
      </c>
      <c r="AI420" s="108"/>
      <c r="AJ420" s="111"/>
      <c r="AK420" s="100"/>
      <c r="AL420" s="110"/>
      <c r="AM420" s="110"/>
      <c r="AN420" s="100"/>
      <c r="AO420" s="100"/>
      <c r="AP420" s="100"/>
      <c r="AQ420" s="100"/>
      <c r="AR420" s="100"/>
      <c r="AS420" s="100"/>
      <c r="AT420" s="100"/>
      <c r="AU420" s="111"/>
      <c r="AV420" s="111"/>
    </row>
    <row r="421" spans="1:48" ht="16.3">
      <c r="A421" s="246" t="s">
        <v>364</v>
      </c>
      <c r="B421" s="538">
        <f>SUM(L421+M421+N421+O421+P421+U421+X421+Y421+Z421+AC421+AK421+AL421+AK421+AO421+AR421+AS421+AU421+AV421+AW421+AX421+AP421)</f>
        <v>1</v>
      </c>
      <c r="C421" s="215">
        <f>SUM(L421+M421+N421+O421+P421+U421+Y421+Z421+X421+AC421+AL421+AK421+AL421+AP421+AS421+AO421+AV421+AW421+AX421+AY421+AR421+AU421)</f>
        <v>1</v>
      </c>
      <c r="D421" s="133"/>
      <c r="E421" s="134"/>
      <c r="F421" s="135"/>
      <c r="G421" s="136"/>
      <c r="H421" s="683"/>
      <c r="I421" s="676"/>
      <c r="J421" s="96"/>
      <c r="K421" s="96"/>
      <c r="L421" s="104">
        <v>1</v>
      </c>
      <c r="M421" s="75"/>
      <c r="N421" s="75"/>
      <c r="O421" s="75"/>
      <c r="P421" s="75"/>
      <c r="Q421" s="105"/>
      <c r="R421" s="105"/>
      <c r="S421" s="96"/>
      <c r="T421" s="109"/>
      <c r="U421" s="100"/>
      <c r="V421" s="110"/>
      <c r="W421" s="110"/>
      <c r="X421" s="100"/>
      <c r="Y421" s="100"/>
      <c r="Z421" s="100"/>
      <c r="AA421" s="110"/>
      <c r="AB421" s="110"/>
      <c r="AC421" s="100"/>
      <c r="AD421" s="109"/>
      <c r="AE421" s="109"/>
      <c r="AF421" s="109"/>
      <c r="AG421" s="108"/>
      <c r="AH421" s="109"/>
      <c r="AI421" s="108"/>
      <c r="AJ421" s="111"/>
      <c r="AK421" s="100"/>
      <c r="AL421" s="110"/>
      <c r="AM421" s="110"/>
      <c r="AN421" s="100"/>
      <c r="AO421" s="100"/>
      <c r="AP421" s="100"/>
      <c r="AQ421" s="100"/>
      <c r="AR421" s="100"/>
      <c r="AS421" s="100"/>
      <c r="AT421" s="100"/>
      <c r="AU421" s="111"/>
      <c r="AV421" s="111"/>
    </row>
    <row r="422" spans="1:48" ht="16.3">
      <c r="A422" s="83" t="s">
        <v>3</v>
      </c>
      <c r="B422" s="539">
        <f>SUM(L422+M422+N422+O422+P422+U422+X422+Y422+Z422+AC422+AK422+AL422+AK422+AO422+AR422+AS422+AU422+AV422+AW422+AX422+AP422)</f>
        <v>0</v>
      </c>
      <c r="C422" s="214">
        <f>SUM(L422+M422+N422+O422+P422+U422+Y422+Z422+X422+AC422+AL422+AK422+AL422+AP422+AS422+AO422+AV422+AW422+AX422+AY422+AR422+AU422)</f>
        <v>0</v>
      </c>
      <c r="D422" s="133"/>
      <c r="E422" s="134"/>
      <c r="F422" s="135"/>
      <c r="G422" s="136"/>
      <c r="H422" s="683"/>
      <c r="I422" s="676"/>
      <c r="J422" s="96">
        <v>1</v>
      </c>
      <c r="K422" s="96"/>
      <c r="L422" s="104"/>
      <c r="M422" s="75"/>
      <c r="N422" s="75"/>
      <c r="O422" s="75"/>
      <c r="P422" s="75"/>
      <c r="Q422" s="105"/>
      <c r="R422" s="105"/>
      <c r="S422" s="96"/>
      <c r="T422" s="109">
        <v>1</v>
      </c>
      <c r="U422" s="100"/>
      <c r="V422" s="110"/>
      <c r="W422" s="110"/>
      <c r="X422" s="100"/>
      <c r="Y422" s="100"/>
      <c r="Z422" s="100"/>
      <c r="AA422" s="110"/>
      <c r="AB422" s="110"/>
      <c r="AC422" s="100"/>
      <c r="AD422" s="109"/>
      <c r="AE422" s="109"/>
      <c r="AF422" s="109"/>
      <c r="AG422" s="108"/>
      <c r="AH422" s="109"/>
      <c r="AI422" s="108"/>
      <c r="AJ422" s="111"/>
      <c r="AK422" s="100"/>
      <c r="AL422" s="110"/>
      <c r="AM422" s="110"/>
      <c r="AN422" s="100"/>
      <c r="AO422" s="100"/>
      <c r="AP422" s="100"/>
      <c r="AQ422" s="100"/>
      <c r="AR422" s="100"/>
      <c r="AS422" s="100"/>
      <c r="AT422" s="100"/>
      <c r="AU422" s="111"/>
      <c r="AV422" s="111"/>
    </row>
    <row r="423" spans="1:48" ht="17" thickBot="1">
      <c r="A423" s="85" t="s">
        <v>4</v>
      </c>
      <c r="B423" s="541">
        <f>SUM(L423+M423+N423+O423+P423+U423+X423+Y423+Z423+AC423+AK423+AL423+AK423+AO423+AR423+AS423+AU423+AV423+AW423+AX423+AP423)</f>
        <v>0</v>
      </c>
      <c r="C423" s="217">
        <f>SUM(L423+M423+N423+O423+P423+U423+Y423+Z423+X423+AC423+AL423+AK423+AL423+AP423+AS423+AO423+AV423+AW423+AX423+AY423+AR423+AU423)</f>
        <v>0</v>
      </c>
      <c r="D423" s="144"/>
      <c r="E423" s="145"/>
      <c r="F423" s="146"/>
      <c r="G423" s="147"/>
      <c r="H423" s="684"/>
      <c r="I423" s="677"/>
      <c r="J423" s="114">
        <v>5</v>
      </c>
      <c r="K423" s="114"/>
      <c r="L423" s="113"/>
      <c r="M423" s="112"/>
      <c r="N423" s="112"/>
      <c r="O423" s="112"/>
      <c r="P423" s="112"/>
      <c r="Q423" s="127"/>
      <c r="R423" s="127"/>
      <c r="S423" s="114"/>
      <c r="T423" s="118">
        <v>5</v>
      </c>
      <c r="U423" s="116"/>
      <c r="V423" s="119"/>
      <c r="W423" s="119"/>
      <c r="X423" s="116"/>
      <c r="Y423" s="116"/>
      <c r="Z423" s="116"/>
      <c r="AA423" s="120"/>
      <c r="AB423" s="120"/>
      <c r="AC423" s="116"/>
      <c r="AD423" s="118"/>
      <c r="AE423" s="118"/>
      <c r="AF423" s="118"/>
      <c r="AG423" s="117"/>
      <c r="AH423" s="118"/>
      <c r="AI423" s="117"/>
      <c r="AJ423" s="121"/>
      <c r="AK423" s="116"/>
      <c r="AL423" s="120"/>
      <c r="AM423" s="120"/>
      <c r="AN423" s="116"/>
      <c r="AO423" s="116"/>
      <c r="AP423" s="116"/>
      <c r="AQ423" s="116"/>
      <c r="AR423" s="116"/>
      <c r="AS423" s="116"/>
      <c r="AT423" s="116"/>
      <c r="AU423" s="121"/>
      <c r="AV423" s="121"/>
    </row>
    <row r="424" spans="1:48" ht="21.1">
      <c r="A424" s="86" t="s">
        <v>8</v>
      </c>
      <c r="B424" s="543"/>
      <c r="C424" s="131"/>
      <c r="D424" s="122"/>
      <c r="E424" s="122"/>
      <c r="F424" s="123"/>
      <c r="G424" s="102"/>
      <c r="H424" s="122"/>
      <c r="I424" s="123"/>
      <c r="J424" s="99"/>
      <c r="K424" s="99"/>
      <c r="L424" s="102"/>
      <c r="M424" s="102"/>
      <c r="N424" s="102"/>
      <c r="O424" s="102"/>
      <c r="P424" s="102"/>
      <c r="Q424" s="98"/>
      <c r="R424" s="180"/>
      <c r="S424" s="124"/>
      <c r="T424" s="99"/>
      <c r="U424" s="102"/>
      <c r="V424" s="101"/>
      <c r="W424" s="101"/>
      <c r="X424" s="102"/>
      <c r="Y424" s="102"/>
      <c r="Z424" s="102"/>
      <c r="AA424" s="101"/>
      <c r="AB424" s="101"/>
      <c r="AC424" s="102"/>
      <c r="AD424" s="99"/>
      <c r="AE424" s="99"/>
      <c r="AF424" s="99"/>
      <c r="AG424" s="98"/>
      <c r="AH424" s="99"/>
      <c r="AI424" s="98"/>
      <c r="AJ424" s="103"/>
      <c r="AK424" s="102"/>
      <c r="AL424" s="101"/>
      <c r="AM424" s="101"/>
      <c r="AN424" s="102"/>
      <c r="AO424" s="102"/>
      <c r="AP424" s="102"/>
      <c r="AQ424" s="102"/>
      <c r="AR424" s="122"/>
      <c r="AS424" s="122"/>
      <c r="AT424" s="122"/>
      <c r="AU424" s="131"/>
      <c r="AV424" s="103"/>
    </row>
    <row r="425" spans="1:48" ht="16.3">
      <c r="A425" s="83" t="s">
        <v>3</v>
      </c>
      <c r="B425" s="543"/>
      <c r="C425" s="107"/>
      <c r="D425" s="75"/>
      <c r="E425" s="75"/>
      <c r="F425" s="104"/>
      <c r="G425" s="100"/>
      <c r="H425" s="75"/>
      <c r="I425" s="104"/>
      <c r="J425" s="109"/>
      <c r="K425" s="109"/>
      <c r="L425" s="100"/>
      <c r="M425" s="100"/>
      <c r="N425" s="100"/>
      <c r="O425" s="100">
        <v>1</v>
      </c>
      <c r="P425" s="100"/>
      <c r="Q425" s="108"/>
      <c r="R425" s="105"/>
      <c r="S425" s="96"/>
      <c r="T425" s="109"/>
      <c r="U425" s="100"/>
      <c r="V425" s="110"/>
      <c r="W425" s="110"/>
      <c r="X425" s="100">
        <v>1</v>
      </c>
      <c r="Y425" s="100"/>
      <c r="Z425" s="100"/>
      <c r="AA425" s="110"/>
      <c r="AB425" s="110"/>
      <c r="AC425" s="100">
        <v>1</v>
      </c>
      <c r="AD425" s="109"/>
      <c r="AE425" s="109"/>
      <c r="AF425" s="109"/>
      <c r="AG425" s="108"/>
      <c r="AH425" s="109"/>
      <c r="AI425" s="108"/>
      <c r="AJ425" s="111"/>
      <c r="AK425" s="100"/>
      <c r="AL425" s="110"/>
      <c r="AM425" s="110"/>
      <c r="AN425" s="100"/>
      <c r="AO425" s="100"/>
      <c r="AP425" s="100"/>
      <c r="AQ425" s="100"/>
      <c r="AR425" s="75"/>
      <c r="AS425" s="75"/>
      <c r="AT425" s="75"/>
      <c r="AU425" s="107"/>
      <c r="AV425" s="111"/>
    </row>
    <row r="426" spans="1:48" ht="17" thickBot="1">
      <c r="A426" s="85" t="s">
        <v>4</v>
      </c>
      <c r="B426" s="543"/>
      <c r="C426" s="245"/>
      <c r="D426" s="112"/>
      <c r="E426" s="112"/>
      <c r="F426" s="113"/>
      <c r="G426" s="116"/>
      <c r="H426" s="112"/>
      <c r="I426" s="113"/>
      <c r="J426" s="118"/>
      <c r="K426" s="118"/>
      <c r="L426" s="116"/>
      <c r="M426" s="116"/>
      <c r="N426" s="116"/>
      <c r="O426" s="116">
        <v>7</v>
      </c>
      <c r="P426" s="112"/>
      <c r="Q426" s="117"/>
      <c r="R426" s="127"/>
      <c r="S426" s="114"/>
      <c r="T426" s="118"/>
      <c r="U426" s="116"/>
      <c r="V426" s="120"/>
      <c r="W426" s="120"/>
      <c r="X426" s="116">
        <v>7</v>
      </c>
      <c r="Y426" s="116"/>
      <c r="Z426" s="116"/>
      <c r="AA426" s="110"/>
      <c r="AB426" s="120"/>
      <c r="AC426" s="116">
        <v>7</v>
      </c>
      <c r="AD426" s="118"/>
      <c r="AE426" s="118"/>
      <c r="AF426" s="118"/>
      <c r="AG426" s="117"/>
      <c r="AH426" s="118"/>
      <c r="AI426" s="117"/>
      <c r="AJ426" s="121"/>
      <c r="AK426" s="116"/>
      <c r="AL426" s="120"/>
      <c r="AM426" s="120"/>
      <c r="AN426" s="116"/>
      <c r="AO426" s="116"/>
      <c r="AP426" s="116"/>
      <c r="AQ426" s="116"/>
      <c r="AR426" s="112"/>
      <c r="AS426" s="75"/>
      <c r="AT426" s="75"/>
      <c r="AU426" s="107"/>
      <c r="AV426" s="121"/>
    </row>
    <row r="427" spans="1:48">
      <c r="A427" s="665"/>
      <c r="B427" s="862" t="s">
        <v>352</v>
      </c>
      <c r="C427" s="863"/>
      <c r="D427" s="864" t="s">
        <v>350</v>
      </c>
      <c r="E427" s="865"/>
      <c r="F427" s="866" t="s">
        <v>351</v>
      </c>
      <c r="G427" s="867"/>
      <c r="H427" s="868" t="s">
        <v>873</v>
      </c>
      <c r="I427" s="869"/>
      <c r="J427" s="389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  <c r="W427" s="693"/>
      <c r="X427" s="323"/>
      <c r="Y427" s="323"/>
      <c r="Z427" s="300"/>
      <c r="AA427" s="323"/>
      <c r="AB427" s="323"/>
      <c r="AC427" s="323"/>
      <c r="AD427" s="323"/>
      <c r="AE427" s="300"/>
      <c r="AF427" s="300"/>
      <c r="AG427" s="323"/>
      <c r="AH427" s="323"/>
      <c r="AI427" s="323"/>
      <c r="AJ427" s="323"/>
      <c r="AK427" s="323"/>
      <c r="AL427" s="323"/>
      <c r="AM427" s="323"/>
      <c r="AN427" s="323"/>
      <c r="AO427" s="323"/>
      <c r="AP427" s="323"/>
      <c r="AQ427" s="323"/>
      <c r="AR427" s="323"/>
      <c r="AS427" s="323"/>
      <c r="AT427" s="323"/>
      <c r="AU427" s="390"/>
      <c r="AV427" s="391"/>
    </row>
    <row r="428" spans="1:48" ht="21.75" thickBot="1">
      <c r="A428" s="666" t="s">
        <v>874</v>
      </c>
      <c r="B428" s="544" t="s">
        <v>361</v>
      </c>
      <c r="C428" s="64" t="s">
        <v>349</v>
      </c>
      <c r="D428" s="544" t="s">
        <v>361</v>
      </c>
      <c r="E428" s="61" t="s">
        <v>349</v>
      </c>
      <c r="F428" s="544" t="s">
        <v>361</v>
      </c>
      <c r="G428" s="70" t="s">
        <v>349</v>
      </c>
      <c r="H428" s="544" t="s">
        <v>361</v>
      </c>
      <c r="I428" s="681" t="s">
        <v>349</v>
      </c>
      <c r="J428" s="392"/>
      <c r="K428" s="324"/>
      <c r="L428" s="324"/>
      <c r="M428" s="324"/>
      <c r="N428" s="324"/>
      <c r="O428" s="324"/>
      <c r="P428" s="324"/>
      <c r="Q428" s="324"/>
      <c r="R428" s="324"/>
      <c r="S428" s="327"/>
      <c r="T428" s="327"/>
      <c r="U428" s="327"/>
      <c r="V428" s="327"/>
      <c r="W428" s="694"/>
      <c r="X428" s="327"/>
      <c r="Y428" s="327"/>
      <c r="Z428" s="610"/>
      <c r="AA428" s="327"/>
      <c r="AB428" s="327"/>
      <c r="AC428" s="327"/>
      <c r="AD428" s="327"/>
      <c r="AE428" s="327"/>
      <c r="AF428" s="327"/>
      <c r="AG428" s="327"/>
      <c r="AH428" s="327"/>
      <c r="AI428" s="327"/>
      <c r="AJ428" s="327"/>
      <c r="AK428" s="327"/>
      <c r="AL428" s="327"/>
      <c r="AM428" s="393"/>
      <c r="AN428" s="393"/>
      <c r="AO428" s="393"/>
      <c r="AP428" s="393"/>
      <c r="AQ428" s="393"/>
      <c r="AR428" s="393"/>
      <c r="AS428" s="393"/>
      <c r="AT428" s="393"/>
      <c r="AU428" s="393"/>
      <c r="AV428" s="394"/>
    </row>
    <row r="429" spans="1:48">
      <c r="A429" s="301" t="s">
        <v>476</v>
      </c>
      <c r="B429" s="667">
        <f>SUM(L429+M429+N429+O429+P429+U429+X429+Y429+Z429+AC429+AK429+AL429+AO429+AP429+AR429+AS429+AU429+AV429+AW422+AX422)+307</f>
        <v>317</v>
      </c>
      <c r="C429" s="317">
        <f>B429</f>
        <v>317</v>
      </c>
      <c r="D429" s="671">
        <f>SUM(V429+W429+AA429+AB429+AM429+AN429+AQ429+AT429)+92</f>
        <v>96</v>
      </c>
      <c r="E429" s="355">
        <f>SUM(W429+V429+AB429+AA429+AN429+AO429+AR429+AU429)+111</f>
        <v>115</v>
      </c>
      <c r="F429" s="671">
        <v>6</v>
      </c>
      <c r="G429" s="358">
        <f>F429</f>
        <v>6</v>
      </c>
      <c r="H429" s="690">
        <f>SUM(J429+K429+S429+T429+AD429+AE429+AF429+AG429+AH429+AI429+AJ429)+60</f>
        <v>68</v>
      </c>
      <c r="I429" s="688">
        <f>H429</f>
        <v>68</v>
      </c>
      <c r="J429" s="491">
        <v>1</v>
      </c>
      <c r="K429" s="491">
        <v>1</v>
      </c>
      <c r="L429" s="305">
        <v>1</v>
      </c>
      <c r="M429" s="305">
        <v>1</v>
      </c>
      <c r="N429" s="303">
        <v>1</v>
      </c>
      <c r="O429" s="362">
        <v>1</v>
      </c>
      <c r="P429" s="305">
        <v>1</v>
      </c>
      <c r="Q429" s="530"/>
      <c r="R429" s="530"/>
      <c r="S429" s="491">
        <v>1</v>
      </c>
      <c r="T429" s="491">
        <v>1</v>
      </c>
      <c r="U429" s="305">
        <v>1</v>
      </c>
      <c r="V429" s="344">
        <v>1</v>
      </c>
      <c r="W429" s="344">
        <v>1</v>
      </c>
      <c r="X429" s="306">
        <v>1</v>
      </c>
      <c r="Y429" s="306">
        <v>1</v>
      </c>
      <c r="Z429" s="781">
        <v>1</v>
      </c>
      <c r="AA429" s="344">
        <v>1</v>
      </c>
      <c r="AB429" s="344">
        <v>1</v>
      </c>
      <c r="AC429" s="306">
        <v>1</v>
      </c>
      <c r="AD429" s="812">
        <v>1</v>
      </c>
      <c r="AE429" s="815">
        <v>1</v>
      </c>
      <c r="AF429" s="812">
        <v>1</v>
      </c>
      <c r="AG429" s="820"/>
      <c r="AH429" s="815">
        <v>1</v>
      </c>
      <c r="AI429" s="820"/>
      <c r="AJ429" s="820"/>
      <c r="AK429" s="306"/>
      <c r="AL429" s="419"/>
      <c r="AM429" s="463"/>
      <c r="AN429" s="362"/>
      <c r="AO429" s="362"/>
      <c r="AP429" s="464"/>
      <c r="AQ429" s="362"/>
      <c r="AR429" s="362"/>
      <c r="AS429" s="464"/>
      <c r="AT429" s="362"/>
      <c r="AU429" s="362"/>
      <c r="AV429" s="362"/>
    </row>
    <row r="430" spans="1:48">
      <c r="A430" s="304" t="s">
        <v>477</v>
      </c>
      <c r="B430" s="668">
        <f>SUM(L430+M430+N430+O430+P430+U430+X430+Y430+Z430+AC430+AK430+AL430+AO430+AP430+AR430+AS430+AU430+AV430+AW423+AX423)+220</f>
        <v>225</v>
      </c>
      <c r="C430" s="318">
        <f t="shared" ref="C430:C432" si="77">B430</f>
        <v>225</v>
      </c>
      <c r="D430" s="672">
        <f>SUM(V430+W430+AA430+AB430+AM430+AN430+AQ430+AT430)+64</f>
        <v>66</v>
      </c>
      <c r="E430" s="356">
        <f>SUM(W430+V430+AB430+AA430+AN430+AO430+AR430+AU430)+72</f>
        <v>74</v>
      </c>
      <c r="F430" s="672">
        <v>4</v>
      </c>
      <c r="G430" s="359">
        <f t="shared" ref="G430:G433" si="78">F430</f>
        <v>4</v>
      </c>
      <c r="H430" s="690">
        <f>SUM(J430+K430+S430+T430+AD430+AE430+AF430+AG430+AH430+AI430+AJ430)+34</f>
        <v>37</v>
      </c>
      <c r="I430" s="688">
        <f t="shared" ref="I430:I432" si="79">H430</f>
        <v>37</v>
      </c>
      <c r="J430" s="491">
        <v>0</v>
      </c>
      <c r="K430" s="491">
        <v>0</v>
      </c>
      <c r="L430" s="305">
        <v>1</v>
      </c>
      <c r="M430" s="305">
        <v>1</v>
      </c>
      <c r="N430" s="306">
        <v>0</v>
      </c>
      <c r="O430" s="362">
        <v>1</v>
      </c>
      <c r="P430" s="305">
        <v>0</v>
      </c>
      <c r="Q430" s="530"/>
      <c r="R430" s="530"/>
      <c r="S430" s="491">
        <v>1</v>
      </c>
      <c r="T430" s="491">
        <v>1</v>
      </c>
      <c r="U430" s="305">
        <v>0</v>
      </c>
      <c r="V430" s="344">
        <v>1</v>
      </c>
      <c r="W430" s="344">
        <v>0</v>
      </c>
      <c r="X430" s="306">
        <v>0</v>
      </c>
      <c r="Y430" s="306">
        <v>1</v>
      </c>
      <c r="Z430" s="782">
        <v>0</v>
      </c>
      <c r="AA430" s="344">
        <v>1</v>
      </c>
      <c r="AB430" s="344">
        <v>0</v>
      </c>
      <c r="AC430" s="306">
        <v>1</v>
      </c>
      <c r="AD430" s="812">
        <v>1</v>
      </c>
      <c r="AE430" s="815">
        <v>0</v>
      </c>
      <c r="AF430" s="812">
        <v>0</v>
      </c>
      <c r="AG430" s="820"/>
      <c r="AH430" s="815">
        <v>0</v>
      </c>
      <c r="AI430" s="820"/>
      <c r="AJ430" s="820"/>
      <c r="AK430" s="306"/>
      <c r="AL430" s="419"/>
      <c r="AM430" s="463"/>
      <c r="AN430" s="362"/>
      <c r="AO430" s="362"/>
      <c r="AP430" s="464"/>
      <c r="AQ430" s="362"/>
      <c r="AR430" s="362"/>
      <c r="AS430" s="464"/>
      <c r="AT430" s="362"/>
      <c r="AU430" s="362"/>
      <c r="AV430" s="362"/>
    </row>
    <row r="431" spans="1:48">
      <c r="A431" s="304" t="s">
        <v>478</v>
      </c>
      <c r="B431" s="668">
        <f>SUM(L431+M431+N431+O431+P431+U431+X431+Y431+Z431+AC431+AK431+AL431+AO431+AP431+AR431+AS431+AU431+AV431+AW424+AX424)+7</f>
        <v>7</v>
      </c>
      <c r="C431" s="318">
        <f t="shared" si="77"/>
        <v>7</v>
      </c>
      <c r="D431" s="672">
        <f>SUM(V431+W431+AA431+AB431+AM431+AN431+AQ431+AT431)+2</f>
        <v>2</v>
      </c>
      <c r="E431" s="356">
        <f>SUM(W431+V431+AB431+AA431+AN431+AO431+AR431+AU431)+2</f>
        <v>2</v>
      </c>
      <c r="F431" s="672">
        <v>0</v>
      </c>
      <c r="G431" s="359">
        <f t="shared" si="78"/>
        <v>0</v>
      </c>
      <c r="H431" s="690">
        <f>SUM(J431+K431+S431+T431+AD431+AE431+AF431+AG431+AH431+AI431+AJ431)+1</f>
        <v>1</v>
      </c>
      <c r="I431" s="688">
        <f t="shared" si="79"/>
        <v>1</v>
      </c>
      <c r="J431" s="491">
        <v>0</v>
      </c>
      <c r="K431" s="491">
        <v>0</v>
      </c>
      <c r="L431" s="305">
        <v>0</v>
      </c>
      <c r="M431" s="305">
        <v>0</v>
      </c>
      <c r="N431" s="306">
        <v>0</v>
      </c>
      <c r="O431" s="362">
        <v>0</v>
      </c>
      <c r="P431" s="305">
        <v>0</v>
      </c>
      <c r="Q431" s="530"/>
      <c r="R431" s="530"/>
      <c r="S431" s="491">
        <v>0</v>
      </c>
      <c r="T431" s="491">
        <v>0</v>
      </c>
      <c r="U431" s="305">
        <v>0</v>
      </c>
      <c r="V431" s="344">
        <v>0</v>
      </c>
      <c r="W431" s="344">
        <v>0</v>
      </c>
      <c r="X431" s="306">
        <v>0</v>
      </c>
      <c r="Y431" s="306">
        <v>0</v>
      </c>
      <c r="Z431" s="782">
        <v>0</v>
      </c>
      <c r="AA431" s="344">
        <v>0</v>
      </c>
      <c r="AB431" s="344">
        <v>0</v>
      </c>
      <c r="AC431" s="306">
        <v>0</v>
      </c>
      <c r="AD431" s="812">
        <v>0</v>
      </c>
      <c r="AE431" s="815">
        <v>0</v>
      </c>
      <c r="AF431" s="812">
        <v>0</v>
      </c>
      <c r="AG431" s="820"/>
      <c r="AH431" s="815">
        <v>0</v>
      </c>
      <c r="AI431" s="820"/>
      <c r="AJ431" s="820"/>
      <c r="AK431" s="306"/>
      <c r="AL431" s="419"/>
      <c r="AM431" s="463"/>
      <c r="AN431" s="362"/>
      <c r="AO431" s="362"/>
      <c r="AP431" s="464"/>
      <c r="AQ431" s="362"/>
      <c r="AR431" s="362"/>
      <c r="AS431" s="464"/>
      <c r="AT431" s="362"/>
      <c r="AU431" s="362"/>
      <c r="AV431" s="362"/>
    </row>
    <row r="432" spans="1:48" ht="14.95" thickBot="1">
      <c r="A432" s="304" t="s">
        <v>479</v>
      </c>
      <c r="B432" s="669">
        <f>SUM(L432+M432+N432+O432+P432+U432+X432+Y432+Z432+AC432+AK432+AL432+AO432+AP432+AR432+AS432+AU432+AV432+AW425+AX425)+80</f>
        <v>85</v>
      </c>
      <c r="C432" s="354">
        <f t="shared" si="77"/>
        <v>85</v>
      </c>
      <c r="D432" s="673">
        <f>SUM(V432+W432+AA432+AB432+AM432+AN432+AQ432+AT432)+26</f>
        <v>28</v>
      </c>
      <c r="E432" s="357">
        <f>SUM(W432+V432+AB432+AA432+AN432+AO432+AR432+AU432)+37</f>
        <v>39</v>
      </c>
      <c r="F432" s="673">
        <v>2</v>
      </c>
      <c r="G432" s="360">
        <f t="shared" si="78"/>
        <v>2</v>
      </c>
      <c r="H432" s="690">
        <f>SUM(J432+K432+S432+T432+AD432+AE432+AF432+AG432+AH432+AI432+AJ432)+25</f>
        <v>30</v>
      </c>
      <c r="I432" s="688">
        <f t="shared" si="79"/>
        <v>30</v>
      </c>
      <c r="J432" s="491">
        <v>1</v>
      </c>
      <c r="K432" s="491">
        <v>1</v>
      </c>
      <c r="L432" s="305">
        <v>0</v>
      </c>
      <c r="M432" s="305">
        <v>0</v>
      </c>
      <c r="N432" s="306">
        <v>1</v>
      </c>
      <c r="O432" s="362">
        <v>0</v>
      </c>
      <c r="P432" s="305">
        <v>1</v>
      </c>
      <c r="Q432" s="530"/>
      <c r="R432" s="530"/>
      <c r="S432" s="491">
        <v>0</v>
      </c>
      <c r="T432" s="491">
        <v>0</v>
      </c>
      <c r="U432" s="305">
        <v>1</v>
      </c>
      <c r="V432" s="344">
        <v>0</v>
      </c>
      <c r="W432" s="344">
        <v>1</v>
      </c>
      <c r="X432" s="306">
        <v>1</v>
      </c>
      <c r="Y432" s="306">
        <v>0</v>
      </c>
      <c r="Z432" s="782">
        <v>1</v>
      </c>
      <c r="AA432" s="344">
        <v>0</v>
      </c>
      <c r="AB432" s="344">
        <v>1</v>
      </c>
      <c r="AC432" s="306">
        <v>0</v>
      </c>
      <c r="AD432" s="812">
        <v>0</v>
      </c>
      <c r="AE432" s="815">
        <v>1</v>
      </c>
      <c r="AF432" s="812">
        <v>1</v>
      </c>
      <c r="AG432" s="820"/>
      <c r="AH432" s="815">
        <v>1</v>
      </c>
      <c r="AI432" s="820"/>
      <c r="AJ432" s="820"/>
      <c r="AK432" s="306"/>
      <c r="AL432" s="419"/>
      <c r="AM432" s="463"/>
      <c r="AN432" s="362"/>
      <c r="AO432" s="362"/>
      <c r="AP432" s="464"/>
      <c r="AQ432" s="362"/>
      <c r="AR432" s="362"/>
      <c r="AS432" s="464"/>
      <c r="AT432" s="362"/>
      <c r="AU432" s="362"/>
      <c r="AV432" s="362"/>
    </row>
    <row r="433" spans="1:48" ht="14.95" thickBot="1">
      <c r="A433" s="307" t="s">
        <v>480</v>
      </c>
      <c r="B433" s="670">
        <f>SUM(B430+B431*0.5)/B429*100</f>
        <v>72.082018927444793</v>
      </c>
      <c r="C433" s="350">
        <f>SUM(C430+C431*0.5)/C429*100</f>
        <v>72.082018927444793</v>
      </c>
      <c r="D433" s="674">
        <f>SUM(D430+D431*0.5)/D429*100</f>
        <v>69.791666666666657</v>
      </c>
      <c r="E433" s="375">
        <f>SUM(E430+E431*0.5)/E429*100</f>
        <v>65.217391304347828</v>
      </c>
      <c r="F433" s="674">
        <f>SUM(F430+F431*0.5)/F429*100</f>
        <v>66.666666666666657</v>
      </c>
      <c r="G433" s="376">
        <f t="shared" si="78"/>
        <v>66.666666666666657</v>
      </c>
      <c r="H433" s="691">
        <f>SUM(H430+H431*0.5)/H429*100</f>
        <v>55.147058823529413</v>
      </c>
      <c r="I433" s="689">
        <f>H433</f>
        <v>55.147058823529413</v>
      </c>
      <c r="J433" s="492"/>
      <c r="K433" s="492"/>
      <c r="L433" s="340"/>
      <c r="M433" s="340"/>
      <c r="N433" s="309"/>
      <c r="O433" s="547"/>
      <c r="P433" s="462"/>
      <c r="Q433" s="584"/>
      <c r="R433" s="584"/>
      <c r="S433" s="583"/>
      <c r="T433" s="583"/>
      <c r="U433" s="340"/>
      <c r="V433" s="309"/>
      <c r="W433" s="403"/>
      <c r="X433" s="311"/>
      <c r="Y433" s="311"/>
      <c r="Z433" s="783"/>
      <c r="AA433" s="310"/>
      <c r="AB433" s="403"/>
      <c r="AC433" s="309"/>
      <c r="AD433" s="813"/>
      <c r="AE433" s="816"/>
      <c r="AF433" s="813"/>
      <c r="AG433" s="821"/>
      <c r="AH433" s="816"/>
      <c r="AI433" s="821"/>
      <c r="AJ433" s="821"/>
      <c r="AK433" s="309"/>
      <c r="AL433" s="420"/>
      <c r="AM433" s="463"/>
      <c r="AN433" s="362"/>
      <c r="AO433" s="362"/>
      <c r="AP433" s="464"/>
      <c r="AQ433" s="362"/>
      <c r="AR433" s="362"/>
      <c r="AS433" s="464"/>
      <c r="AT433" s="362"/>
      <c r="AU433" s="362"/>
      <c r="AV433" s="362"/>
    </row>
    <row r="434" spans="1:48" ht="21.1">
      <c r="A434" s="25" t="s">
        <v>10</v>
      </c>
      <c r="B434" s="859" t="s">
        <v>890</v>
      </c>
      <c r="C434" s="860"/>
      <c r="D434" s="860"/>
      <c r="E434" s="860"/>
      <c r="F434" s="860"/>
      <c r="G434" s="860"/>
      <c r="H434" s="860"/>
      <c r="I434" s="861"/>
      <c r="J434" s="28"/>
      <c r="K434" s="28"/>
      <c r="L434" s="28"/>
      <c r="M434" s="28"/>
      <c r="N434" s="28"/>
      <c r="O434" s="28"/>
      <c r="P434" s="28"/>
      <c r="Q434" s="34"/>
      <c r="R434" s="34"/>
      <c r="S434" s="28"/>
      <c r="T434" s="30"/>
      <c r="U434" s="30"/>
      <c r="V434" s="30"/>
      <c r="W434" s="30"/>
      <c r="X434" s="31"/>
      <c r="Y434" s="31"/>
      <c r="Z434" s="31"/>
      <c r="AA434" s="31"/>
      <c r="AB434" s="31"/>
      <c r="AC434" s="31"/>
      <c r="AD434" s="31"/>
      <c r="AE434" s="31"/>
      <c r="AF434" s="31"/>
      <c r="AG434" s="33"/>
      <c r="AH434" s="31"/>
      <c r="AI434" s="33"/>
      <c r="AJ434" s="33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3"/>
      <c r="AV434" s="33"/>
    </row>
    <row r="435" spans="1:48">
      <c r="A435" s="26" t="s">
        <v>1</v>
      </c>
      <c r="B435" s="34"/>
      <c r="C435" s="34"/>
      <c r="D435" s="34"/>
      <c r="E435" s="34"/>
      <c r="F435" s="34"/>
      <c r="G435" s="34"/>
      <c r="H435" s="34"/>
      <c r="I435" s="205"/>
      <c r="J435" s="28">
        <f>IF(SUMIF($A$4:$A426,$A435,J$4:J426)=0,"",SUMIF($A$4:$A426,$A435,J$4:J426))</f>
        <v>15</v>
      </c>
      <c r="K435" s="28">
        <f>IF(SUMIF($A$4:$A426,$A435,K$4:K426)=0,"",SUMIF($A$4:$A426,$A435,K$4:K426))</f>
        <v>15</v>
      </c>
      <c r="L435" s="28">
        <f>IF(SUMIF($A$4:$A426,$A435,L$4:L426)=0,"",SUMIF($A$4:$A426,$A435,L$4:L426))</f>
        <v>15</v>
      </c>
      <c r="M435" s="28">
        <f>IF(SUMIF($A$4:$A426,$A435,M$4:M426)=0,"",SUMIF($A$4:$A426,$A435,M$4:M426))</f>
        <v>15</v>
      </c>
      <c r="N435" s="28">
        <f>IF(SUMIF($A$4:$A426,$A435,N$4:N426)=0,"",SUMIF($A$4:$A426,$A435,N$4:N426))</f>
        <v>15</v>
      </c>
      <c r="O435" s="28">
        <f>IF(SUMIF($A$4:$A426,$A435,O$4:O426)=0,"",SUMIF($A$4:$A426,$A435,O$4:O426))</f>
        <v>15</v>
      </c>
      <c r="P435" s="28">
        <f>IF(SUMIF($A$4:$A426,$A435,P$4:P426)=0,"",SUMIF($A$4:$A426,$A435,P$4:P426))</f>
        <v>15</v>
      </c>
      <c r="Q435" s="34" t="str">
        <f>IF(SUMIF($A$4:$A426,$A435,Q$4:Q426)=0,"",SUMIF($A$4:$A426,$A435,Q$4:Q426))</f>
        <v/>
      </c>
      <c r="R435" s="34"/>
      <c r="S435" s="28">
        <f>IF(SUMIF($A$4:$A426,$A435,S$4:S426)=0,"",SUMIF($A$4:$A426,$A435,S$4:S426))</f>
        <v>15</v>
      </c>
      <c r="T435" s="28">
        <f>IF(SUMIF($A$4:$A426,$A435,T$4:T426)=0,"",SUMIF($A$4:$A426,$A435,T$4:T426))</f>
        <v>15</v>
      </c>
      <c r="U435" s="28">
        <f>IF(SUMIF($A$4:$A426,$A435,U$4:U426)=0,"",SUMIF($A$4:$A426,$A435,U$4:U426))</f>
        <v>15</v>
      </c>
      <c r="V435" s="28">
        <f>IF(SUMIF($A$4:$A426,$A435,V$4:V426)=0,"",SUMIF($A$4:$A426,$A435,V$4:V426))</f>
        <v>15</v>
      </c>
      <c r="W435" s="28">
        <f>IF(SUMIF($A$4:$A426,$A435,W$4:W426)=0,"",SUMIF($A$4:$A426,$A435,W$4:W426))</f>
        <v>15</v>
      </c>
      <c r="X435" s="28">
        <f>IF(SUMIF($A$4:$A426,$A435,X$4:X426)=0,"",SUMIF($A$4:$A426,$A435,X$4:X426))</f>
        <v>15</v>
      </c>
      <c r="Y435" s="28">
        <f>IF(SUMIF($A$4:$A426,$A435,Y$4:Y426)=0,"",SUMIF($A$4:$A426,$A435,Y$4:Y426))</f>
        <v>15</v>
      </c>
      <c r="Z435" s="28">
        <f>IF(SUMIF($A$4:$A426,$A435,Z$4:Z426)=0,"",SUMIF($A$4:$A426,$A435,Z$4:Z426))</f>
        <v>15</v>
      </c>
      <c r="AA435" s="28">
        <f>IF(SUMIF($A$4:$A426,$A435,AA$4:AA426)=0,"",SUMIF($A$4:$A426,$A435,AA$4:AA426))</f>
        <v>15</v>
      </c>
      <c r="AB435" s="28">
        <f>IF(SUMIF($A$4:$A426,$A435,AB$4:AB426)=0,"",SUMIF($A$4:$A426,$A435,AB$4:AB426))</f>
        <v>15</v>
      </c>
      <c r="AC435" s="28">
        <f>IF(SUMIF($A$4:$A426,$A435,AC$4:AC426)=0,"",SUMIF($A$4:$A426,$A435,AC$4:AC426))</f>
        <v>15</v>
      </c>
      <c r="AD435" s="28">
        <f>IF(SUMIF($A$4:$A426,$A435,AD$4:AD426)=0,"",SUMIF($A$4:$A426,$A435,AD$4:AD426))</f>
        <v>15</v>
      </c>
      <c r="AE435" s="28">
        <f>IF(SUMIF($A$4:$A426,$A435,AE$4:AE426)=0,"",SUMIF($A$4:$A426,$A435,AE$4:AE426))</f>
        <v>15</v>
      </c>
      <c r="AF435" s="28">
        <f>IF(SUMIF($A$4:$A426,$A435,AF$4:AF426)=0,"",SUMIF($A$4:$A426,$A435,AF$4:AF426))</f>
        <v>15</v>
      </c>
      <c r="AG435" s="34" t="str">
        <f>IF(SUMIF($A$4:$A426,$A435,AG$4:AG426)=0,"",SUMIF($A$4:$A426,$A435,AG$4:AG426))</f>
        <v/>
      </c>
      <c r="AH435" s="28">
        <f>IF(SUMIF($A$4:$A426,$A435,AH$4:AH426)=0,"",SUMIF($A$4:$A426,$A435,AH$4:AH426))</f>
        <v>15</v>
      </c>
      <c r="AI435" s="34" t="str">
        <f>IF(SUMIF($A$4:$A426,$A435,AI$4:AI426)=0,"",SUMIF($A$4:$A426,$A435,AI$4:AI426))</f>
        <v/>
      </c>
      <c r="AJ435" s="34" t="str">
        <f>IF(SUMIF($A$4:$A426,$A435,AJ$4:AJ426)=0,"",SUMIF($A$4:$A426,$A435,AJ$4:AJ426))</f>
        <v/>
      </c>
      <c r="AK435" s="28" t="str">
        <f>IF(SUMIF($A$4:$A426,$A435,AK$4:AK426)=0,"",SUMIF($A$4:$A426,$A435,AK$4:AK426))</f>
        <v/>
      </c>
      <c r="AL435" s="28" t="str">
        <f>IF(SUMIF($A$4:$A426,$A435,AL$4:AL426)=0,"",SUMIF($A$4:$A426,$A435,AL$4:AL426))</f>
        <v/>
      </c>
      <c r="AM435" s="28" t="str">
        <f>IF(SUMIF($A$4:$A426,$A435,AM$4:AM426)=0,"",SUMIF($A$4:$A426,$A435,AM$4:AM426))</f>
        <v/>
      </c>
      <c r="AN435" s="28" t="str">
        <f>IF(SUMIF($A$4:$A426,$A435,AN$4:AN426)=0,"",SUMIF($A$4:$A426,$A435,AN$4:AN426))</f>
        <v/>
      </c>
      <c r="AO435" s="28" t="str">
        <f>IF(SUMIF($A$4:$A426,$A435,AO$4:AO426)=0,"",SUMIF($A$4:$A426,$A435,AO$4:AO426))</f>
        <v/>
      </c>
      <c r="AP435" s="28" t="str">
        <f>IF(SUMIF($A$4:$A426,$A435,AP$4:AP426)=0,"",SUMIF($A$4:$A426,$A435,AP$4:AP426))</f>
        <v/>
      </c>
      <c r="AQ435" s="28" t="str">
        <f>IF(SUMIF($A$4:$A426,$A435,AQ$4:AQ426)=0,"",SUMIF($A$4:$A426,$A435,AQ$4:AQ426))</f>
        <v/>
      </c>
      <c r="AR435" s="28" t="str">
        <f>IF(SUMIF($A$4:$A426,$A435,AR$4:AR426)=0,"",SUMIF($A$4:$A426,$A435,AR$4:AR426))</f>
        <v/>
      </c>
      <c r="AS435" s="28" t="str">
        <f>IF(SUMIF($A$4:$A426,$A435,AS$4:AS426)=0,"",SUMIF($A$4:$A426,$A435,AS$4:AS426))</f>
        <v/>
      </c>
      <c r="AT435" s="28" t="str">
        <f>IF(SUMIF($A$4:$A426,$A435,AT$4:AT426)=0,"",SUMIF($A$4:$A426,$A435,AT$4:AT426))</f>
        <v/>
      </c>
      <c r="AU435" s="34" t="str">
        <f>IF(SUMIF($A$4:$A426,$A435,AU$4:AU426)=0,"",SUMIF($A$4:$A426,$A435,AU$4:AU426))</f>
        <v/>
      </c>
      <c r="AV435" s="34" t="str">
        <f>IF(SUMIF($A$4:$A426,$A435,AV$4:AV426)=0,"",SUMIF($A$4:$A426,$A435,AV$4:AV426))</f>
        <v/>
      </c>
    </row>
    <row r="436" spans="1:48">
      <c r="A436" s="26" t="s">
        <v>2</v>
      </c>
      <c r="B436" s="34"/>
      <c r="C436" s="34"/>
      <c r="D436" s="34"/>
      <c r="E436" s="34"/>
      <c r="F436" s="34"/>
      <c r="G436" s="34"/>
      <c r="H436" s="34"/>
      <c r="I436" s="205"/>
      <c r="J436" s="28">
        <f>IF(SUMIF($A$4:$A434,$A436,J$4:J434)=0,"",SUMIF($A$4:$A434,$A436,J$4:J434))</f>
        <v>8</v>
      </c>
      <c r="K436" s="28">
        <f>IF(SUMIF($A$4:$A434,$A436,K$4:K434)=0,"",SUMIF($A$4:$A434,$A436,K$4:K434))</f>
        <v>8</v>
      </c>
      <c r="L436" s="28">
        <f>IF(SUMIF($A$4:$A434,$A436,L$4:L434)=0,"",SUMIF($A$4:$A434,$A436,L$4:L434))</f>
        <v>8</v>
      </c>
      <c r="M436" s="28">
        <f>IF(SUMIF($A$4:$A434,$A436,M$4:M434)=0,"",SUMIF($A$4:$A434,$A436,M$4:M434))</f>
        <v>8</v>
      </c>
      <c r="N436" s="28">
        <f>IF(SUMIF($A$4:$A434,$A436,N$4:N434)=0,"",SUMIF($A$4:$A434,$A436,N$4:N434))</f>
        <v>8</v>
      </c>
      <c r="O436" s="28">
        <f>IF(SUMIF($A$4:$A434,$A436,O$4:O434)=0,"",SUMIF($A$4:$A434,$A436,O$4:O434))</f>
        <v>8</v>
      </c>
      <c r="P436" s="28">
        <f>IF(SUMIF($A$4:$A434,$A436,P$4:P434)=0,"",SUMIF($A$4:$A434,$A436,P$4:P434))</f>
        <v>8</v>
      </c>
      <c r="Q436" s="34" t="str">
        <f>IF(SUMIF($A$4:$A434,$A436,Q$4:Q434)=0,"",SUMIF($A$4:$A434,$A436,Q$4:Q434))</f>
        <v/>
      </c>
      <c r="R436" s="34"/>
      <c r="S436" s="28">
        <f>IF(SUMIF($A$4:$A434,$A436,S$4:S434)=0,"",SUMIF($A$4:$A434,$A436,S$4:S434))</f>
        <v>8</v>
      </c>
      <c r="T436" s="28">
        <f>IF(SUMIF($A$4:$A434,$A436,T$4:T434)=0,"",SUMIF($A$4:$A434,$A436,T$4:T434))</f>
        <v>8</v>
      </c>
      <c r="U436" s="28">
        <f>IF(SUMIF($A$4:$A434,$A436,U$4:U434)=0,"",SUMIF($A$4:$A434,$A436,U$4:U434))</f>
        <v>8</v>
      </c>
      <c r="V436" s="28">
        <f>IF(SUMIF($A$4:$A434,$A436,V$4:V434)=0,"",SUMIF($A$4:$A434,$A436,V$4:V434))</f>
        <v>8</v>
      </c>
      <c r="W436" s="28">
        <f>IF(SUMIF($A$4:$A434,$A436,W$4:W434)=0,"",SUMIF($A$4:$A434,$A436,W$4:W434))</f>
        <v>8</v>
      </c>
      <c r="X436" s="28">
        <f>IF(SUMIF($A$4:$A434,$A436,X$4:X434)=0,"",SUMIF($A$4:$A434,$A436,X$4:X434))</f>
        <v>6</v>
      </c>
      <c r="Y436" s="28">
        <f>IF(SUMIF($A$4:$A434,$A436,Y$4:Y434)=0,"",SUMIF($A$4:$A434,$A436,Y$4:Y434))</f>
        <v>8</v>
      </c>
      <c r="Z436" s="28">
        <f>IF(SUMIF($A$4:$A434,$A436,Z$4:Z434)=0,"",SUMIF($A$4:$A434,$A436,Z$4:Z434))</f>
        <v>8</v>
      </c>
      <c r="AA436" s="28">
        <f>IF(SUMIF($A$4:$A434,$A436,AA$4:AA434)=0,"",SUMIF($A$4:$A434,$A436,AA$4:AA434))</f>
        <v>6</v>
      </c>
      <c r="AB436" s="28">
        <f>IF(SUMIF($A$4:$A434,$A436,AB$4:AB434)=0,"",SUMIF($A$4:$A434,$A436,AB$4:AB434))</f>
        <v>8</v>
      </c>
      <c r="AC436" s="28">
        <f>IF(SUMIF($A$4:$A434,$A436,AC$4:AC434)=0,"",SUMIF($A$4:$A434,$A436,AC$4:AC434))</f>
        <v>8</v>
      </c>
      <c r="AD436" s="28">
        <f>IF(SUMIF($A$4:$A434,$A436,AD$4:AD434)=0,"",SUMIF($A$4:$A434,$A436,AD$4:AD434))</f>
        <v>8</v>
      </c>
      <c r="AE436" s="28">
        <f>IF(SUMIF($A$4:$A434,$A436,AE$4:AE434)=0,"",SUMIF($A$4:$A434,$A436,AE$4:AE434))</f>
        <v>7</v>
      </c>
      <c r="AF436" s="28">
        <f>IF(SUMIF($A$4:$A434,$A436,AF$4:AF434)=0,"",SUMIF($A$4:$A434,$A436,AF$4:AF434))</f>
        <v>7</v>
      </c>
      <c r="AG436" s="34" t="str">
        <f>IF(SUMIF($A$4:$A434,$A436,AG$4:AG434)=0,"",SUMIF($A$4:$A434,$A436,AG$4:AG434))</f>
        <v/>
      </c>
      <c r="AH436" s="28">
        <f>IF(SUMIF($A$4:$A434,$A436,AH$4:AH434)=0,"",SUMIF($A$4:$A434,$A436,AH$4:AH434))</f>
        <v>5</v>
      </c>
      <c r="AI436" s="34" t="str">
        <f>IF(SUMIF($A$4:$A434,$A436,AI$4:AI434)=0,"",SUMIF($A$4:$A434,$A436,AI$4:AI434))</f>
        <v/>
      </c>
      <c r="AJ436" s="34" t="str">
        <f>IF(SUMIF($A$4:$A434,$A436,AJ$4:AJ434)=0,"",SUMIF($A$4:$A434,$A436,AJ$4:AJ434))</f>
        <v/>
      </c>
      <c r="AK436" s="28" t="str">
        <f>IF(SUMIF($A$4:$A434,$A436,AK$4:AK434)=0,"",SUMIF($A$4:$A434,$A436,AK$4:AK434))</f>
        <v/>
      </c>
      <c r="AL436" s="28" t="str">
        <f>IF(SUMIF($A$4:$A434,$A436,AL$4:AL434)=0,"",SUMIF($A$4:$A434,$A436,AL$4:AL434))</f>
        <v/>
      </c>
      <c r="AM436" s="28" t="str">
        <f>IF(SUMIF($A$4:$A434,$A436,AM$4:AM434)=0,"",SUMIF($A$4:$A434,$A436,AM$4:AM434))</f>
        <v/>
      </c>
      <c r="AN436" s="28" t="str">
        <f>IF(SUMIF($A$4:$A434,$A436,AN$4:AN434)=0,"",SUMIF($A$4:$A434,$A436,AN$4:AN434))</f>
        <v/>
      </c>
      <c r="AO436" s="28" t="str">
        <f>IF(SUMIF($A$4:$A434,$A436,AO$4:AO434)=0,"",SUMIF($A$4:$A434,$A436,AO$4:AO434))</f>
        <v/>
      </c>
      <c r="AP436" s="28" t="str">
        <f>IF(SUMIF($A$4:$A434,$A436,AP$4:AP434)=0,"",SUMIF($A$4:$A434,$A436,AP$4:AP434))</f>
        <v/>
      </c>
      <c r="AQ436" s="28" t="str">
        <f>IF(SUMIF($A$4:$A434,$A436,AQ$4:AQ434)=0,"",SUMIF($A$4:$A434,$A436,AQ$4:AQ434))</f>
        <v/>
      </c>
      <c r="AR436" s="28" t="str">
        <f>IF(SUMIF($A$4:$A434,$A436,AR$4:AR434)=0,"",SUMIF($A$4:$A434,$A436,AR$4:AR434))</f>
        <v/>
      </c>
      <c r="AS436" s="28" t="str">
        <f>IF(SUMIF($A$4:$A434,$A436,AS$4:AS434)=0,"",SUMIF($A$4:$A434,$A436,AS$4:AS434))</f>
        <v/>
      </c>
      <c r="AT436" s="28" t="str">
        <f>IF(SUMIF($A$4:$A434,$A436,AT$4:AT434)=0,"",SUMIF($A$4:$A434,$A436,AT$4:AT434))</f>
        <v/>
      </c>
      <c r="AU436" s="34" t="str">
        <f>IF(SUMIF($A$4:$A434,$A436,AU$4:AU434)=0,"",SUMIF($A$4:$A434,$A436,AU$4:AU434))</f>
        <v/>
      </c>
      <c r="AV436" s="34" t="str">
        <f>IF(SUMIF($A$4:$A434,$A436,AV$4:AV434)=0,"",SUMIF($A$4:$A434,$A436,AV$4:AV434))</f>
        <v/>
      </c>
    </row>
    <row r="437" spans="1:48">
      <c r="A437" s="26" t="s">
        <v>3</v>
      </c>
      <c r="B437" s="34"/>
      <c r="C437" s="34"/>
      <c r="D437" s="34"/>
      <c r="E437" s="34"/>
      <c r="F437" s="34"/>
      <c r="G437" s="34"/>
      <c r="H437" s="34"/>
      <c r="I437" s="205"/>
      <c r="J437" s="28">
        <f>IF(SUMIF($A$4:$A435,$A437,J$4:J435)=0,"",SUMIF($A$4:$A435,$A437,J$4:J435))</f>
        <v>1</v>
      </c>
      <c r="K437" s="28">
        <f>IF(SUMIF($A$4:$A435,$A437,K$4:K435)=0,"",SUMIF($A$4:$A435,$A437,K$4:K435))</f>
        <v>5</v>
      </c>
      <c r="L437" s="28">
        <f>IF(SUMIF($A$4:$A435,$A437,L$4:L435)=0,"",SUMIF($A$4:$A435,$A437,L$4:L435))</f>
        <v>5</v>
      </c>
      <c r="M437" s="28">
        <f>IF(SUMIF($A$4:$A435,$A437,M$4:M435)=0,"",SUMIF($A$4:$A435,$A437,M$4:M435))</f>
        <v>7</v>
      </c>
      <c r="N437" s="28">
        <f>IF(SUMIF($A$4:$A435,$A437,N$4:N435)=0,"",SUMIF($A$4:$A435,$A437,N$4:N435))</f>
        <v>2</v>
      </c>
      <c r="O437" s="28">
        <f>IF(SUMIF($A$4:$A435,$A437,O$4:O435)=0,"",SUMIF($A$4:$A435,$A437,O$4:O435))</f>
        <v>10</v>
      </c>
      <c r="P437" s="28">
        <f>IF(SUMIF($A$4:$A435,$A437,P$4:P435)=0,"",SUMIF($A$4:$A435,$A437,P$4:P435))</f>
        <v>5</v>
      </c>
      <c r="Q437" s="34" t="str">
        <f>IF(SUMIF($A$4:$A435,$A437,Q$4:Q435)=0,"",SUMIF($A$4:$A435,$A437,Q$4:Q435))</f>
        <v/>
      </c>
      <c r="R437" s="34"/>
      <c r="S437" s="28">
        <f>IF(SUMIF($A$4:$A435,$A437,S$4:S435)=0,"",SUMIF($A$4:$A435,$A437,S$4:S435))</f>
        <v>8</v>
      </c>
      <c r="T437" s="28">
        <f>IF(SUMIF($A$4:$A435,$A437,T$4:T435)=0,"",SUMIF($A$4:$A435,$A437,T$4:T435))</f>
        <v>7</v>
      </c>
      <c r="U437" s="28">
        <f>IF(SUMIF($A$4:$A435,$A437,U$4:U435)=0,"",SUMIF($A$4:$A435,$A437,U$4:U435))</f>
        <v>4</v>
      </c>
      <c r="V437" s="28">
        <f>IF(SUMIF($A$4:$A435,$A437,V$4:V435)=0,"",SUMIF($A$4:$A435,$A437,V$4:V435))</f>
        <v>7</v>
      </c>
      <c r="W437" s="28">
        <f>IF(SUMIF($A$4:$A435,$A437,W$4:W435)=0,"",SUMIF($A$4:$A435,$A437,W$4:W435))</f>
        <v>3</v>
      </c>
      <c r="X437" s="28">
        <f>IF(SUMIF($A$4:$A435,$A437,X$4:X435)=0,"",SUMIF($A$4:$A435,$A437,X$4:X435))</f>
        <v>4</v>
      </c>
      <c r="Y437" s="28">
        <f>IF(SUMIF($A$4:$A435,$A437,Y$4:Y435)=0,"",SUMIF($A$4:$A435,$A437,Y$4:Y435))</f>
        <v>4</v>
      </c>
      <c r="Z437" s="28">
        <f>IF(SUMIF($A$4:$A435,$A437,Z$4:Z435)=0,"",SUMIF($A$4:$A435,$A437,Z$4:Z435))</f>
        <v>4</v>
      </c>
      <c r="AA437" s="28">
        <f>IF(SUMIF($A$4:$A435,$A437,AA$4:AA435)=0,"",SUMIF($A$4:$A435,$A437,AA$4:AA435))</f>
        <v>3</v>
      </c>
      <c r="AB437" s="28" t="str">
        <f>IF(SUMIF($A$4:$A435,$A437,AB$4:AB435)=0,"",SUMIF($A$4:$A435,$A437,AB$4:AB435))</f>
        <v/>
      </c>
      <c r="AC437" s="28">
        <f>IF(SUMIF($A$4:$A435,$A437,AC$4:AC435)=0,"",SUMIF($A$4:$A435,$A437,AC$4:AC435))</f>
        <v>11</v>
      </c>
      <c r="AD437" s="28">
        <f>IF(SUMIF($A$4:$A435,$A437,AD$4:AD435)=0,"",SUMIF($A$4:$A435,$A437,AD$4:AD435))</f>
        <v>5</v>
      </c>
      <c r="AE437" s="28">
        <f>IF(SUMIF($A$4:$A435,$A437,AE$4:AE435)=0,"",SUMIF($A$4:$A435,$A437,AE$4:AE435))</f>
        <v>6</v>
      </c>
      <c r="AF437" s="28">
        <f>IF(SUMIF($A$4:$A435,$A437,AF$4:AF435)=0,"",SUMIF($A$4:$A435,$A437,AF$4:AF435))</f>
        <v>4</v>
      </c>
      <c r="AG437" s="34" t="str">
        <f>IF(SUMIF($A$4:$A435,$A437,AG$4:AG435)=0,"",SUMIF($A$4:$A435,$A437,AG$4:AG435))</f>
        <v/>
      </c>
      <c r="AH437" s="28">
        <f>IF(SUMIF($A$4:$A435,$A437,AH$4:AH435)=0,"",SUMIF($A$4:$A435,$A437,AH$4:AH435))</f>
        <v>4</v>
      </c>
      <c r="AI437" s="34" t="str">
        <f>IF(SUMIF($A$4:$A435,$A437,AI$4:AI435)=0,"",SUMIF($A$4:$A435,$A437,AI$4:AI435))</f>
        <v/>
      </c>
      <c r="AJ437" s="34" t="str">
        <f>IF(SUMIF($A$4:$A435,$A437,AJ$4:AJ435)=0,"",SUMIF($A$4:$A435,$A437,AJ$4:AJ435))</f>
        <v/>
      </c>
      <c r="AK437" s="28" t="str">
        <f>IF(SUMIF($A$4:$A435,$A437,AK$4:AK435)=0,"",SUMIF($A$4:$A435,$A437,AK$4:AK435))</f>
        <v/>
      </c>
      <c r="AL437" s="28" t="str">
        <f>IF(SUMIF($A$4:$A435,$A437,AL$4:AL435)=0,"",SUMIF($A$4:$A435,$A437,AL$4:AL435))</f>
        <v/>
      </c>
      <c r="AM437" s="28" t="str">
        <f>IF(SUMIF($A$4:$A435,$A437,AM$4:AM435)=0,"",SUMIF($A$4:$A435,$A437,AM$4:AM435))</f>
        <v/>
      </c>
      <c r="AN437" s="28" t="str">
        <f>IF(SUMIF($A$4:$A435,$A437,AN$4:AN435)=0,"",SUMIF($A$4:$A435,$A437,AN$4:AN435))</f>
        <v/>
      </c>
      <c r="AO437" s="28" t="str">
        <f>IF(SUMIF($A$4:$A435,$A437,AO$4:AO435)=0,"",SUMIF($A$4:$A435,$A437,AO$4:AO435))</f>
        <v/>
      </c>
      <c r="AP437" s="28" t="str">
        <f>IF(SUMIF($A$4:$A435,$A437,AP$4:AP435)=0,"",SUMIF($A$4:$A435,$A437,AP$4:AP435))</f>
        <v/>
      </c>
      <c r="AQ437" s="28" t="str">
        <f>IF(SUMIF($A$4:$A435,$A437,AQ$4:AQ435)=0,"",SUMIF($A$4:$A435,$A437,AQ$4:AQ435))</f>
        <v/>
      </c>
      <c r="AR437" s="28" t="str">
        <f>IF(SUMIF($A$4:$A435,$A437,AR$4:AR435)=0,"",SUMIF($A$4:$A435,$A437,AR$4:AR435))</f>
        <v/>
      </c>
      <c r="AS437" s="28" t="str">
        <f>IF(SUMIF($A$4:$A435,$A437,AS$4:AS435)=0,"",SUMIF($A$4:$A435,$A437,AS$4:AS435))</f>
        <v/>
      </c>
      <c r="AT437" s="28" t="str">
        <f>IF(SUMIF($A$4:$A435,$A437,AT$4:AT435)=0,"",SUMIF($A$4:$A435,$A437,AT$4:AT435))</f>
        <v/>
      </c>
      <c r="AU437" s="34" t="str">
        <f>IF(SUMIF($A$4:$A435,$A437,AU$4:AU435)=0,"",SUMIF($A$4:$A435,$A437,AU$4:AU435))</f>
        <v/>
      </c>
      <c r="AV437" s="34" t="str">
        <f>IF(SUMIF($A$4:$A435,$A437,AV$4:AV435)=0,"",SUMIF($A$4:$A435,$A437,AV$4:AV435))</f>
        <v/>
      </c>
    </row>
    <row r="438" spans="1:48" ht="14.95" thickBot="1">
      <c r="A438" s="27" t="s">
        <v>4</v>
      </c>
      <c r="B438" s="37"/>
      <c r="C438" s="37"/>
      <c r="D438" s="37"/>
      <c r="E438" s="37"/>
      <c r="F438" s="37"/>
      <c r="G438" s="37"/>
      <c r="H438" s="37"/>
      <c r="I438" s="72"/>
      <c r="J438" s="36">
        <f>IF(SUMIF($A$4:$A436,$A438,J$4:J436)=0,"",SUMIF($A$4:$A436,$A438,J$4:J436))</f>
        <v>7</v>
      </c>
      <c r="K438" s="36">
        <f>IF(SUMIF($A$4:$A436,$A438,K$4:K436)=0,"",SUMIF($A$4:$A436,$A438,K$4:K436))</f>
        <v>34</v>
      </c>
      <c r="L438" s="36">
        <f>IF(SUMIF($A$4:$A436,$A438,L$4:L436)=0,"",SUMIF($A$4:$A436,$A438,L$4:L436))</f>
        <v>39</v>
      </c>
      <c r="M438" s="36">
        <f>IF(SUMIF($A$4:$A436,$A438,M$4:M436)=0,"",SUMIF($A$4:$A436,$A438,M$4:M436))</f>
        <v>50</v>
      </c>
      <c r="N438" s="36">
        <f>IF(SUMIF($A$4:$A436,$A438,N$4:N436)=0,"",SUMIF($A$4:$A436,$A438,N$4:N436))</f>
        <v>14</v>
      </c>
      <c r="O438" s="36">
        <f>IF(SUMIF($A$4:$A436,$A438,O$4:O436)=0,"",SUMIF($A$4:$A436,$A438,O$4:O436))</f>
        <v>65</v>
      </c>
      <c r="P438" s="36">
        <f>IF(SUMIF($A$4:$A436,$A438,P$4:P436)=0,"",SUMIF($A$4:$A436,$A438,P$4:P436))</f>
        <v>31</v>
      </c>
      <c r="Q438" s="37" t="str">
        <f>IF(SUMIF($A$4:$A436,$A438,Q$4:Q436)=0,"",SUMIF($A$4:$A436,$A438,Q$4:Q436))</f>
        <v/>
      </c>
      <c r="R438" s="37"/>
      <c r="S438" s="36">
        <f>IF(SUMIF($A$4:$A436,$A438,S$4:S436)=0,"",SUMIF($A$4:$A436,$A438,S$4:S436))</f>
        <v>46</v>
      </c>
      <c r="T438" s="36">
        <f>IF(SUMIF($A$4:$A436,$A438,T$4:T436)=0,"",SUMIF($A$4:$A436,$A438,T$4:T436))</f>
        <v>43</v>
      </c>
      <c r="U438" s="36">
        <f>IF(SUMIF($A$4:$A436,$A438,U$4:U436)=0,"",SUMIF($A$4:$A436,$A438,U$4:U436))</f>
        <v>29</v>
      </c>
      <c r="V438" s="36">
        <f>IF(SUMIF($A$4:$A436,$A438,V$4:V436)=0,"",SUMIF($A$4:$A436,$A438,V$4:V436))</f>
        <v>47</v>
      </c>
      <c r="W438" s="36">
        <f>IF(SUMIF($A$4:$A436,$A438,W$4:W436)=0,"",SUMIF($A$4:$A436,$A438,W$4:W436))</f>
        <v>23</v>
      </c>
      <c r="X438" s="36">
        <f>IF(SUMIF($A$4:$A436,$A438,X$4:X436)=0,"",SUMIF($A$4:$A436,$A438,X$4:X436))</f>
        <v>24</v>
      </c>
      <c r="Y438" s="36">
        <f>IF(SUMIF($A$4:$A436,$A438,Y$4:Y436)=0,"",SUMIF($A$4:$A436,$A438,Y$4:Y436))</f>
        <v>30</v>
      </c>
      <c r="Z438" s="36">
        <f>IF(SUMIF($A$4:$A436,$A438,Z$4:Z436)=0,"",SUMIF($A$4:$A436,$A438,Z$4:Z436))</f>
        <v>28</v>
      </c>
      <c r="AA438" s="36">
        <f>IF(SUMIF($A$4:$A436,$A438,AA$4:AA436)=0,"",SUMIF($A$4:$A436,$A438,AA$4:AA436))</f>
        <v>20</v>
      </c>
      <c r="AB438" s="36">
        <f>IF(SUMIF($A$4:$A436,$A438,AB$4:AB436)=0,"",SUMIF($A$4:$A436,$A438,AB$4:AB436))</f>
        <v>3</v>
      </c>
      <c r="AC438" s="36">
        <f>IF(SUMIF($A$4:$A436,$A438,AC$4:AC436)=0,"",SUMIF($A$4:$A436,$A438,AC$4:AC436))</f>
        <v>73</v>
      </c>
      <c r="AD438" s="36">
        <f>IF(SUMIF($A$4:$A436,$A438,AD$4:AD436)=0,"",SUMIF($A$4:$A436,$A438,AD$4:AD436))</f>
        <v>35</v>
      </c>
      <c r="AE438" s="36">
        <f>IF(SUMIF($A$4:$A436,$A438,AE$4:AE436)=0,"",SUMIF($A$4:$A436,$A438,AE$4:AE436))</f>
        <v>40</v>
      </c>
      <c r="AF438" s="36">
        <f>IF(SUMIF($A$4:$A436,$A438,AF$4:AF436)=0,"",SUMIF($A$4:$A436,$A438,AF$4:AF436))</f>
        <v>26</v>
      </c>
      <c r="AG438" s="37" t="str">
        <f>IF(SUMIF($A$4:$A436,$A438,AG$4:AG436)=0,"",SUMIF($A$4:$A436,$A438,AG$4:AG436))</f>
        <v/>
      </c>
      <c r="AH438" s="36">
        <f>IF(SUMIF($A$4:$A436,$A438,AH$4:AH436)=0,"",SUMIF($A$4:$A436,$A438,AH$4:AH436))</f>
        <v>28</v>
      </c>
      <c r="AI438" s="37" t="str">
        <f>IF(SUMIF($A$4:$A436,$A438,AI$4:AI436)=0,"",SUMIF($A$4:$A436,$A438,AI$4:AI436))</f>
        <v/>
      </c>
      <c r="AJ438" s="37" t="str">
        <f>IF(SUMIF($A$4:$A436,$A438,AJ$4:AJ436)=0,"",SUMIF($A$4:$A436,$A438,AJ$4:AJ436))</f>
        <v/>
      </c>
      <c r="AK438" s="36" t="str">
        <f>IF(SUMIF($A$4:$A436,$A438,AK$4:AK436)=0,"",SUMIF($A$4:$A436,$A438,AK$4:AK436))</f>
        <v/>
      </c>
      <c r="AL438" s="36" t="str">
        <f>IF(SUMIF($A$4:$A436,$A438,AL$4:AL436)=0,"",SUMIF($A$4:$A436,$A438,AL$4:AL436))</f>
        <v/>
      </c>
      <c r="AM438" s="36" t="str">
        <f>IF(SUMIF($A$4:$A436,$A438,AM$4:AM436)=0,"",SUMIF($A$4:$A436,$A438,AM$4:AM436))</f>
        <v/>
      </c>
      <c r="AN438" s="36" t="str">
        <f>IF(SUMIF($A$4:$A436,$A438,AN$4:AN436)=0,"",SUMIF($A$4:$A436,$A438,AN$4:AN436))</f>
        <v/>
      </c>
      <c r="AO438" s="36" t="str">
        <f>IF(SUMIF($A$4:$A436,$A438,AO$4:AO436)=0,"",SUMIF($A$4:$A436,$A438,AO$4:AO436))</f>
        <v/>
      </c>
      <c r="AP438" s="36" t="str">
        <f>IF(SUMIF($A$4:$A436,$A438,AP$4:AP436)=0,"",SUMIF($A$4:$A436,$A438,AP$4:AP436))</f>
        <v/>
      </c>
      <c r="AQ438" s="36" t="str">
        <f>IF(SUMIF($A$4:$A436,$A438,AQ$4:AQ436)=0,"",SUMIF($A$4:$A436,$A438,AQ$4:AQ436))</f>
        <v/>
      </c>
      <c r="AR438" s="36" t="str">
        <f>IF(SUMIF($A$4:$A436,$A438,AR$4:AR436)=0,"",SUMIF($A$4:$A436,$A438,AR$4:AR436))</f>
        <v/>
      </c>
      <c r="AS438" s="36" t="str">
        <f>IF(SUMIF($A$4:$A436,$A438,AS$4:AS436)=0,"",SUMIF($A$4:$A436,$A438,AS$4:AS436))</f>
        <v/>
      </c>
      <c r="AT438" s="36" t="str">
        <f>IF(SUMIF($A$4:$A436,$A438,AT$4:AT436)=0,"",SUMIF($A$4:$A436,$A438,AT$4:AT436))</f>
        <v/>
      </c>
      <c r="AU438" s="37" t="str">
        <f>IF(SUMIF($A$4:$A436,$A438,AU$4:AU436)=0,"",SUMIF($A$4:$A436,$A438,AU$4:AU436))</f>
        <v/>
      </c>
      <c r="AV438" s="37" t="str">
        <f>IF(SUMIF($A$4:$A436,$A438,AV$4:AV436)=0,"",SUMIF($A$4:$A436,$A438,AV$4:AV436))</f>
        <v/>
      </c>
    </row>
    <row r="439" spans="1:48">
      <c r="A439" s="2" t="s">
        <v>875</v>
      </c>
      <c r="B439" s="2"/>
      <c r="Z439" s="15"/>
      <c r="AB439" s="15" t="s">
        <v>960</v>
      </c>
    </row>
    <row r="440" spans="1:48">
      <c r="A440" s="490" t="s">
        <v>7</v>
      </c>
    </row>
    <row r="441" spans="1:48">
      <c r="A441" s="2"/>
    </row>
    <row r="442" spans="1:48">
      <c r="A442" s="2"/>
    </row>
    <row r="443" spans="1:48">
      <c r="A443" s="2"/>
    </row>
    <row r="444" spans="1:48">
      <c r="A444" s="2"/>
    </row>
    <row r="445" spans="1:48">
      <c r="A445" s="2"/>
    </row>
    <row r="446" spans="1:48">
      <c r="A446" s="2"/>
    </row>
    <row r="447" spans="1:48">
      <c r="A447" s="2"/>
    </row>
    <row r="448" spans="1:48">
      <c r="A448" s="2"/>
    </row>
  </sheetData>
  <mergeCells count="11">
    <mergeCell ref="B1:I1"/>
    <mergeCell ref="H427:I427"/>
    <mergeCell ref="A1:A3"/>
    <mergeCell ref="B2:C2"/>
    <mergeCell ref="D2:E2"/>
    <mergeCell ref="F2:G2"/>
    <mergeCell ref="B434:I434"/>
    <mergeCell ref="B427:C427"/>
    <mergeCell ref="D427:E427"/>
    <mergeCell ref="F427:G427"/>
    <mergeCell ref="H2:I2"/>
  </mergeCells>
  <pageMargins left="0.7" right="0.7" top="0.75" bottom="0.75" header="0.3" footer="0.3"/>
  <pageSetup paperSize="9" orientation="portrait" r:id="rId1"/>
  <ignoredErrors>
    <ignoredError sqref="B88:C131 B421:C423 B227:C230 B232:C237 B144:C220 B224:C224 B38:C69 B73:C73 B312:C318 B132:B140 D430 D433 B260:C310 B238 B36:C36 B142:B143 B320:C326 B342:C419 G429:H430 B79:C79 B239:C253 B257:C257 B328:C335 B339:C339 B85:C85 G433:H433 G431 G432 H431:H4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467"/>
  <sheetViews>
    <sheetView workbookViewId="0">
      <pane xSplit="7" ySplit="3" topLeftCell="W4" activePane="bottomRight" state="frozen"/>
      <selection pane="topRight" activeCell="H1" sqref="H1"/>
      <selection pane="bottomLeft" activeCell="A4" sqref="A4"/>
      <selection pane="bottomRight" activeCell="AF84" sqref="AF84"/>
    </sheetView>
  </sheetViews>
  <sheetFormatPr defaultColWidth="8.875" defaultRowHeight="14.3"/>
  <cols>
    <col min="1" max="1" width="40.75" customWidth="1"/>
    <col min="2" max="7" width="5.625" customWidth="1"/>
    <col min="8" max="40" width="9.875" customWidth="1"/>
  </cols>
  <sheetData>
    <row r="1" spans="1:48" ht="17" thickBot="1">
      <c r="A1" s="882" t="s">
        <v>510</v>
      </c>
      <c r="B1" s="887" t="s">
        <v>347</v>
      </c>
      <c r="C1" s="888"/>
      <c r="D1" s="888"/>
      <c r="E1" s="888"/>
      <c r="F1" s="888"/>
      <c r="G1" s="889"/>
      <c r="H1" s="22" t="s">
        <v>529</v>
      </c>
      <c r="I1" s="22" t="s">
        <v>530</v>
      </c>
      <c r="J1" s="22" t="s">
        <v>531</v>
      </c>
      <c r="K1" s="22" t="s">
        <v>532</v>
      </c>
      <c r="L1" s="22" t="s">
        <v>533</v>
      </c>
      <c r="M1" s="22" t="s">
        <v>534</v>
      </c>
      <c r="N1" s="22" t="s">
        <v>535</v>
      </c>
      <c r="O1" s="22" t="s">
        <v>436</v>
      </c>
      <c r="P1" s="22" t="s">
        <v>9</v>
      </c>
      <c r="Q1" s="22" t="s">
        <v>9</v>
      </c>
      <c r="R1" s="22" t="s">
        <v>536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542</v>
      </c>
      <c r="AC1" s="22" t="s">
        <v>543</v>
      </c>
      <c r="AD1" s="22" t="s">
        <v>544</v>
      </c>
      <c r="AE1" s="22" t="s">
        <v>9</v>
      </c>
      <c r="AF1" s="22" t="s">
        <v>545</v>
      </c>
      <c r="AG1" s="22" t="s">
        <v>9</v>
      </c>
      <c r="AH1" s="22" t="s">
        <v>9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883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43009</v>
      </c>
      <c r="N2" s="5">
        <v>45931</v>
      </c>
      <c r="O2" s="42">
        <v>48122</v>
      </c>
      <c r="P2" s="56">
        <v>39753</v>
      </c>
      <c r="Q2" s="56">
        <v>42309</v>
      </c>
      <c r="R2" s="42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10197</v>
      </c>
      <c r="X2" s="5">
        <v>37257</v>
      </c>
      <c r="Y2" s="38">
        <v>40179</v>
      </c>
      <c r="Z2" s="38">
        <v>43101</v>
      </c>
      <c r="AA2" s="4">
        <v>45292</v>
      </c>
      <c r="AB2" s="41">
        <v>36923</v>
      </c>
      <c r="AC2" s="41">
        <v>39114</v>
      </c>
      <c r="AD2" s="41">
        <v>41671</v>
      </c>
      <c r="AE2" s="56">
        <v>44228</v>
      </c>
      <c r="AF2" s="41">
        <v>46784</v>
      </c>
      <c r="AG2" s="56">
        <v>39508</v>
      </c>
      <c r="AH2" s="56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884"/>
      <c r="B3" s="62" t="s">
        <v>353</v>
      </c>
      <c r="C3" s="64" t="s">
        <v>349</v>
      </c>
      <c r="D3" s="62" t="s">
        <v>353</v>
      </c>
      <c r="E3" s="61" t="s">
        <v>349</v>
      </c>
      <c r="F3" s="62" t="s">
        <v>353</v>
      </c>
      <c r="G3" s="70" t="s">
        <v>349</v>
      </c>
      <c r="H3" s="74" t="s">
        <v>392</v>
      </c>
      <c r="I3" s="6" t="s">
        <v>390</v>
      </c>
      <c r="J3" s="73" t="s">
        <v>652</v>
      </c>
      <c r="K3" s="80" t="s">
        <v>396</v>
      </c>
      <c r="L3" s="24" t="s">
        <v>397</v>
      </c>
      <c r="M3" s="8" t="s">
        <v>390</v>
      </c>
      <c r="N3" s="577" t="s">
        <v>376</v>
      </c>
      <c r="O3" s="81" t="s">
        <v>687</v>
      </c>
      <c r="P3" s="7"/>
      <c r="Q3" s="21"/>
      <c r="R3" s="10" t="s">
        <v>722</v>
      </c>
      <c r="S3" s="9" t="s">
        <v>639</v>
      </c>
      <c r="T3" s="10" t="s">
        <v>855</v>
      </c>
      <c r="U3" s="286" t="s">
        <v>885</v>
      </c>
      <c r="V3" s="11" t="s">
        <v>897</v>
      </c>
      <c r="W3" s="9" t="s">
        <v>728</v>
      </c>
      <c r="X3" s="9" t="s">
        <v>706</v>
      </c>
      <c r="Y3" s="11" t="s">
        <v>935</v>
      </c>
      <c r="Z3" s="21" t="s">
        <v>956</v>
      </c>
      <c r="AA3" s="11" t="s">
        <v>722</v>
      </c>
      <c r="AB3" s="21" t="s">
        <v>680</v>
      </c>
      <c r="AC3" s="21" t="s">
        <v>397</v>
      </c>
      <c r="AD3" s="10" t="s">
        <v>376</v>
      </c>
      <c r="AE3" s="7"/>
      <c r="AF3" s="21" t="s">
        <v>706</v>
      </c>
      <c r="AG3" s="9"/>
      <c r="AH3" s="9"/>
      <c r="AI3" s="6"/>
      <c r="AJ3" s="11"/>
      <c r="AK3" s="55"/>
      <c r="AL3" s="54"/>
      <c r="AM3" s="7"/>
      <c r="AN3" s="11"/>
      <c r="AO3" s="55"/>
      <c r="AP3" s="9"/>
      <c r="AQ3" s="9"/>
      <c r="AR3" s="465"/>
      <c r="AS3" s="11"/>
      <c r="AT3" s="9"/>
      <c r="AU3" s="785"/>
      <c r="AV3" s="465"/>
    </row>
    <row r="4" spans="1:48" ht="21.1">
      <c r="A4" s="86" t="s">
        <v>634</v>
      </c>
      <c r="B4" s="239"/>
      <c r="C4" s="214"/>
      <c r="D4" s="133"/>
      <c r="E4" s="134"/>
      <c r="F4" s="135"/>
      <c r="G4" s="136"/>
      <c r="H4" s="96"/>
      <c r="I4" s="96" t="s">
        <v>635</v>
      </c>
      <c r="J4" s="104" t="s">
        <v>698</v>
      </c>
      <c r="K4" s="75" t="s">
        <v>384</v>
      </c>
      <c r="L4" s="75" t="s">
        <v>733</v>
      </c>
      <c r="M4" s="75" t="s">
        <v>703</v>
      </c>
      <c r="N4" s="75" t="s">
        <v>703</v>
      </c>
      <c r="O4" s="96" t="s">
        <v>703</v>
      </c>
      <c r="P4" s="105"/>
      <c r="Q4" s="105"/>
      <c r="R4" s="124" t="s">
        <v>783</v>
      </c>
      <c r="S4" s="165" t="s">
        <v>379</v>
      </c>
      <c r="T4" s="137">
        <v>15</v>
      </c>
      <c r="U4" s="110">
        <v>10</v>
      </c>
      <c r="V4" s="100" t="s">
        <v>901</v>
      </c>
      <c r="W4" s="102">
        <v>10</v>
      </c>
      <c r="X4" s="102" t="s">
        <v>384</v>
      </c>
      <c r="Y4" s="101" t="s">
        <v>384</v>
      </c>
      <c r="Z4" s="101" t="s">
        <v>384</v>
      </c>
      <c r="AA4" s="102" t="s">
        <v>384</v>
      </c>
      <c r="AB4" s="99"/>
      <c r="AC4" s="99" t="s">
        <v>783</v>
      </c>
      <c r="AD4" s="99" t="s">
        <v>783</v>
      </c>
      <c r="AE4" s="98"/>
      <c r="AF4" s="99"/>
      <c r="AG4" s="98"/>
      <c r="AH4" s="103"/>
      <c r="AI4" s="102"/>
      <c r="AJ4" s="102"/>
      <c r="AK4" s="102"/>
      <c r="AL4" s="102"/>
      <c r="AM4" s="102"/>
      <c r="AN4" s="103"/>
      <c r="AO4" s="102"/>
      <c r="AP4" s="102"/>
      <c r="AQ4" s="103"/>
      <c r="AR4" s="102"/>
      <c r="AS4" s="102"/>
      <c r="AT4" s="103"/>
    </row>
    <row r="5" spans="1:48" ht="16.3">
      <c r="A5" s="246" t="s">
        <v>1</v>
      </c>
      <c r="B5" s="240">
        <f>SUM(J5+K5+L5+M5+N5+S5+V5+W5+X5+AA5+AI5+AJ5+AI5+AM5+AP5+AQ5+AS5+AT5+AU5+AV5+AN5)</f>
        <v>8</v>
      </c>
      <c r="C5" s="215">
        <f>SUM(J5+K5+L5+M5+N5+S5+W5+X5+V5+AA5+AJ5+AI5+AJ5+AN5+AQ5+AM5+AT5+AU5+AV5+AW5+AP5+AS5)</f>
        <v>8</v>
      </c>
      <c r="D5" s="139"/>
      <c r="E5" s="140"/>
      <c r="F5" s="135"/>
      <c r="G5" s="136"/>
      <c r="H5" s="96"/>
      <c r="I5" s="96">
        <v>1</v>
      </c>
      <c r="J5" s="104">
        <v>1</v>
      </c>
      <c r="K5" s="75">
        <v>1</v>
      </c>
      <c r="L5" s="75">
        <v>1</v>
      </c>
      <c r="M5" s="75"/>
      <c r="N5" s="75"/>
      <c r="O5" s="96"/>
      <c r="P5" s="105"/>
      <c r="Q5" s="105"/>
      <c r="R5" s="96"/>
      <c r="S5" s="128">
        <v>1</v>
      </c>
      <c r="T5" s="182">
        <v>1</v>
      </c>
      <c r="U5" s="106">
        <v>1</v>
      </c>
      <c r="V5" s="75">
        <v>1</v>
      </c>
      <c r="W5" s="75">
        <v>1</v>
      </c>
      <c r="X5" s="75">
        <v>1</v>
      </c>
      <c r="Y5" s="106">
        <v>1</v>
      </c>
      <c r="Z5" s="106">
        <v>1</v>
      </c>
      <c r="AA5" s="75">
        <v>1</v>
      </c>
      <c r="AB5" s="96"/>
      <c r="AC5" s="96"/>
      <c r="AD5" s="96"/>
      <c r="AE5" s="105"/>
      <c r="AF5" s="96"/>
      <c r="AG5" s="105"/>
      <c r="AH5" s="107"/>
      <c r="AI5" s="75"/>
      <c r="AJ5" s="75"/>
      <c r="AK5" s="75"/>
      <c r="AL5" s="75"/>
      <c r="AM5" s="75"/>
      <c r="AN5" s="107"/>
      <c r="AO5" s="75"/>
      <c r="AP5" s="75"/>
      <c r="AQ5" s="107"/>
      <c r="AR5" s="75"/>
      <c r="AS5" s="75"/>
      <c r="AT5" s="107"/>
    </row>
    <row r="6" spans="1:48" ht="16.3">
      <c r="A6" s="246" t="s">
        <v>2</v>
      </c>
      <c r="B6" s="240">
        <f>SUM(J6+K6+L6+M6+N6+S6+V6+W6+X6+AA6+AI6+AJ6+AI6+AM6+AP6+AQ6+AS6+AT6+AU6+AV6)</f>
        <v>0</v>
      </c>
      <c r="C6" s="215">
        <f>SUM(J6+K6+L6+M6+N6+S6+W6+X6+V6+AA6+AJ6+AI6+AJ6+AN6+AQ6+AM6+AT6+AU6+AV6+AW6+AP6+AS6)</f>
        <v>0</v>
      </c>
      <c r="D6" s="139"/>
      <c r="E6" s="140"/>
      <c r="F6" s="135"/>
      <c r="G6" s="136"/>
      <c r="H6" s="96"/>
      <c r="I6" s="96"/>
      <c r="J6" s="104"/>
      <c r="K6" s="75"/>
      <c r="L6" s="75"/>
      <c r="M6" s="75"/>
      <c r="N6" s="75"/>
      <c r="O6" s="96"/>
      <c r="P6" s="105"/>
      <c r="Q6" s="105"/>
      <c r="R6" s="96"/>
      <c r="S6" s="128"/>
      <c r="T6" s="137"/>
      <c r="U6" s="110"/>
      <c r="V6" s="100"/>
      <c r="W6" s="100"/>
      <c r="X6" s="100"/>
      <c r="Y6" s="110"/>
      <c r="Z6" s="110"/>
      <c r="AA6" s="100"/>
      <c r="AB6" s="109"/>
      <c r="AC6" s="109"/>
      <c r="AD6" s="109"/>
      <c r="AE6" s="108"/>
      <c r="AF6" s="109"/>
      <c r="AG6" s="108"/>
      <c r="AH6" s="111"/>
      <c r="AI6" s="100"/>
      <c r="AJ6" s="100"/>
      <c r="AK6" s="100"/>
      <c r="AL6" s="100"/>
      <c r="AM6" s="100"/>
      <c r="AN6" s="111"/>
      <c r="AO6" s="100"/>
      <c r="AP6" s="100"/>
      <c r="AQ6" s="111"/>
      <c r="AR6" s="100"/>
      <c r="AS6" s="100"/>
      <c r="AT6" s="111"/>
    </row>
    <row r="7" spans="1:48" ht="16.3">
      <c r="A7" s="91" t="s">
        <v>363</v>
      </c>
      <c r="B7" s="239">
        <f>SUM(B5+B6)</f>
        <v>8</v>
      </c>
      <c r="C7" s="214">
        <f>SUM(C5+C6)</f>
        <v>8</v>
      </c>
      <c r="D7" s="133"/>
      <c r="E7" s="134"/>
      <c r="F7" s="135"/>
      <c r="G7" s="136"/>
      <c r="H7" s="96"/>
      <c r="I7" s="96"/>
      <c r="J7" s="104"/>
      <c r="K7" s="75"/>
      <c r="L7" s="75"/>
      <c r="M7" s="75"/>
      <c r="N7" s="75"/>
      <c r="O7" s="96"/>
      <c r="P7" s="105"/>
      <c r="Q7" s="105"/>
      <c r="R7" s="96"/>
      <c r="S7" s="128"/>
      <c r="T7" s="137"/>
      <c r="U7" s="110"/>
      <c r="V7" s="100"/>
      <c r="W7" s="100"/>
      <c r="X7" s="100"/>
      <c r="Y7" s="110"/>
      <c r="Z7" s="110"/>
      <c r="AA7" s="100"/>
      <c r="AB7" s="109"/>
      <c r="AC7" s="109"/>
      <c r="AD7" s="109"/>
      <c r="AE7" s="108"/>
      <c r="AF7" s="109"/>
      <c r="AG7" s="108"/>
      <c r="AH7" s="111"/>
      <c r="AI7" s="100"/>
      <c r="AJ7" s="100"/>
      <c r="AK7" s="100"/>
      <c r="AL7" s="100"/>
      <c r="AM7" s="100"/>
      <c r="AN7" s="111"/>
      <c r="AO7" s="100"/>
      <c r="AP7" s="100"/>
      <c r="AQ7" s="111"/>
      <c r="AR7" s="100"/>
      <c r="AS7" s="100"/>
      <c r="AT7" s="111"/>
    </row>
    <row r="8" spans="1:48" ht="16.3">
      <c r="A8" s="246" t="s">
        <v>362</v>
      </c>
      <c r="B8" s="240">
        <f>SUM(J8+K8+L8+M8+N8+S8+V8+W8+X8+AA8+AI8+AJ8+AI8+AM8+AP8+AQ8+AS8+AT8+AU8+AV8)</f>
        <v>1</v>
      </c>
      <c r="C8" s="215">
        <f>SUM(J8+K8+L8+M8+N8+S8+W8+X8+V8+AA8+AJ8+AI8+AJ8+AN8+AQ8+AM8+AT8+AU8+AV8+AW8+AP8+AS8)</f>
        <v>1</v>
      </c>
      <c r="D8" s="133"/>
      <c r="E8" s="134"/>
      <c r="F8" s="135"/>
      <c r="G8" s="136"/>
      <c r="H8" s="96"/>
      <c r="I8" s="96"/>
      <c r="J8" s="104"/>
      <c r="K8" s="75"/>
      <c r="L8" s="75"/>
      <c r="M8" s="75"/>
      <c r="N8" s="75"/>
      <c r="O8" s="96"/>
      <c r="P8" s="105"/>
      <c r="Q8" s="105"/>
      <c r="R8" s="96"/>
      <c r="S8" s="128"/>
      <c r="T8" s="137"/>
      <c r="U8" s="110"/>
      <c r="V8" s="100">
        <v>1</v>
      </c>
      <c r="W8" s="100"/>
      <c r="X8" s="100"/>
      <c r="Y8" s="110"/>
      <c r="Z8" s="110"/>
      <c r="AA8" s="100"/>
      <c r="AB8" s="109"/>
      <c r="AC8" s="109"/>
      <c r="AD8" s="109"/>
      <c r="AE8" s="108"/>
      <c r="AF8" s="109"/>
      <c r="AG8" s="108"/>
      <c r="AH8" s="111"/>
      <c r="AI8" s="100"/>
      <c r="AJ8" s="100"/>
      <c r="AK8" s="100"/>
      <c r="AL8" s="100"/>
      <c r="AM8" s="100"/>
      <c r="AN8" s="111"/>
      <c r="AO8" s="100"/>
      <c r="AP8" s="100"/>
      <c r="AQ8" s="111"/>
      <c r="AR8" s="100"/>
      <c r="AS8" s="100"/>
      <c r="AT8" s="111"/>
    </row>
    <row r="9" spans="1:48" ht="16.3">
      <c r="A9" s="246" t="s">
        <v>5</v>
      </c>
      <c r="B9" s="240">
        <f>SUM(J9+K9+L9+M9+N9+S9+V9+W9+X9+AA9+AI9+AJ9+AI9+AM9+AP9+AQ9+AS9+AT9+AU9+AV9)</f>
        <v>14</v>
      </c>
      <c r="C9" s="215">
        <f>SUM(J9+K9+L9+M9+N9+S9+W9+X9+V9+AA9+AJ9+AI9+AJ9+AN9+AQ9+AM9+AT9+AU9+AV9+AW9+AP9+AS9)</f>
        <v>14</v>
      </c>
      <c r="D9" s="133"/>
      <c r="E9" s="134"/>
      <c r="F9" s="135"/>
      <c r="G9" s="136"/>
      <c r="H9" s="96"/>
      <c r="I9" s="96"/>
      <c r="J9" s="104">
        <v>6</v>
      </c>
      <c r="K9" s="75"/>
      <c r="L9" s="75">
        <v>1</v>
      </c>
      <c r="M9" s="75"/>
      <c r="N9" s="75"/>
      <c r="O9" s="96"/>
      <c r="P9" s="105"/>
      <c r="Q9" s="105"/>
      <c r="R9" s="96"/>
      <c r="S9" s="128"/>
      <c r="T9" s="137"/>
      <c r="U9" s="110">
        <v>8</v>
      </c>
      <c r="V9" s="100">
        <v>4</v>
      </c>
      <c r="W9" s="100">
        <v>2</v>
      </c>
      <c r="X9" s="100">
        <v>1</v>
      </c>
      <c r="Y9" s="110">
        <v>8</v>
      </c>
      <c r="Z9" s="110">
        <v>0</v>
      </c>
      <c r="AA9" s="100">
        <v>0</v>
      </c>
      <c r="AB9" s="109"/>
      <c r="AC9" s="109"/>
      <c r="AD9" s="109"/>
      <c r="AE9" s="108"/>
      <c r="AF9" s="109"/>
      <c r="AG9" s="108"/>
      <c r="AH9" s="111"/>
      <c r="AI9" s="100"/>
      <c r="AJ9" s="100"/>
      <c r="AK9" s="100"/>
      <c r="AL9" s="100"/>
      <c r="AM9" s="100"/>
      <c r="AN9" s="111"/>
      <c r="AO9" s="100"/>
      <c r="AP9" s="100"/>
      <c r="AQ9" s="111"/>
      <c r="AR9" s="100"/>
      <c r="AS9" s="100"/>
      <c r="AT9" s="111"/>
    </row>
    <row r="10" spans="1:48" ht="16.3">
      <c r="A10" s="246" t="s">
        <v>6</v>
      </c>
      <c r="B10" s="240">
        <f>SUM(J10+K10+L10+M10+N10+S10+V10+W10+X10+AA10+AI10+AJ10+AI10+AM10+AP10+AQ10+AS10+AT10+AU10+AV10)</f>
        <v>23</v>
      </c>
      <c r="C10" s="215">
        <f>SUM(J10+K10+L10+M10+N10+S10+W10+X10+V10+AA10+AJ10+AI10+AJ10+AN10+AQ10+AM10+AT10+AU10+AV10+AW10+AP10+AS10)</f>
        <v>23</v>
      </c>
      <c r="D10" s="133"/>
      <c r="E10" s="134"/>
      <c r="F10" s="135"/>
      <c r="G10" s="136"/>
      <c r="H10" s="96"/>
      <c r="I10" s="96"/>
      <c r="J10" s="104">
        <v>7</v>
      </c>
      <c r="K10" s="75"/>
      <c r="L10" s="75">
        <v>2</v>
      </c>
      <c r="M10" s="75"/>
      <c r="N10" s="75"/>
      <c r="O10" s="96"/>
      <c r="P10" s="105"/>
      <c r="Q10" s="105"/>
      <c r="R10" s="96"/>
      <c r="S10" s="128"/>
      <c r="T10" s="137"/>
      <c r="U10" s="110">
        <v>9</v>
      </c>
      <c r="V10" s="100">
        <v>5</v>
      </c>
      <c r="W10" s="100">
        <v>5</v>
      </c>
      <c r="X10" s="100">
        <v>2</v>
      </c>
      <c r="Y10" s="110">
        <v>9</v>
      </c>
      <c r="Z10" s="110">
        <v>1</v>
      </c>
      <c r="AA10" s="100">
        <v>2</v>
      </c>
      <c r="AB10" s="109"/>
      <c r="AC10" s="109"/>
      <c r="AD10" s="109"/>
      <c r="AE10" s="108"/>
      <c r="AF10" s="109"/>
      <c r="AG10" s="108"/>
      <c r="AH10" s="111"/>
      <c r="AI10" s="100"/>
      <c r="AJ10" s="100"/>
      <c r="AK10" s="100"/>
      <c r="AL10" s="100"/>
      <c r="AM10" s="100"/>
      <c r="AN10" s="111"/>
      <c r="AO10" s="100"/>
      <c r="AP10" s="100"/>
      <c r="AQ10" s="111"/>
      <c r="AR10" s="100"/>
      <c r="AS10" s="100"/>
      <c r="AT10" s="111"/>
    </row>
    <row r="11" spans="1:48" ht="16.3">
      <c r="A11" s="246" t="s">
        <v>365</v>
      </c>
      <c r="B11" s="242">
        <f>SUM(B9/B10)*100</f>
        <v>60.869565217391312</v>
      </c>
      <c r="C11" s="216">
        <f>SUM(C9/C10)*100</f>
        <v>60.869565217391312</v>
      </c>
      <c r="D11" s="133"/>
      <c r="E11" s="134"/>
      <c r="F11" s="135"/>
      <c r="G11" s="136"/>
      <c r="H11" s="96"/>
      <c r="I11" s="96"/>
      <c r="J11" s="104">
        <v>86</v>
      </c>
      <c r="K11" s="75"/>
      <c r="L11" s="75">
        <v>50</v>
      </c>
      <c r="M11" s="75"/>
      <c r="N11" s="75"/>
      <c r="O11" s="96"/>
      <c r="P11" s="105"/>
      <c r="Q11" s="105"/>
      <c r="R11" s="96"/>
      <c r="S11" s="128"/>
      <c r="T11" s="137"/>
      <c r="U11" s="110">
        <v>89</v>
      </c>
      <c r="V11" s="100">
        <v>80</v>
      </c>
      <c r="W11" s="100">
        <v>40</v>
      </c>
      <c r="X11" s="100">
        <v>50</v>
      </c>
      <c r="Y11" s="110">
        <v>89</v>
      </c>
      <c r="Z11" s="110">
        <v>0</v>
      </c>
      <c r="AA11" s="100">
        <v>0</v>
      </c>
      <c r="AB11" s="109"/>
      <c r="AC11" s="109"/>
      <c r="AD11" s="109"/>
      <c r="AE11" s="108"/>
      <c r="AF11" s="109"/>
      <c r="AG11" s="108"/>
      <c r="AH11" s="111"/>
      <c r="AI11" s="100"/>
      <c r="AJ11" s="100"/>
      <c r="AK11" s="100"/>
      <c r="AL11" s="100"/>
      <c r="AM11" s="100"/>
      <c r="AN11" s="111"/>
      <c r="AO11" s="100"/>
      <c r="AP11" s="100"/>
      <c r="AQ11" s="111"/>
      <c r="AR11" s="100"/>
      <c r="AS11" s="100"/>
      <c r="AT11" s="111"/>
    </row>
    <row r="12" spans="1:48" ht="16.3">
      <c r="A12" s="91" t="s">
        <v>3</v>
      </c>
      <c r="B12" s="239">
        <f>SUM(J12+K12+L12+M12+N12+S12+V12+W12+X12+AA12+AI12+AJ12+AI12+AM12+AP12+AQ12+AS12+AT12+AU12+AV12)</f>
        <v>1</v>
      </c>
      <c r="C12" s="214">
        <f>SUM(J12+K12+L12+M12+N12+S12+W12+X12+V12+AA12+AJ12+AI12+AJ12+AN12+AQ12+AM12+AT12+AU12+AV12+AW12+AP12+AS12)</f>
        <v>1</v>
      </c>
      <c r="D12" s="133"/>
      <c r="E12" s="134"/>
      <c r="F12" s="135"/>
      <c r="G12" s="136"/>
      <c r="H12" s="96"/>
      <c r="I12" s="96"/>
      <c r="J12" s="104"/>
      <c r="K12" s="75"/>
      <c r="L12" s="75"/>
      <c r="M12" s="75"/>
      <c r="N12" s="75"/>
      <c r="O12" s="96"/>
      <c r="P12" s="105"/>
      <c r="Q12" s="105"/>
      <c r="R12" s="96"/>
      <c r="S12" s="128">
        <v>1</v>
      </c>
      <c r="T12" s="137"/>
      <c r="U12" s="110"/>
      <c r="V12" s="100"/>
      <c r="W12" s="100"/>
      <c r="X12" s="100"/>
      <c r="Y12" s="110"/>
      <c r="Z12" s="110"/>
      <c r="AA12" s="100"/>
      <c r="AB12" s="109"/>
      <c r="AC12" s="109"/>
      <c r="AD12" s="109"/>
      <c r="AE12" s="108"/>
      <c r="AF12" s="109"/>
      <c r="AG12" s="108"/>
      <c r="AH12" s="111"/>
      <c r="AI12" s="100"/>
      <c r="AJ12" s="100"/>
      <c r="AK12" s="100"/>
      <c r="AL12" s="100"/>
      <c r="AM12" s="100"/>
      <c r="AN12" s="111"/>
      <c r="AO12" s="100"/>
      <c r="AP12" s="100"/>
      <c r="AQ12" s="111"/>
      <c r="AR12" s="100"/>
      <c r="AS12" s="100"/>
      <c r="AT12" s="111"/>
    </row>
    <row r="13" spans="1:48" ht="17" thickBot="1">
      <c r="A13" s="92" t="s">
        <v>4</v>
      </c>
      <c r="B13" s="241">
        <f>SUM(J13+K13+L13+M13+N13+S13+V13+W13+X13+AA13+AI13+AJ13+AI13+AM13+AP13+AQ13+AS13+AT13+AU13+AV13)</f>
        <v>36</v>
      </c>
      <c r="C13" s="217">
        <f>SUM(J13+K13+L13+M13+N13+S13+W13+X13+V13+AA13+AJ13+AI13+AJ13+AN13+AQ13+AM13+AT13+AU13+AV13+AW13+AP13+AS13)</f>
        <v>36</v>
      </c>
      <c r="D13" s="144"/>
      <c r="E13" s="145"/>
      <c r="F13" s="146"/>
      <c r="G13" s="147"/>
      <c r="H13" s="114"/>
      <c r="I13" s="114"/>
      <c r="J13" s="113">
        <v>14</v>
      </c>
      <c r="K13" s="112"/>
      <c r="L13" s="112">
        <v>3</v>
      </c>
      <c r="M13" s="112"/>
      <c r="N13" s="112"/>
      <c r="O13" s="114"/>
      <c r="P13" s="127"/>
      <c r="Q13" s="127"/>
      <c r="R13" s="114"/>
      <c r="S13" s="129">
        <v>5</v>
      </c>
      <c r="T13" s="148"/>
      <c r="U13" s="120">
        <v>16</v>
      </c>
      <c r="V13" s="112">
        <v>8</v>
      </c>
      <c r="W13" s="100">
        <v>4</v>
      </c>
      <c r="X13" s="100">
        <v>2</v>
      </c>
      <c r="Y13" s="110">
        <v>16</v>
      </c>
      <c r="Z13" s="110">
        <v>0</v>
      </c>
      <c r="AA13" s="100">
        <v>0</v>
      </c>
      <c r="AB13" s="109"/>
      <c r="AC13" s="109"/>
      <c r="AD13" s="109"/>
      <c r="AE13" s="108"/>
      <c r="AF13" s="109"/>
      <c r="AG13" s="108"/>
      <c r="AH13" s="111"/>
      <c r="AI13" s="100"/>
      <c r="AJ13" s="100"/>
      <c r="AK13" s="100"/>
      <c r="AL13" s="100"/>
      <c r="AM13" s="100"/>
      <c r="AN13" s="111"/>
      <c r="AO13" s="100"/>
      <c r="AP13" s="100"/>
      <c r="AQ13" s="111"/>
      <c r="AR13" s="100"/>
      <c r="AS13" s="100"/>
      <c r="AT13" s="111"/>
    </row>
    <row r="14" spans="1:48" ht="21.1">
      <c r="A14" s="82" t="s">
        <v>46</v>
      </c>
      <c r="B14" s="239"/>
      <c r="C14" s="214"/>
      <c r="D14" s="133"/>
      <c r="E14" s="134"/>
      <c r="F14" s="135"/>
      <c r="G14" s="136"/>
      <c r="H14" s="96" t="s">
        <v>339</v>
      </c>
      <c r="I14" s="96" t="s">
        <v>339</v>
      </c>
      <c r="J14" s="104" t="s">
        <v>339</v>
      </c>
      <c r="K14" s="75" t="s">
        <v>339</v>
      </c>
      <c r="L14" s="75" t="s">
        <v>339</v>
      </c>
      <c r="M14" s="75" t="s">
        <v>339</v>
      </c>
      <c r="N14" s="75" t="s">
        <v>339</v>
      </c>
      <c r="O14" s="96" t="s">
        <v>339</v>
      </c>
      <c r="P14" s="105"/>
      <c r="Q14" s="105"/>
      <c r="R14" s="96" t="s">
        <v>339</v>
      </c>
      <c r="S14" s="128" t="s">
        <v>339</v>
      </c>
      <c r="T14" s="137" t="s">
        <v>339</v>
      </c>
      <c r="U14" s="110" t="s">
        <v>339</v>
      </c>
      <c r="V14" s="100" t="s">
        <v>339</v>
      </c>
      <c r="W14" s="102" t="s">
        <v>375</v>
      </c>
      <c r="X14" s="102"/>
      <c r="Y14" s="101" t="s">
        <v>715</v>
      </c>
      <c r="Z14" s="101"/>
      <c r="AA14" s="102"/>
      <c r="AB14" s="99">
        <v>15</v>
      </c>
      <c r="AC14" s="99" t="s">
        <v>379</v>
      </c>
      <c r="AD14" s="99">
        <v>15</v>
      </c>
      <c r="AE14" s="98"/>
      <c r="AF14" s="99" t="s">
        <v>379</v>
      </c>
      <c r="AG14" s="98" t="s">
        <v>339</v>
      </c>
      <c r="AH14" s="103"/>
      <c r="AI14" s="102"/>
      <c r="AJ14" s="102"/>
      <c r="AK14" s="102"/>
      <c r="AL14" s="102"/>
      <c r="AM14" s="102"/>
      <c r="AN14" s="103"/>
      <c r="AO14" s="102"/>
      <c r="AP14" s="102"/>
      <c r="AQ14" s="103"/>
      <c r="AR14" s="102"/>
      <c r="AS14" s="102"/>
      <c r="AT14" s="103"/>
    </row>
    <row r="15" spans="1:48" ht="16.3">
      <c r="A15" s="246" t="s">
        <v>1</v>
      </c>
      <c r="B15" s="240">
        <f>SUM(J15+K15+L15+M15+N15+S15+V15+W15+X15+AA15+AI15+AJ15+AI15+AM15+AP15+AQ15+AS15+AT15+AU15+AV15+AN15)+39</f>
        <v>39</v>
      </c>
      <c r="C15" s="215">
        <f>SUM(J15+K15+L15+M15+N15+S15+W15+X15+V15+AA15+AJ15+AI15+AJ15+AN15+AQ15+AM15+AT15+AU15+AV15+AW15+AP15+AS15)+39</f>
        <v>39</v>
      </c>
      <c r="D15" s="139"/>
      <c r="E15" s="140"/>
      <c r="F15" s="135"/>
      <c r="G15" s="136"/>
      <c r="H15" s="96"/>
      <c r="I15" s="96"/>
      <c r="J15" s="104"/>
      <c r="K15" s="75"/>
      <c r="L15" s="75"/>
      <c r="M15" s="75"/>
      <c r="N15" s="75"/>
      <c r="O15" s="96"/>
      <c r="P15" s="105"/>
      <c r="Q15" s="105"/>
      <c r="R15" s="96"/>
      <c r="S15" s="128"/>
      <c r="T15" s="182"/>
      <c r="U15" s="106"/>
      <c r="V15" s="75"/>
      <c r="W15" s="75"/>
      <c r="X15" s="75"/>
      <c r="Y15" s="106">
        <v>1</v>
      </c>
      <c r="Z15" s="106"/>
      <c r="AA15" s="75"/>
      <c r="AB15" s="96">
        <v>1</v>
      </c>
      <c r="AC15" s="96">
        <v>1</v>
      </c>
      <c r="AD15" s="96">
        <v>1</v>
      </c>
      <c r="AE15" s="105"/>
      <c r="AF15" s="96">
        <v>1</v>
      </c>
      <c r="AG15" s="105"/>
      <c r="AH15" s="107"/>
      <c r="AI15" s="75"/>
      <c r="AJ15" s="75"/>
      <c r="AK15" s="75"/>
      <c r="AL15" s="75"/>
      <c r="AM15" s="75"/>
      <c r="AN15" s="107"/>
      <c r="AO15" s="75"/>
      <c r="AP15" s="75"/>
      <c r="AQ15" s="107"/>
      <c r="AR15" s="75"/>
      <c r="AS15" s="75"/>
      <c r="AT15" s="107"/>
    </row>
    <row r="16" spans="1:48" ht="16.3">
      <c r="A16" s="246" t="s">
        <v>2</v>
      </c>
      <c r="B16" s="240">
        <f>SUM(J16+K16+L16+M16+N16+S16+V16+W16+X16+AA16+AI16+AJ16+AI16+AM16+AP16+AQ16+AS16+AT16+AU16+AV16)+35</f>
        <v>36</v>
      </c>
      <c r="C16" s="215">
        <f>SUM(J16+K16+L16+M16+N16+S16+W16+X16+V16+AA16+AJ16+AI16+AJ16+AN16+AQ16+AM16+AT16+AU16+AV16+AW16+AP16+AS16)+35</f>
        <v>36</v>
      </c>
      <c r="D16" s="139"/>
      <c r="E16" s="140"/>
      <c r="F16" s="135"/>
      <c r="G16" s="136"/>
      <c r="H16" s="96"/>
      <c r="I16" s="96"/>
      <c r="J16" s="104"/>
      <c r="K16" s="75"/>
      <c r="L16" s="75"/>
      <c r="M16" s="75"/>
      <c r="N16" s="75"/>
      <c r="O16" s="96"/>
      <c r="P16" s="105"/>
      <c r="Q16" s="105"/>
      <c r="R16" s="96"/>
      <c r="S16" s="128"/>
      <c r="T16" s="137"/>
      <c r="U16" s="110"/>
      <c r="V16" s="100"/>
      <c r="W16" s="100">
        <v>1</v>
      </c>
      <c r="X16" s="100"/>
      <c r="Y16" s="110"/>
      <c r="Z16" s="110"/>
      <c r="AA16" s="100"/>
      <c r="AB16" s="109"/>
      <c r="AC16" s="109"/>
      <c r="AD16" s="109"/>
      <c r="AE16" s="108"/>
      <c r="AF16" s="109"/>
      <c r="AG16" s="108"/>
      <c r="AH16" s="111"/>
      <c r="AI16" s="100"/>
      <c r="AJ16" s="100"/>
      <c r="AK16" s="100"/>
      <c r="AL16" s="100"/>
      <c r="AM16" s="100"/>
      <c r="AN16" s="111"/>
      <c r="AO16" s="100"/>
      <c r="AP16" s="100"/>
      <c r="AQ16" s="111"/>
      <c r="AR16" s="100"/>
      <c r="AS16" s="100"/>
      <c r="AT16" s="111"/>
    </row>
    <row r="17" spans="1:48" ht="16.3">
      <c r="A17" s="91" t="s">
        <v>363</v>
      </c>
      <c r="B17" s="239">
        <f>SUM(B15+B16)</f>
        <v>75</v>
      </c>
      <c r="C17" s="214">
        <f>SUM(C15+C16)</f>
        <v>75</v>
      </c>
      <c r="D17" s="133"/>
      <c r="E17" s="134"/>
      <c r="F17" s="135"/>
      <c r="G17" s="136"/>
      <c r="H17" s="96"/>
      <c r="I17" s="96"/>
      <c r="J17" s="104"/>
      <c r="K17" s="75"/>
      <c r="L17" s="75"/>
      <c r="M17" s="75"/>
      <c r="N17" s="75"/>
      <c r="O17" s="96"/>
      <c r="P17" s="105"/>
      <c r="Q17" s="105"/>
      <c r="R17" s="96"/>
      <c r="S17" s="128"/>
      <c r="T17" s="137"/>
      <c r="U17" s="110"/>
      <c r="V17" s="100"/>
      <c r="W17" s="100"/>
      <c r="X17" s="100"/>
      <c r="Y17" s="110"/>
      <c r="Z17" s="110"/>
      <c r="AA17" s="100"/>
      <c r="AB17" s="109"/>
      <c r="AC17" s="109"/>
      <c r="AD17" s="109"/>
      <c r="AE17" s="108"/>
      <c r="AF17" s="109"/>
      <c r="AG17" s="108"/>
      <c r="AH17" s="111"/>
      <c r="AI17" s="100"/>
      <c r="AJ17" s="100"/>
      <c r="AK17" s="100"/>
      <c r="AL17" s="100"/>
      <c r="AM17" s="100"/>
      <c r="AN17" s="111"/>
      <c r="AO17" s="100"/>
      <c r="AP17" s="100"/>
      <c r="AQ17" s="111"/>
      <c r="AR17" s="100"/>
      <c r="AS17" s="100"/>
      <c r="AT17" s="111"/>
    </row>
    <row r="18" spans="1:48" ht="16.3">
      <c r="A18" s="246" t="s">
        <v>362</v>
      </c>
      <c r="B18" s="240">
        <f>SUM(J18+K18+L18+M18+N18+S18+V18+W18+X18+AA18+AI18+AJ18+AI18+AM18+AP18+AQ18+AS18+AT18+AU18+AV18)</f>
        <v>0</v>
      </c>
      <c r="C18" s="215">
        <f>SUM(J18+K18+L18+M18+N18+S18+W18+X18+V18+AA18+AJ18+AI18+AJ18+AN18+AQ18+AM18+AT18+AU18+AV18+AW18+AP18+AS18)</f>
        <v>0</v>
      </c>
      <c r="D18" s="133"/>
      <c r="E18" s="134"/>
      <c r="F18" s="135"/>
      <c r="G18" s="136"/>
      <c r="H18" s="96"/>
      <c r="I18" s="96"/>
      <c r="J18" s="104"/>
      <c r="K18" s="75"/>
      <c r="L18" s="75"/>
      <c r="M18" s="75"/>
      <c r="N18" s="75"/>
      <c r="O18" s="96"/>
      <c r="P18" s="105"/>
      <c r="Q18" s="105"/>
      <c r="R18" s="96"/>
      <c r="S18" s="128"/>
      <c r="T18" s="137"/>
      <c r="U18" s="110"/>
      <c r="V18" s="100"/>
      <c r="W18" s="100"/>
      <c r="X18" s="100"/>
      <c r="Y18" s="110">
        <v>1</v>
      </c>
      <c r="Z18" s="110"/>
      <c r="AA18" s="100"/>
      <c r="AB18" s="109"/>
      <c r="AC18" s="109"/>
      <c r="AD18" s="109"/>
      <c r="AE18" s="108"/>
      <c r="AF18" s="109"/>
      <c r="AG18" s="108"/>
      <c r="AH18" s="111"/>
      <c r="AI18" s="100"/>
      <c r="AJ18" s="100"/>
      <c r="AK18" s="100"/>
      <c r="AL18" s="100"/>
      <c r="AM18" s="100"/>
      <c r="AN18" s="111"/>
      <c r="AO18" s="100"/>
      <c r="AP18" s="100"/>
      <c r="AQ18" s="111"/>
      <c r="AR18" s="100"/>
      <c r="AS18" s="100"/>
      <c r="AT18" s="111"/>
    </row>
    <row r="19" spans="1:48" ht="16.3">
      <c r="A19" s="91" t="s">
        <v>3</v>
      </c>
      <c r="B19" s="239">
        <f>SUM(J19+K19+L19+M19+N19+S19+V19+W19+X19+AA19+AI19+AJ19+AI19+AM19+AP19+AQ19+AS19+AT19+AU19+AV19)+9</f>
        <v>9</v>
      </c>
      <c r="C19" s="214">
        <f>SUM(J19+K19+L19+M19+N19+S19+W19+X19+V19+AA19+AJ19+AI19+AJ19+AN19+AQ19+AM19+AT19+AU19+AV19+AW19+AP19+AS19)+9</f>
        <v>9</v>
      </c>
      <c r="D19" s="133"/>
      <c r="E19" s="134"/>
      <c r="F19" s="135"/>
      <c r="G19" s="136"/>
      <c r="H19" s="96"/>
      <c r="I19" s="96"/>
      <c r="J19" s="104"/>
      <c r="K19" s="75"/>
      <c r="L19" s="75"/>
      <c r="M19" s="75"/>
      <c r="N19" s="75"/>
      <c r="O19" s="96"/>
      <c r="P19" s="105"/>
      <c r="Q19" s="105"/>
      <c r="R19" s="96"/>
      <c r="S19" s="128"/>
      <c r="T19" s="137"/>
      <c r="U19" s="110"/>
      <c r="V19" s="100"/>
      <c r="W19" s="100"/>
      <c r="X19" s="100"/>
      <c r="Y19" s="110"/>
      <c r="Z19" s="110"/>
      <c r="AA19" s="100"/>
      <c r="AB19" s="109">
        <v>1</v>
      </c>
      <c r="AC19" s="109">
        <v>1</v>
      </c>
      <c r="AD19" s="109"/>
      <c r="AE19" s="108"/>
      <c r="AF19" s="109"/>
      <c r="AG19" s="108"/>
      <c r="AH19" s="111"/>
      <c r="AI19" s="100"/>
      <c r="AJ19" s="100"/>
      <c r="AK19" s="100"/>
      <c r="AL19" s="100"/>
      <c r="AM19" s="100"/>
      <c r="AN19" s="111"/>
      <c r="AO19" s="100"/>
      <c r="AP19" s="100"/>
      <c r="AQ19" s="111"/>
      <c r="AR19" s="100"/>
      <c r="AS19" s="100"/>
      <c r="AT19" s="111"/>
    </row>
    <row r="20" spans="1:48" ht="17" thickBot="1">
      <c r="A20" s="92" t="s">
        <v>4</v>
      </c>
      <c r="B20" s="241">
        <f>SUM(J20+K20+L20+M20+N20+S20+V20+W20+X20+AA20+AI20+AJ20+AI20+AM20+AP20+AQ20+AS20+AT20+AU20+AV20)+45</f>
        <v>45</v>
      </c>
      <c r="C20" s="217">
        <f>SUM(J20+K20+L20+M20+N20+S20+W20+X20+V20+AA20+AJ20+AI20+AJ20+AN20+AQ20+AM20+AT20+AU20+AV20+AW20+AP20+AS20)+45</f>
        <v>45</v>
      </c>
      <c r="D20" s="144"/>
      <c r="E20" s="145"/>
      <c r="F20" s="146"/>
      <c r="G20" s="147"/>
      <c r="H20" s="114"/>
      <c r="I20" s="114"/>
      <c r="J20" s="113"/>
      <c r="K20" s="112"/>
      <c r="L20" s="112"/>
      <c r="M20" s="112"/>
      <c r="N20" s="112"/>
      <c r="O20" s="114"/>
      <c r="P20" s="127"/>
      <c r="Q20" s="127"/>
      <c r="R20" s="114"/>
      <c r="S20" s="129"/>
      <c r="T20" s="148"/>
      <c r="U20" s="120"/>
      <c r="V20" s="112"/>
      <c r="W20" s="116"/>
      <c r="X20" s="116"/>
      <c r="Y20" s="120"/>
      <c r="Z20" s="120"/>
      <c r="AA20" s="116"/>
      <c r="AB20" s="118">
        <v>5</v>
      </c>
      <c r="AC20" s="118">
        <v>5</v>
      </c>
      <c r="AD20" s="118"/>
      <c r="AE20" s="117"/>
      <c r="AF20" s="118"/>
      <c r="AG20" s="127"/>
      <c r="AH20" s="121"/>
      <c r="AI20" s="116"/>
      <c r="AJ20" s="116"/>
      <c r="AK20" s="116"/>
      <c r="AL20" s="116"/>
      <c r="AM20" s="116"/>
      <c r="AN20" s="121"/>
      <c r="AO20" s="116"/>
      <c r="AP20" s="116"/>
      <c r="AQ20" s="121"/>
      <c r="AR20" s="116"/>
      <c r="AS20" s="116"/>
      <c r="AT20" s="121"/>
    </row>
    <row r="21" spans="1:48" ht="21.1">
      <c r="A21" s="82" t="s">
        <v>774</v>
      </c>
      <c r="B21" s="239"/>
      <c r="C21" s="214"/>
      <c r="D21" s="133"/>
      <c r="E21" s="134"/>
      <c r="F21" s="135"/>
      <c r="G21" s="136"/>
      <c r="H21" s="96"/>
      <c r="I21" s="96"/>
      <c r="J21" s="104"/>
      <c r="K21" s="75"/>
      <c r="L21" s="75"/>
      <c r="M21" s="75"/>
      <c r="N21" s="75"/>
      <c r="O21" s="96">
        <v>15</v>
      </c>
      <c r="P21" s="105"/>
      <c r="Q21" s="105"/>
      <c r="R21" s="96" t="s">
        <v>375</v>
      </c>
      <c r="S21" s="128"/>
      <c r="T21" s="137"/>
      <c r="U21" s="110"/>
      <c r="V21" s="100"/>
      <c r="W21" s="100"/>
      <c r="X21" s="100"/>
      <c r="Y21" s="110"/>
      <c r="Z21" s="110"/>
      <c r="AA21" s="100"/>
      <c r="AB21" s="109"/>
      <c r="AC21" s="109"/>
      <c r="AD21" s="109"/>
      <c r="AE21" s="108"/>
      <c r="AF21" s="109"/>
      <c r="AG21" s="108"/>
      <c r="AH21" s="111"/>
      <c r="AI21" s="100"/>
      <c r="AJ21" s="100"/>
      <c r="AK21" s="100"/>
      <c r="AL21" s="100"/>
      <c r="AM21" s="100"/>
      <c r="AN21" s="111"/>
      <c r="AO21" s="100"/>
      <c r="AP21" s="100"/>
      <c r="AQ21" s="111"/>
      <c r="AR21" s="100"/>
      <c r="AS21" s="100"/>
      <c r="AT21" s="111"/>
    </row>
    <row r="22" spans="1:48" ht="16.3">
      <c r="A22" s="246" t="s">
        <v>1</v>
      </c>
      <c r="B22" s="240">
        <f>SUM(J22+K22+L22+M22+N22+S22+V22+W22+X22+AA22+AI22+AJ22+AI22+AM22+AP22+AQ22+AS22+AT22+AU22+AV22+AN22)+4</f>
        <v>4</v>
      </c>
      <c r="C22" s="215">
        <f>SUM(J22+K22+L22+M22+N22+S22+W22+X22+V22+AA22+AJ22+AI22+AJ22+AN22+AQ22+AM22+AT22+AU22+AV22+AW22+AP22+AS22)+4</f>
        <v>4</v>
      </c>
      <c r="D22" s="133"/>
      <c r="E22" s="134"/>
      <c r="F22" s="135"/>
      <c r="G22" s="136"/>
      <c r="H22" s="96"/>
      <c r="I22" s="96"/>
      <c r="J22" s="104"/>
      <c r="K22" s="75"/>
      <c r="L22" s="75"/>
      <c r="M22" s="75"/>
      <c r="N22" s="75"/>
      <c r="O22" s="96">
        <v>1</v>
      </c>
      <c r="P22" s="105"/>
      <c r="Q22" s="105"/>
      <c r="R22" s="96"/>
      <c r="S22" s="128"/>
      <c r="T22" s="137"/>
      <c r="U22" s="110"/>
      <c r="V22" s="100"/>
      <c r="W22" s="100"/>
      <c r="X22" s="100"/>
      <c r="Y22" s="110"/>
      <c r="Z22" s="110"/>
      <c r="AA22" s="100"/>
      <c r="AB22" s="109"/>
      <c r="AC22" s="109"/>
      <c r="AD22" s="109"/>
      <c r="AE22" s="108"/>
      <c r="AF22" s="109"/>
      <c r="AG22" s="108"/>
      <c r="AH22" s="111"/>
      <c r="AI22" s="100"/>
      <c r="AJ22" s="100"/>
      <c r="AK22" s="100"/>
      <c r="AL22" s="100"/>
      <c r="AM22" s="100"/>
      <c r="AN22" s="111"/>
      <c r="AO22" s="100"/>
      <c r="AP22" s="100"/>
      <c r="AQ22" s="111"/>
      <c r="AR22" s="100"/>
      <c r="AS22" s="100"/>
      <c r="AT22" s="111"/>
    </row>
    <row r="23" spans="1:48" ht="16.3">
      <c r="A23" s="246" t="s">
        <v>2</v>
      </c>
      <c r="B23" s="240">
        <f>SUM(J23+K23+L23+M23+N23+S23+V23+W23+X23+AA23+AI23+AJ23+AI23+AM23+AP23+AQ23+AS23+AT23+AU23+AV23)+8</f>
        <v>8</v>
      </c>
      <c r="C23" s="215">
        <f>SUM(J23+K23+L23+M23+N23+S23+W23+X23+V23+AA23+AJ23+AI23+AJ23+AN23+AQ23+AM23+AT23+AU23+AV23+AW23+AP23+AS23)+8</f>
        <v>8</v>
      </c>
      <c r="D23" s="133"/>
      <c r="E23" s="134"/>
      <c r="F23" s="135"/>
      <c r="G23" s="136"/>
      <c r="H23" s="96"/>
      <c r="I23" s="96"/>
      <c r="J23" s="104"/>
      <c r="K23" s="75"/>
      <c r="L23" s="75"/>
      <c r="M23" s="75"/>
      <c r="N23" s="75"/>
      <c r="O23" s="96"/>
      <c r="P23" s="105"/>
      <c r="Q23" s="105"/>
      <c r="R23" s="96">
        <v>1</v>
      </c>
      <c r="S23" s="128"/>
      <c r="T23" s="137"/>
      <c r="U23" s="110"/>
      <c r="V23" s="100"/>
      <c r="W23" s="100"/>
      <c r="X23" s="100"/>
      <c r="Y23" s="110"/>
      <c r="Z23" s="110"/>
      <c r="AA23" s="100"/>
      <c r="AB23" s="109"/>
      <c r="AC23" s="109"/>
      <c r="AD23" s="109"/>
      <c r="AE23" s="108"/>
      <c r="AF23" s="109"/>
      <c r="AG23" s="108"/>
      <c r="AH23" s="111"/>
      <c r="AI23" s="100"/>
      <c r="AJ23" s="100"/>
      <c r="AK23" s="100"/>
      <c r="AL23" s="100"/>
      <c r="AM23" s="100"/>
      <c r="AN23" s="111"/>
      <c r="AO23" s="100"/>
      <c r="AP23" s="100"/>
      <c r="AQ23" s="111"/>
      <c r="AR23" s="100"/>
      <c r="AS23" s="100"/>
      <c r="AT23" s="111"/>
    </row>
    <row r="24" spans="1:48" ht="16.3">
      <c r="A24" s="91" t="s">
        <v>363</v>
      </c>
      <c r="B24" s="239">
        <f>SUM(B22+B23)</f>
        <v>12</v>
      </c>
      <c r="C24" s="214">
        <f>SUM(C22+C23)</f>
        <v>12</v>
      </c>
      <c r="D24" s="133"/>
      <c r="E24" s="134"/>
      <c r="F24" s="135"/>
      <c r="G24" s="136"/>
      <c r="H24" s="96"/>
      <c r="I24" s="96"/>
      <c r="J24" s="104"/>
      <c r="K24" s="75"/>
      <c r="L24" s="75"/>
      <c r="M24" s="75"/>
      <c r="N24" s="75"/>
      <c r="O24" s="96"/>
      <c r="P24" s="105"/>
      <c r="Q24" s="105"/>
      <c r="R24" s="96"/>
      <c r="S24" s="128"/>
      <c r="T24" s="137"/>
      <c r="U24" s="110"/>
      <c r="V24" s="100"/>
      <c r="W24" s="100"/>
      <c r="X24" s="100"/>
      <c r="Y24" s="110"/>
      <c r="Z24" s="110"/>
      <c r="AA24" s="100"/>
      <c r="AB24" s="109"/>
      <c r="AC24" s="109"/>
      <c r="AD24" s="109"/>
      <c r="AE24" s="108"/>
      <c r="AF24" s="109"/>
      <c r="AG24" s="108"/>
      <c r="AH24" s="111"/>
      <c r="AI24" s="100"/>
      <c r="AJ24" s="100"/>
      <c r="AK24" s="100"/>
      <c r="AL24" s="100"/>
      <c r="AM24" s="100"/>
      <c r="AN24" s="111"/>
      <c r="AO24" s="100"/>
      <c r="AP24" s="100"/>
      <c r="AQ24" s="111"/>
      <c r="AR24" s="100"/>
      <c r="AS24" s="100"/>
      <c r="AT24" s="111"/>
    </row>
    <row r="25" spans="1:48" ht="16.3">
      <c r="A25" s="91" t="s">
        <v>3</v>
      </c>
      <c r="B25" s="239">
        <f>SUM(J25+K25+L25+M25+N25+S25+V25+W25+X25+AA25+AI25+AJ25+AI25+AM25+AP25+AQ25+AS25+AT25+AU25+AV25)+2</f>
        <v>2</v>
      </c>
      <c r="C25" s="214">
        <f>SUM(J25+K25+L25+M25+N25+S25+W25+X25+V25+AA25+AJ25+AI25+AJ25+AN25+AQ25+AM25+AT25+AU25+AV25+AW25+AP25+AS25)+2</f>
        <v>2</v>
      </c>
      <c r="D25" s="133"/>
      <c r="E25" s="134"/>
      <c r="F25" s="135"/>
      <c r="G25" s="136"/>
      <c r="H25" s="96"/>
      <c r="I25" s="96"/>
      <c r="J25" s="104"/>
      <c r="K25" s="75"/>
      <c r="L25" s="75"/>
      <c r="M25" s="75"/>
      <c r="N25" s="75"/>
      <c r="O25" s="96"/>
      <c r="P25" s="105"/>
      <c r="Q25" s="105"/>
      <c r="R25" s="96"/>
      <c r="S25" s="128"/>
      <c r="T25" s="137"/>
      <c r="U25" s="110"/>
      <c r="V25" s="100"/>
      <c r="W25" s="100"/>
      <c r="X25" s="100"/>
      <c r="Y25" s="110"/>
      <c r="Z25" s="110"/>
      <c r="AA25" s="100"/>
      <c r="AB25" s="109"/>
      <c r="AC25" s="109"/>
      <c r="AD25" s="109"/>
      <c r="AE25" s="108"/>
      <c r="AF25" s="109"/>
      <c r="AG25" s="108"/>
      <c r="AH25" s="111"/>
      <c r="AI25" s="100"/>
      <c r="AJ25" s="100"/>
      <c r="AK25" s="100"/>
      <c r="AL25" s="100"/>
      <c r="AM25" s="100"/>
      <c r="AN25" s="111"/>
      <c r="AO25" s="100"/>
      <c r="AP25" s="100"/>
      <c r="AQ25" s="111"/>
      <c r="AR25" s="100"/>
      <c r="AS25" s="100"/>
      <c r="AT25" s="111"/>
    </row>
    <row r="26" spans="1:48" ht="17" thickBot="1">
      <c r="A26" s="92" t="s">
        <v>4</v>
      </c>
      <c r="B26" s="241">
        <f>SUM(J26+K26+L26+M26+N26+S26+V26+W26+X26+AA26+AI26+AJ26+AI26+AM26+AP26+AQ26+AS26+AT26+AU26+AV26)+10</f>
        <v>10</v>
      </c>
      <c r="C26" s="217">
        <f>SUM(J26+K26+L26+M26+N26+S26+W26+X26+V26+AA26+AJ26+AI26+AJ26+AN26+AQ26+AM26+AT26+AU26+AV26+AW26+AP26+AS26)+10</f>
        <v>10</v>
      </c>
      <c r="D26" s="144"/>
      <c r="E26" s="145"/>
      <c r="F26" s="146"/>
      <c r="G26" s="147"/>
      <c r="H26" s="114"/>
      <c r="I26" s="114"/>
      <c r="J26" s="113"/>
      <c r="K26" s="112"/>
      <c r="L26" s="112"/>
      <c r="M26" s="112"/>
      <c r="N26" s="112"/>
      <c r="O26" s="114"/>
      <c r="P26" s="127"/>
      <c r="Q26" s="127"/>
      <c r="R26" s="114"/>
      <c r="S26" s="129"/>
      <c r="T26" s="148"/>
      <c r="U26" s="120"/>
      <c r="V26" s="116"/>
      <c r="W26" s="116"/>
      <c r="X26" s="116"/>
      <c r="Y26" s="120"/>
      <c r="Z26" s="120"/>
      <c r="AA26" s="116"/>
      <c r="AB26" s="118"/>
      <c r="AC26" s="118"/>
      <c r="AD26" s="118"/>
      <c r="AE26" s="117"/>
      <c r="AF26" s="118"/>
      <c r="AG26" s="117"/>
      <c r="AH26" s="121"/>
      <c r="AI26" s="116"/>
      <c r="AJ26" s="116"/>
      <c r="AK26" s="116"/>
      <c r="AL26" s="116"/>
      <c r="AM26" s="116"/>
      <c r="AN26" s="121"/>
      <c r="AO26" s="116"/>
      <c r="AP26" s="116"/>
      <c r="AQ26" s="121"/>
      <c r="AR26" s="116"/>
      <c r="AS26" s="116"/>
      <c r="AT26" s="121"/>
    </row>
    <row r="27" spans="1:48" ht="21.1">
      <c r="A27" s="82" t="s">
        <v>638</v>
      </c>
      <c r="B27" s="239"/>
      <c r="C27" s="214"/>
      <c r="D27" s="133"/>
      <c r="E27" s="134"/>
      <c r="F27" s="135"/>
      <c r="G27" s="136"/>
      <c r="H27" s="96"/>
      <c r="I27" s="96" t="s">
        <v>432</v>
      </c>
      <c r="J27" s="104"/>
      <c r="K27" s="75"/>
      <c r="L27" s="75"/>
      <c r="M27" s="75"/>
      <c r="N27" s="75"/>
      <c r="O27" s="96" t="s">
        <v>375</v>
      </c>
      <c r="P27" s="105"/>
      <c r="Q27" s="105"/>
      <c r="R27" s="96" t="s">
        <v>375</v>
      </c>
      <c r="S27" s="128"/>
      <c r="T27" s="137"/>
      <c r="U27" s="110"/>
      <c r="V27" s="100"/>
      <c r="W27" s="100"/>
      <c r="X27" s="100"/>
      <c r="Y27" s="110"/>
      <c r="Z27" s="110"/>
      <c r="AA27" s="100"/>
      <c r="AB27" s="109"/>
      <c r="AC27" s="109"/>
      <c r="AD27" s="109"/>
      <c r="AE27" s="108"/>
      <c r="AF27" s="109"/>
      <c r="AG27" s="108"/>
      <c r="AH27" s="111"/>
      <c r="AI27" s="100"/>
      <c r="AJ27" s="100"/>
      <c r="AK27" s="100"/>
      <c r="AL27" s="100"/>
      <c r="AM27" s="100"/>
      <c r="AN27" s="111"/>
      <c r="AO27" s="100"/>
      <c r="AP27" s="100"/>
      <c r="AQ27" s="111"/>
      <c r="AR27" s="100"/>
      <c r="AS27" s="100"/>
      <c r="AT27" s="111"/>
    </row>
    <row r="28" spans="1:48" ht="16.3">
      <c r="A28" s="246" t="s">
        <v>1</v>
      </c>
      <c r="B28" s="240">
        <f t="shared" ref="B28" si="0">SUM(J28+K28+L28+M28+N28+S28+V28+W28+X28+AA28+AI28+AJ28+AI28+AM28+AP28+AQ28+AS28+AT28+AU28+AV28+AN28)</f>
        <v>0</v>
      </c>
      <c r="C28" s="215">
        <f t="shared" ref="C28:C29" si="1">SUM(J28+K28+L28+M28+N28+S28+W28+X28+V28+AA28+AJ28+AI28+AJ28+AN28+AQ28+AM28+AT28+AU28+AV28+AW28+AP28+AS28)</f>
        <v>0</v>
      </c>
      <c r="D28" s="133"/>
      <c r="E28" s="134"/>
      <c r="F28" s="135"/>
      <c r="G28" s="136"/>
      <c r="H28" s="96"/>
      <c r="I28" s="96"/>
      <c r="J28" s="104"/>
      <c r="K28" s="75"/>
      <c r="L28" s="75"/>
      <c r="M28" s="75"/>
      <c r="N28" s="75"/>
      <c r="O28" s="96"/>
      <c r="P28" s="105"/>
      <c r="Q28" s="105"/>
      <c r="R28" s="96"/>
      <c r="S28" s="128"/>
      <c r="T28" s="137"/>
      <c r="U28" s="110"/>
      <c r="V28" s="100"/>
      <c r="W28" s="100"/>
      <c r="X28" s="100"/>
      <c r="Y28" s="110"/>
      <c r="Z28" s="110"/>
      <c r="AA28" s="100"/>
      <c r="AB28" s="109"/>
      <c r="AC28" s="109"/>
      <c r="AD28" s="109"/>
      <c r="AE28" s="108"/>
      <c r="AF28" s="109"/>
      <c r="AG28" s="108"/>
      <c r="AH28" s="111"/>
      <c r="AI28" s="100"/>
      <c r="AJ28" s="100"/>
      <c r="AK28" s="100"/>
      <c r="AL28" s="100"/>
      <c r="AM28" s="100"/>
      <c r="AN28" s="111"/>
      <c r="AO28" s="100"/>
      <c r="AP28" s="100"/>
      <c r="AQ28" s="111"/>
      <c r="AR28" s="100"/>
      <c r="AS28" s="100"/>
      <c r="AT28" s="111"/>
    </row>
    <row r="29" spans="1:48" ht="16.3">
      <c r="A29" s="246" t="s">
        <v>2</v>
      </c>
      <c r="B29" s="240">
        <f t="shared" ref="B29" si="2">SUM(J29+K29+L29+M29+N29+S29+V29+W29+X29+AA29+AI29+AJ29+AI29+AM29+AP29+AQ29+AS29+AT29+AU29+AV29)</f>
        <v>0</v>
      </c>
      <c r="C29" s="215">
        <f t="shared" si="1"/>
        <v>0</v>
      </c>
      <c r="D29" s="133"/>
      <c r="E29" s="134"/>
      <c r="F29" s="135"/>
      <c r="G29" s="136"/>
      <c r="H29" s="96"/>
      <c r="I29" s="96">
        <v>1</v>
      </c>
      <c r="J29" s="104"/>
      <c r="K29" s="75"/>
      <c r="L29" s="75"/>
      <c r="M29" s="75"/>
      <c r="N29" s="75"/>
      <c r="O29" s="96">
        <v>1</v>
      </c>
      <c r="P29" s="105"/>
      <c r="Q29" s="105"/>
      <c r="R29" s="96">
        <v>1</v>
      </c>
      <c r="S29" s="128"/>
      <c r="T29" s="137"/>
      <c r="U29" s="110"/>
      <c r="V29" s="100"/>
      <c r="W29" s="100"/>
      <c r="X29" s="100"/>
      <c r="Y29" s="110"/>
      <c r="Z29" s="110"/>
      <c r="AA29" s="100"/>
      <c r="AB29" s="109"/>
      <c r="AC29" s="109"/>
      <c r="AD29" s="109"/>
      <c r="AE29" s="108"/>
      <c r="AF29" s="109"/>
      <c r="AG29" s="108"/>
      <c r="AH29" s="111"/>
      <c r="AI29" s="100"/>
      <c r="AJ29" s="100"/>
      <c r="AK29" s="100"/>
      <c r="AL29" s="100"/>
      <c r="AM29" s="100"/>
      <c r="AN29" s="111"/>
      <c r="AO29" s="100"/>
      <c r="AP29" s="100"/>
      <c r="AQ29" s="111"/>
      <c r="AR29" s="100"/>
      <c r="AS29" s="100"/>
      <c r="AT29" s="111"/>
    </row>
    <row r="30" spans="1:48" ht="16.3">
      <c r="A30" s="91" t="s">
        <v>363</v>
      </c>
      <c r="B30" s="239">
        <f t="shared" ref="B30:C30" si="3">SUM(B28+B29)</f>
        <v>0</v>
      </c>
      <c r="C30" s="214">
        <f t="shared" si="3"/>
        <v>0</v>
      </c>
      <c r="D30" s="133"/>
      <c r="E30" s="134"/>
      <c r="F30" s="135"/>
      <c r="G30" s="136"/>
      <c r="H30" s="96"/>
      <c r="I30" s="96"/>
      <c r="J30" s="104"/>
      <c r="K30" s="75"/>
      <c r="L30" s="75"/>
      <c r="M30" s="75"/>
      <c r="N30" s="75"/>
      <c r="O30" s="96"/>
      <c r="P30" s="105"/>
      <c r="Q30" s="105"/>
      <c r="R30" s="96"/>
      <c r="S30" s="128"/>
      <c r="T30" s="137"/>
      <c r="U30" s="110"/>
      <c r="V30" s="100"/>
      <c r="W30" s="100"/>
      <c r="X30" s="100"/>
      <c r="Y30" s="110"/>
      <c r="Z30" s="110"/>
      <c r="AA30" s="100"/>
      <c r="AB30" s="109"/>
      <c r="AC30" s="109"/>
      <c r="AD30" s="109"/>
      <c r="AE30" s="108"/>
      <c r="AF30" s="109"/>
      <c r="AG30" s="108"/>
      <c r="AH30" s="111"/>
      <c r="AI30" s="100"/>
      <c r="AJ30" s="100"/>
      <c r="AK30" s="100"/>
      <c r="AL30" s="100"/>
      <c r="AM30" s="100"/>
      <c r="AN30" s="111"/>
      <c r="AO30" s="100"/>
      <c r="AP30" s="100"/>
      <c r="AQ30" s="111"/>
      <c r="AR30" s="100"/>
      <c r="AS30" s="100"/>
      <c r="AT30" s="111"/>
    </row>
    <row r="31" spans="1:48" ht="16.3">
      <c r="A31" s="91" t="s">
        <v>3</v>
      </c>
      <c r="B31" s="239">
        <f t="shared" ref="B31:B32" si="4">SUM(J31+K31+L31+M31+N31+S31+V31+W31+X31+AA31+AI31+AJ31+AI31+AM31+AP31+AQ31+AS31+AT31+AU31+AV31)</f>
        <v>0</v>
      </c>
      <c r="C31" s="214">
        <f t="shared" ref="C31:C32" si="5">SUM(J31+K31+L31+M31+N31+S31+W31+X31+V31+AA31+AJ31+AI31+AJ31+AN31+AQ31+AM31+AT31+AU31+AV31+AW31+AP31+AS31)</f>
        <v>0</v>
      </c>
      <c r="D31" s="133"/>
      <c r="E31" s="134"/>
      <c r="F31" s="135"/>
      <c r="G31" s="136"/>
      <c r="H31" s="96"/>
      <c r="I31" s="96"/>
      <c r="J31" s="104"/>
      <c r="K31" s="75"/>
      <c r="L31" s="75"/>
      <c r="M31" s="75"/>
      <c r="N31" s="75"/>
      <c r="O31" s="96"/>
      <c r="P31" s="105"/>
      <c r="Q31" s="105"/>
      <c r="R31" s="96"/>
      <c r="S31" s="128"/>
      <c r="T31" s="137"/>
      <c r="U31" s="110"/>
      <c r="V31" s="100"/>
      <c r="W31" s="100"/>
      <c r="X31" s="100"/>
      <c r="Y31" s="110"/>
      <c r="Z31" s="110"/>
      <c r="AA31" s="100"/>
      <c r="AB31" s="109"/>
      <c r="AC31" s="109"/>
      <c r="AD31" s="109"/>
      <c r="AE31" s="108"/>
      <c r="AF31" s="109"/>
      <c r="AG31" s="108"/>
      <c r="AH31" s="111"/>
      <c r="AI31" s="100"/>
      <c r="AJ31" s="100"/>
      <c r="AK31" s="100"/>
      <c r="AL31" s="100"/>
      <c r="AM31" s="100"/>
      <c r="AN31" s="111"/>
      <c r="AO31" s="100"/>
      <c r="AP31" s="100"/>
      <c r="AQ31" s="111"/>
      <c r="AR31" s="100"/>
      <c r="AS31" s="100"/>
      <c r="AT31" s="111"/>
    </row>
    <row r="32" spans="1:48" ht="17" thickBot="1">
      <c r="A32" s="92" t="s">
        <v>4</v>
      </c>
      <c r="B32" s="241">
        <f t="shared" si="4"/>
        <v>0</v>
      </c>
      <c r="C32" s="217">
        <f t="shared" si="5"/>
        <v>0</v>
      </c>
      <c r="D32" s="144"/>
      <c r="E32" s="145"/>
      <c r="F32" s="146"/>
      <c r="G32" s="147"/>
      <c r="H32" s="114"/>
      <c r="I32" s="114"/>
      <c r="J32" s="113"/>
      <c r="K32" s="112"/>
      <c r="L32" s="112"/>
      <c r="M32" s="112"/>
      <c r="N32" s="112"/>
      <c r="O32" s="114"/>
      <c r="P32" s="127"/>
      <c r="Q32" s="127"/>
      <c r="R32" s="114"/>
      <c r="S32" s="129"/>
      <c r="T32" s="148"/>
      <c r="U32" s="120"/>
      <c r="V32" s="116"/>
      <c r="W32" s="116"/>
      <c r="X32" s="116"/>
      <c r="Y32" s="120"/>
      <c r="Z32" s="120"/>
      <c r="AA32" s="116"/>
      <c r="AB32" s="118"/>
      <c r="AC32" s="118"/>
      <c r="AD32" s="118"/>
      <c r="AE32" s="117"/>
      <c r="AF32" s="118"/>
      <c r="AG32" s="117"/>
      <c r="AH32" s="121"/>
      <c r="AI32" s="116"/>
      <c r="AJ32" s="116"/>
      <c r="AK32" s="116"/>
      <c r="AL32" s="116"/>
      <c r="AM32" s="116"/>
      <c r="AN32" s="121"/>
      <c r="AO32" s="116"/>
      <c r="AP32" s="116"/>
      <c r="AQ32" s="121"/>
      <c r="AR32" s="116"/>
      <c r="AS32" s="116"/>
      <c r="AT32" s="121"/>
      <c r="AU32" s="493"/>
      <c r="AV32" s="493"/>
    </row>
    <row r="33" spans="1:48" ht="21.1">
      <c r="A33" s="82" t="s">
        <v>1000</v>
      </c>
      <c r="B33" s="239"/>
      <c r="C33" s="214"/>
      <c r="D33" s="133"/>
      <c r="E33" s="134"/>
      <c r="F33" s="135"/>
      <c r="G33" s="136"/>
      <c r="H33" s="96"/>
      <c r="I33" s="96"/>
      <c r="J33" s="104"/>
      <c r="K33" s="75"/>
      <c r="L33" s="75"/>
      <c r="M33" s="75"/>
      <c r="N33" s="75"/>
      <c r="O33" s="96"/>
      <c r="P33" s="105"/>
      <c r="Q33" s="105"/>
      <c r="R33" s="96"/>
      <c r="S33" s="128"/>
      <c r="T33" s="137"/>
      <c r="U33" s="110"/>
      <c r="V33" s="100"/>
      <c r="W33" s="100"/>
      <c r="X33" s="100"/>
      <c r="Y33" s="110"/>
      <c r="Z33" s="110"/>
      <c r="AA33" s="100"/>
      <c r="AB33" s="109" t="s">
        <v>383</v>
      </c>
      <c r="AC33" s="109" t="s">
        <v>375</v>
      </c>
      <c r="AD33" s="109" t="s">
        <v>393</v>
      </c>
      <c r="AE33" s="108"/>
      <c r="AF33" s="109"/>
      <c r="AG33" s="108"/>
      <c r="AH33" s="111"/>
      <c r="AI33" s="100"/>
      <c r="AJ33" s="100"/>
      <c r="AK33" s="100"/>
      <c r="AL33" s="100"/>
      <c r="AM33" s="100"/>
      <c r="AN33" s="111"/>
      <c r="AO33" s="100"/>
      <c r="AP33" s="100"/>
      <c r="AQ33" s="111"/>
      <c r="AR33" s="100"/>
      <c r="AS33" s="100"/>
      <c r="AT33" s="111"/>
    </row>
    <row r="34" spans="1:48" ht="16.3">
      <c r="A34" s="246" t="s">
        <v>1</v>
      </c>
      <c r="B34" s="240">
        <f t="shared" ref="B34" si="6">SUM(J34+K34+L34+M34+N34+S34+V34+W34+X34+AA34+AI34+AJ34+AI34+AM34+AP34+AQ34+AS34+AT34+AU34+AV34+AN34)</f>
        <v>0</v>
      </c>
      <c r="C34" s="215">
        <f t="shared" ref="C34:C35" si="7">SUM(J34+K34+L34+M34+N34+S34+W34+X34+V34+AA34+AJ34+AI34+AJ34+AN34+AQ34+AM34+AT34+AU34+AV34+AW34+AP34+AS34)</f>
        <v>0</v>
      </c>
      <c r="D34" s="133"/>
      <c r="E34" s="134"/>
      <c r="F34" s="135"/>
      <c r="G34" s="136"/>
      <c r="H34" s="96"/>
      <c r="I34" s="96"/>
      <c r="J34" s="104"/>
      <c r="K34" s="75"/>
      <c r="L34" s="75"/>
      <c r="M34" s="75"/>
      <c r="N34" s="75"/>
      <c r="O34" s="96"/>
      <c r="P34" s="105"/>
      <c r="Q34" s="105"/>
      <c r="R34" s="96"/>
      <c r="S34" s="128"/>
      <c r="T34" s="137"/>
      <c r="U34" s="110"/>
      <c r="V34" s="100"/>
      <c r="W34" s="100"/>
      <c r="X34" s="100"/>
      <c r="Y34" s="110"/>
      <c r="Z34" s="110"/>
      <c r="AA34" s="100"/>
      <c r="AB34" s="109">
        <v>1</v>
      </c>
      <c r="AC34" s="109"/>
      <c r="AD34" s="109"/>
      <c r="AE34" s="108"/>
      <c r="AF34" s="109"/>
      <c r="AG34" s="108"/>
      <c r="AH34" s="111"/>
      <c r="AI34" s="100"/>
      <c r="AJ34" s="100"/>
      <c r="AK34" s="100"/>
      <c r="AL34" s="100"/>
      <c r="AM34" s="100"/>
      <c r="AN34" s="111"/>
      <c r="AO34" s="100"/>
      <c r="AP34" s="100"/>
      <c r="AQ34" s="111"/>
      <c r="AR34" s="100"/>
      <c r="AS34" s="100"/>
      <c r="AT34" s="111"/>
    </row>
    <row r="35" spans="1:48" ht="16.3">
      <c r="A35" s="246" t="s">
        <v>2</v>
      </c>
      <c r="B35" s="240">
        <f t="shared" ref="B35" si="8">SUM(J35+K35+L35+M35+N35+S35+V35+W35+X35+AA35+AI35+AJ35+AI35+AM35+AP35+AQ35+AS35+AT35+AU35+AV35)</f>
        <v>0</v>
      </c>
      <c r="C35" s="215">
        <f t="shared" si="7"/>
        <v>0</v>
      </c>
      <c r="D35" s="133"/>
      <c r="E35" s="134"/>
      <c r="F35" s="135"/>
      <c r="G35" s="136"/>
      <c r="H35" s="96"/>
      <c r="I35" s="96"/>
      <c r="J35" s="104"/>
      <c r="K35" s="75"/>
      <c r="L35" s="75"/>
      <c r="M35" s="75"/>
      <c r="N35" s="75"/>
      <c r="O35" s="96"/>
      <c r="P35" s="105"/>
      <c r="Q35" s="105"/>
      <c r="R35" s="96"/>
      <c r="S35" s="128"/>
      <c r="T35" s="137"/>
      <c r="U35" s="110"/>
      <c r="V35" s="100"/>
      <c r="W35" s="100"/>
      <c r="X35" s="100"/>
      <c r="Y35" s="110"/>
      <c r="Z35" s="110"/>
      <c r="AA35" s="100"/>
      <c r="AB35" s="109"/>
      <c r="AC35" s="109">
        <v>1</v>
      </c>
      <c r="AD35" s="109"/>
      <c r="AE35" s="108"/>
      <c r="AF35" s="109"/>
      <c r="AG35" s="108"/>
      <c r="AH35" s="111"/>
      <c r="AI35" s="100"/>
      <c r="AJ35" s="100"/>
      <c r="AK35" s="100"/>
      <c r="AL35" s="100"/>
      <c r="AM35" s="100"/>
      <c r="AN35" s="111"/>
      <c r="AO35" s="100"/>
      <c r="AP35" s="100"/>
      <c r="AQ35" s="111"/>
      <c r="AR35" s="100"/>
      <c r="AS35" s="100"/>
      <c r="AT35" s="111"/>
    </row>
    <row r="36" spans="1:48" ht="16.3">
      <c r="A36" s="91" t="s">
        <v>363</v>
      </c>
      <c r="B36" s="239">
        <f t="shared" ref="B36:C36" si="9">SUM(B34+B35)</f>
        <v>0</v>
      </c>
      <c r="C36" s="214">
        <f t="shared" si="9"/>
        <v>0</v>
      </c>
      <c r="D36" s="133"/>
      <c r="E36" s="134"/>
      <c r="F36" s="135"/>
      <c r="G36" s="136"/>
      <c r="H36" s="96"/>
      <c r="I36" s="96"/>
      <c r="J36" s="104"/>
      <c r="K36" s="75"/>
      <c r="L36" s="75"/>
      <c r="M36" s="75"/>
      <c r="N36" s="75"/>
      <c r="O36" s="96"/>
      <c r="P36" s="105"/>
      <c r="Q36" s="105"/>
      <c r="R36" s="96"/>
      <c r="S36" s="128"/>
      <c r="T36" s="137"/>
      <c r="U36" s="110"/>
      <c r="V36" s="100"/>
      <c r="W36" s="100"/>
      <c r="X36" s="100"/>
      <c r="Y36" s="110"/>
      <c r="Z36" s="110"/>
      <c r="AA36" s="100"/>
      <c r="AB36" s="109"/>
      <c r="AC36" s="109"/>
      <c r="AD36" s="109"/>
      <c r="AE36" s="108"/>
      <c r="AF36" s="109"/>
      <c r="AG36" s="108"/>
      <c r="AH36" s="111"/>
      <c r="AI36" s="100"/>
      <c r="AJ36" s="100"/>
      <c r="AK36" s="100"/>
      <c r="AL36" s="100"/>
      <c r="AM36" s="100"/>
      <c r="AN36" s="111"/>
      <c r="AO36" s="100"/>
      <c r="AP36" s="100"/>
      <c r="AQ36" s="111"/>
      <c r="AR36" s="100"/>
      <c r="AS36" s="100"/>
      <c r="AT36" s="111"/>
    </row>
    <row r="37" spans="1:48" ht="16.3">
      <c r="A37" s="91" t="s">
        <v>3</v>
      </c>
      <c r="B37" s="239">
        <f t="shared" ref="B37:B38" si="10">SUM(J37+K37+L37+M37+N37+S37+V37+W37+X37+AA37+AI37+AJ37+AI37+AM37+AP37+AQ37+AS37+AT37+AU37+AV37)</f>
        <v>0</v>
      </c>
      <c r="C37" s="214">
        <f t="shared" ref="C37:C38" si="11">SUM(J37+K37+L37+M37+N37+S37+W37+X37+V37+AA37+AJ37+AI37+AJ37+AN37+AQ37+AM37+AT37+AU37+AV37+AW37+AP37+AS37)</f>
        <v>0</v>
      </c>
      <c r="D37" s="133"/>
      <c r="E37" s="134"/>
      <c r="F37" s="135"/>
      <c r="G37" s="136"/>
      <c r="H37" s="96"/>
      <c r="I37" s="96"/>
      <c r="J37" s="104"/>
      <c r="K37" s="75"/>
      <c r="L37" s="75"/>
      <c r="M37" s="75"/>
      <c r="N37" s="75"/>
      <c r="O37" s="96"/>
      <c r="P37" s="105"/>
      <c r="Q37" s="105"/>
      <c r="R37" s="96"/>
      <c r="S37" s="128"/>
      <c r="T37" s="137"/>
      <c r="U37" s="110"/>
      <c r="V37" s="100"/>
      <c r="W37" s="100"/>
      <c r="X37" s="100"/>
      <c r="Y37" s="110"/>
      <c r="Z37" s="110"/>
      <c r="AA37" s="100"/>
      <c r="AB37" s="109"/>
      <c r="AC37" s="109"/>
      <c r="AD37" s="109"/>
      <c r="AE37" s="108"/>
      <c r="AF37" s="109"/>
      <c r="AG37" s="108"/>
      <c r="AH37" s="111"/>
      <c r="AI37" s="100"/>
      <c r="AJ37" s="100"/>
      <c r="AK37" s="100"/>
      <c r="AL37" s="100"/>
      <c r="AM37" s="100"/>
      <c r="AN37" s="111"/>
      <c r="AO37" s="100"/>
      <c r="AP37" s="100"/>
      <c r="AQ37" s="111"/>
      <c r="AR37" s="100"/>
      <c r="AS37" s="100"/>
      <c r="AT37" s="111"/>
    </row>
    <row r="38" spans="1:48" ht="17" thickBot="1">
      <c r="A38" s="92" t="s">
        <v>4</v>
      </c>
      <c r="B38" s="241">
        <f t="shared" si="10"/>
        <v>0</v>
      </c>
      <c r="C38" s="217">
        <f t="shared" si="11"/>
        <v>0</v>
      </c>
      <c r="D38" s="144"/>
      <c r="E38" s="145"/>
      <c r="F38" s="146"/>
      <c r="G38" s="147"/>
      <c r="H38" s="114"/>
      <c r="I38" s="114"/>
      <c r="J38" s="113"/>
      <c r="K38" s="112"/>
      <c r="L38" s="112"/>
      <c r="M38" s="112"/>
      <c r="N38" s="112"/>
      <c r="O38" s="114"/>
      <c r="P38" s="127"/>
      <c r="Q38" s="127"/>
      <c r="R38" s="114"/>
      <c r="S38" s="129"/>
      <c r="T38" s="148"/>
      <c r="U38" s="120"/>
      <c r="V38" s="116"/>
      <c r="W38" s="116"/>
      <c r="X38" s="116"/>
      <c r="Y38" s="120"/>
      <c r="Z38" s="120"/>
      <c r="AA38" s="116"/>
      <c r="AB38" s="118"/>
      <c r="AC38" s="118"/>
      <c r="AD38" s="118"/>
      <c r="AE38" s="117"/>
      <c r="AF38" s="118"/>
      <c r="AG38" s="117"/>
      <c r="AH38" s="121"/>
      <c r="AI38" s="116"/>
      <c r="AJ38" s="116"/>
      <c r="AK38" s="116"/>
      <c r="AL38" s="116"/>
      <c r="AM38" s="116"/>
      <c r="AN38" s="121"/>
      <c r="AO38" s="116"/>
      <c r="AP38" s="116"/>
      <c r="AQ38" s="121"/>
      <c r="AR38" s="116"/>
      <c r="AS38" s="116"/>
      <c r="AT38" s="121"/>
    </row>
    <row r="39" spans="1:48" ht="21.1">
      <c r="A39" s="82" t="s">
        <v>1002</v>
      </c>
      <c r="B39" s="239"/>
      <c r="C39" s="214"/>
      <c r="D39" s="133"/>
      <c r="E39" s="134"/>
      <c r="F39" s="135"/>
      <c r="G39" s="136"/>
      <c r="H39" s="96"/>
      <c r="I39" s="96"/>
      <c r="J39" s="104"/>
      <c r="K39" s="75"/>
      <c r="L39" s="75"/>
      <c r="M39" s="75"/>
      <c r="N39" s="75"/>
      <c r="O39" s="96"/>
      <c r="P39" s="105"/>
      <c r="Q39" s="105"/>
      <c r="R39" s="96"/>
      <c r="S39" s="128"/>
      <c r="T39" s="137"/>
      <c r="U39" s="110"/>
      <c r="V39" s="100"/>
      <c r="W39" s="100"/>
      <c r="X39" s="100"/>
      <c r="Y39" s="110"/>
      <c r="Z39" s="110"/>
      <c r="AA39" s="100"/>
      <c r="AB39" s="109" t="s">
        <v>375</v>
      </c>
      <c r="AC39" s="109"/>
      <c r="AD39" s="109" t="s">
        <v>393</v>
      </c>
      <c r="AE39" s="108"/>
      <c r="AF39" s="109"/>
      <c r="AG39" s="108"/>
      <c r="AH39" s="111"/>
      <c r="AI39" s="100"/>
      <c r="AJ39" s="100"/>
      <c r="AK39" s="100"/>
      <c r="AL39" s="100"/>
      <c r="AM39" s="100"/>
      <c r="AN39" s="111"/>
      <c r="AO39" s="100"/>
      <c r="AP39" s="100"/>
      <c r="AQ39" s="111"/>
      <c r="AR39" s="100"/>
      <c r="AS39" s="100"/>
      <c r="AT39" s="111"/>
    </row>
    <row r="40" spans="1:48" ht="16.3">
      <c r="A40" s="246" t="s">
        <v>1</v>
      </c>
      <c r="B40" s="240">
        <f t="shared" ref="B40" si="12">SUM(J40+K40+L40+M40+N40+S40+V40+W40+X40+AA40+AI40+AJ40+AI40+AM40+AP40+AQ40+AS40+AT40+AU40+AV40+AN40)</f>
        <v>0</v>
      </c>
      <c r="C40" s="215">
        <f t="shared" ref="C40:C41" si="13">SUM(J40+K40+L40+M40+N40+S40+W40+X40+V40+AA40+AJ40+AI40+AJ40+AN40+AQ40+AM40+AT40+AU40+AV40+AW40+AP40+AS40)</f>
        <v>0</v>
      </c>
      <c r="D40" s="133"/>
      <c r="E40" s="134"/>
      <c r="F40" s="135"/>
      <c r="G40" s="136"/>
      <c r="H40" s="96"/>
      <c r="I40" s="96"/>
      <c r="J40" s="104"/>
      <c r="K40" s="75"/>
      <c r="L40" s="75"/>
      <c r="M40" s="75"/>
      <c r="N40" s="75"/>
      <c r="O40" s="96"/>
      <c r="P40" s="105"/>
      <c r="Q40" s="105"/>
      <c r="R40" s="96"/>
      <c r="S40" s="128"/>
      <c r="T40" s="137"/>
      <c r="U40" s="110"/>
      <c r="V40" s="100"/>
      <c r="W40" s="100"/>
      <c r="X40" s="100"/>
      <c r="Y40" s="110"/>
      <c r="Z40" s="110"/>
      <c r="AA40" s="100"/>
      <c r="AB40" s="109"/>
      <c r="AC40" s="109"/>
      <c r="AD40" s="109"/>
      <c r="AE40" s="108"/>
      <c r="AF40" s="109"/>
      <c r="AG40" s="108"/>
      <c r="AH40" s="111"/>
      <c r="AI40" s="100"/>
      <c r="AJ40" s="100"/>
      <c r="AK40" s="100"/>
      <c r="AL40" s="100"/>
      <c r="AM40" s="100"/>
      <c r="AN40" s="111"/>
      <c r="AO40" s="100"/>
      <c r="AP40" s="100"/>
      <c r="AQ40" s="111"/>
      <c r="AR40" s="100"/>
      <c r="AS40" s="100"/>
      <c r="AT40" s="111"/>
    </row>
    <row r="41" spans="1:48" ht="16.3">
      <c r="A41" s="246" t="s">
        <v>2</v>
      </c>
      <c r="B41" s="240">
        <f t="shared" ref="B41" si="14">SUM(J41+K41+L41+M41+N41+S41+V41+W41+X41+AA41+AI41+AJ41+AI41+AM41+AP41+AQ41+AS41+AT41+AU41+AV41)</f>
        <v>0</v>
      </c>
      <c r="C41" s="215">
        <f t="shared" si="13"/>
        <v>0</v>
      </c>
      <c r="D41" s="133"/>
      <c r="E41" s="134"/>
      <c r="F41" s="135"/>
      <c r="G41" s="136"/>
      <c r="H41" s="96"/>
      <c r="I41" s="96"/>
      <c r="J41" s="104"/>
      <c r="K41" s="75"/>
      <c r="L41" s="75"/>
      <c r="M41" s="75"/>
      <c r="N41" s="75"/>
      <c r="O41" s="96"/>
      <c r="P41" s="105"/>
      <c r="Q41" s="105"/>
      <c r="R41" s="96"/>
      <c r="S41" s="128"/>
      <c r="T41" s="137"/>
      <c r="U41" s="110"/>
      <c r="V41" s="100"/>
      <c r="W41" s="100"/>
      <c r="X41" s="100"/>
      <c r="Y41" s="110"/>
      <c r="Z41" s="110"/>
      <c r="AA41" s="100"/>
      <c r="AB41" s="109">
        <v>1</v>
      </c>
      <c r="AC41" s="109"/>
      <c r="AD41" s="109"/>
      <c r="AE41" s="108"/>
      <c r="AF41" s="109"/>
      <c r="AG41" s="108"/>
      <c r="AH41" s="111"/>
      <c r="AI41" s="100"/>
      <c r="AJ41" s="100"/>
      <c r="AK41" s="100"/>
      <c r="AL41" s="100"/>
      <c r="AM41" s="100"/>
      <c r="AN41" s="111"/>
      <c r="AO41" s="100"/>
      <c r="AP41" s="100"/>
      <c r="AQ41" s="111"/>
      <c r="AR41" s="100"/>
      <c r="AS41" s="100"/>
      <c r="AT41" s="111"/>
    </row>
    <row r="42" spans="1:48" ht="16.3">
      <c r="A42" s="91" t="s">
        <v>363</v>
      </c>
      <c r="B42" s="239">
        <f t="shared" ref="B42:C42" si="15">SUM(B40+B41)</f>
        <v>0</v>
      </c>
      <c r="C42" s="214">
        <f t="shared" si="15"/>
        <v>0</v>
      </c>
      <c r="D42" s="133"/>
      <c r="E42" s="134"/>
      <c r="F42" s="135"/>
      <c r="G42" s="136"/>
      <c r="H42" s="96"/>
      <c r="I42" s="96"/>
      <c r="J42" s="104"/>
      <c r="K42" s="75"/>
      <c r="L42" s="75"/>
      <c r="M42" s="75"/>
      <c r="N42" s="75"/>
      <c r="O42" s="96"/>
      <c r="P42" s="105"/>
      <c r="Q42" s="105"/>
      <c r="R42" s="96"/>
      <c r="S42" s="128"/>
      <c r="T42" s="137"/>
      <c r="U42" s="110"/>
      <c r="V42" s="100"/>
      <c r="W42" s="100"/>
      <c r="X42" s="100"/>
      <c r="Y42" s="110"/>
      <c r="Z42" s="110"/>
      <c r="AA42" s="100"/>
      <c r="AB42" s="109"/>
      <c r="AC42" s="109"/>
      <c r="AD42" s="109"/>
      <c r="AE42" s="108"/>
      <c r="AF42" s="109"/>
      <c r="AG42" s="108"/>
      <c r="AH42" s="111"/>
      <c r="AI42" s="100"/>
      <c r="AJ42" s="100"/>
      <c r="AK42" s="100"/>
      <c r="AL42" s="100"/>
      <c r="AM42" s="100"/>
      <c r="AN42" s="111"/>
      <c r="AO42" s="100"/>
      <c r="AP42" s="100"/>
      <c r="AQ42" s="111"/>
      <c r="AR42" s="100"/>
      <c r="AS42" s="100"/>
      <c r="AT42" s="111"/>
    </row>
    <row r="43" spans="1:48" ht="16.3">
      <c r="A43" s="91" t="s">
        <v>3</v>
      </c>
      <c r="B43" s="239">
        <f t="shared" ref="B43:B44" si="16">SUM(J43+K43+L43+M43+N43+S43+V43+W43+X43+AA43+AI43+AJ43+AI43+AM43+AP43+AQ43+AS43+AT43+AU43+AV43)</f>
        <v>0</v>
      </c>
      <c r="C43" s="214">
        <f t="shared" ref="C43:C44" si="17">SUM(J43+K43+L43+M43+N43+S43+W43+X43+V43+AA43+AJ43+AI43+AJ43+AN43+AQ43+AM43+AT43+AU43+AV43+AW43+AP43+AS43)</f>
        <v>0</v>
      </c>
      <c r="D43" s="133"/>
      <c r="E43" s="134"/>
      <c r="F43" s="135"/>
      <c r="G43" s="136"/>
      <c r="H43" s="96"/>
      <c r="I43" s="96"/>
      <c r="J43" s="104"/>
      <c r="K43" s="75"/>
      <c r="L43" s="75"/>
      <c r="M43" s="75"/>
      <c r="N43" s="75"/>
      <c r="O43" s="96"/>
      <c r="P43" s="105"/>
      <c r="Q43" s="105"/>
      <c r="R43" s="96"/>
      <c r="S43" s="128"/>
      <c r="T43" s="137"/>
      <c r="U43" s="110"/>
      <c r="V43" s="100"/>
      <c r="W43" s="100"/>
      <c r="X43" s="100"/>
      <c r="Y43" s="110"/>
      <c r="Z43" s="110"/>
      <c r="AA43" s="100"/>
      <c r="AB43" s="109"/>
      <c r="AC43" s="109"/>
      <c r="AD43" s="109"/>
      <c r="AE43" s="108"/>
      <c r="AF43" s="109"/>
      <c r="AG43" s="108"/>
      <c r="AH43" s="111"/>
      <c r="AI43" s="100"/>
      <c r="AJ43" s="100"/>
      <c r="AK43" s="100"/>
      <c r="AL43" s="100"/>
      <c r="AM43" s="100"/>
      <c r="AN43" s="111"/>
      <c r="AO43" s="100"/>
      <c r="AP43" s="100"/>
      <c r="AQ43" s="111"/>
      <c r="AR43" s="100"/>
      <c r="AS43" s="100"/>
      <c r="AT43" s="111"/>
    </row>
    <row r="44" spans="1:48" ht="17" thickBot="1">
      <c r="A44" s="92" t="s">
        <v>4</v>
      </c>
      <c r="B44" s="241">
        <f t="shared" si="16"/>
        <v>0</v>
      </c>
      <c r="C44" s="217">
        <f t="shared" si="17"/>
        <v>0</v>
      </c>
      <c r="D44" s="144"/>
      <c r="E44" s="145"/>
      <c r="F44" s="146"/>
      <c r="G44" s="147"/>
      <c r="H44" s="114"/>
      <c r="I44" s="114"/>
      <c r="J44" s="113"/>
      <c r="K44" s="112"/>
      <c r="L44" s="112"/>
      <c r="M44" s="112"/>
      <c r="N44" s="112"/>
      <c r="O44" s="114"/>
      <c r="P44" s="127"/>
      <c r="Q44" s="127"/>
      <c r="R44" s="114"/>
      <c r="S44" s="129"/>
      <c r="T44" s="148"/>
      <c r="U44" s="120"/>
      <c r="V44" s="116"/>
      <c r="W44" s="116"/>
      <c r="X44" s="116"/>
      <c r="Y44" s="120"/>
      <c r="Z44" s="120"/>
      <c r="AA44" s="116"/>
      <c r="AB44" s="118"/>
      <c r="AC44" s="118"/>
      <c r="AD44" s="118"/>
      <c r="AE44" s="117"/>
      <c r="AF44" s="118"/>
      <c r="AG44" s="117"/>
      <c r="AH44" s="121"/>
      <c r="AI44" s="116"/>
      <c r="AJ44" s="116"/>
      <c r="AK44" s="116"/>
      <c r="AL44" s="116"/>
      <c r="AM44" s="116"/>
      <c r="AN44" s="121"/>
      <c r="AO44" s="116"/>
      <c r="AP44" s="116"/>
      <c r="AQ44" s="121"/>
      <c r="AR44" s="116"/>
      <c r="AS44" s="116"/>
      <c r="AT44" s="121"/>
    </row>
    <row r="45" spans="1:48" ht="21.1">
      <c r="A45" s="82" t="s">
        <v>614</v>
      </c>
      <c r="B45" s="239"/>
      <c r="C45" s="214"/>
      <c r="D45" s="133"/>
      <c r="E45" s="134"/>
      <c r="F45" s="135"/>
      <c r="G45" s="136"/>
      <c r="H45" s="96" t="s">
        <v>379</v>
      </c>
      <c r="I45" s="96"/>
      <c r="J45" s="104" t="s">
        <v>375</v>
      </c>
      <c r="K45" s="75">
        <v>15</v>
      </c>
      <c r="L45" s="75" t="s">
        <v>383</v>
      </c>
      <c r="M45" s="75" t="s">
        <v>717</v>
      </c>
      <c r="N45" s="75" t="s">
        <v>375</v>
      </c>
      <c r="O45" s="96" t="s">
        <v>383</v>
      </c>
      <c r="P45" s="105"/>
      <c r="Q45" s="105"/>
      <c r="R45" s="96"/>
      <c r="S45" s="128"/>
      <c r="T45" s="137" t="s">
        <v>393</v>
      </c>
      <c r="U45" s="110" t="s">
        <v>375</v>
      </c>
      <c r="V45" s="100"/>
      <c r="W45" s="100"/>
      <c r="X45" s="100"/>
      <c r="Y45" s="110"/>
      <c r="Z45" s="110"/>
      <c r="AA45" s="100" t="s">
        <v>339</v>
      </c>
      <c r="AB45" s="109" t="s">
        <v>339</v>
      </c>
      <c r="AC45" s="109" t="s">
        <v>339</v>
      </c>
      <c r="AD45" s="109" t="s">
        <v>339</v>
      </c>
      <c r="AE45" s="108"/>
      <c r="AF45" s="109"/>
      <c r="AG45" s="108"/>
      <c r="AH45" s="111"/>
      <c r="AI45" s="100"/>
      <c r="AJ45" s="100"/>
      <c r="AK45" s="100"/>
      <c r="AL45" s="100"/>
      <c r="AM45" s="100"/>
      <c r="AN45" s="111"/>
      <c r="AO45" s="100"/>
      <c r="AP45" s="100"/>
      <c r="AQ45" s="111"/>
      <c r="AR45" s="100"/>
      <c r="AS45" s="100"/>
      <c r="AT45" s="111"/>
      <c r="AU45" s="15"/>
      <c r="AV45" s="15"/>
    </row>
    <row r="46" spans="1:48" ht="16.3">
      <c r="A46" s="246" t="s">
        <v>1</v>
      </c>
      <c r="B46" s="240">
        <f t="shared" ref="B46" si="18">SUM(J46+K46+L46+M46+N46+S46+V46+W46+X46+AA46+AI46+AJ46+AI46+AM46+AP46+AQ46+AS46+AT46+AU46+AV46+AN46)</f>
        <v>2</v>
      </c>
      <c r="C46" s="215">
        <f t="shared" ref="C46:C47" si="19">SUM(J46+K46+L46+M46+N46+S46+W46+X46+V46+AA46+AJ46+AI46+AJ46+AN46+AQ46+AM46+AT46+AU46+AV46+AW46+AP46+AS46)</f>
        <v>2</v>
      </c>
      <c r="D46" s="133"/>
      <c r="E46" s="134"/>
      <c r="F46" s="135"/>
      <c r="G46" s="136"/>
      <c r="H46" s="96">
        <v>1</v>
      </c>
      <c r="I46" s="96"/>
      <c r="J46" s="104"/>
      <c r="K46" s="75">
        <v>1</v>
      </c>
      <c r="L46" s="75">
        <v>1</v>
      </c>
      <c r="M46" s="75"/>
      <c r="N46" s="75"/>
      <c r="O46" s="96">
        <v>1</v>
      </c>
      <c r="P46" s="105"/>
      <c r="Q46" s="105"/>
      <c r="R46" s="96"/>
      <c r="S46" s="128"/>
      <c r="T46" s="137"/>
      <c r="U46" s="110"/>
      <c r="V46" s="100"/>
      <c r="W46" s="100"/>
      <c r="X46" s="100"/>
      <c r="Y46" s="110"/>
      <c r="Z46" s="110"/>
      <c r="AA46" s="100"/>
      <c r="AB46" s="109"/>
      <c r="AC46" s="109"/>
      <c r="AD46" s="109"/>
      <c r="AE46" s="108"/>
      <c r="AF46" s="109"/>
      <c r="AG46" s="108"/>
      <c r="AH46" s="111"/>
      <c r="AI46" s="100"/>
      <c r="AJ46" s="100"/>
      <c r="AK46" s="100"/>
      <c r="AL46" s="100"/>
      <c r="AM46" s="100"/>
      <c r="AN46" s="111"/>
      <c r="AO46" s="100"/>
      <c r="AP46" s="100"/>
      <c r="AQ46" s="111"/>
      <c r="AR46" s="100"/>
      <c r="AS46" s="100"/>
      <c r="AT46" s="111"/>
      <c r="AU46" s="15"/>
      <c r="AV46" s="15"/>
    </row>
    <row r="47" spans="1:48" ht="16.3">
      <c r="A47" s="246" t="s">
        <v>2</v>
      </c>
      <c r="B47" s="240">
        <f t="shared" ref="B47" si="20">SUM(J47+K47+L47+M47+N47+S47+V47+W47+X47+AA47+AI47+AJ47+AI47+AM47+AP47+AQ47+AS47+AT47+AU47+AV47)</f>
        <v>2</v>
      </c>
      <c r="C47" s="215">
        <f t="shared" si="19"/>
        <v>2</v>
      </c>
      <c r="D47" s="133"/>
      <c r="E47" s="134"/>
      <c r="F47" s="135"/>
      <c r="G47" s="136"/>
      <c r="H47" s="96"/>
      <c r="I47" s="96"/>
      <c r="J47" s="104">
        <v>1</v>
      </c>
      <c r="K47" s="75"/>
      <c r="L47" s="75"/>
      <c r="M47" s="75"/>
      <c r="N47" s="75">
        <v>1</v>
      </c>
      <c r="O47" s="96"/>
      <c r="P47" s="105"/>
      <c r="Q47" s="105"/>
      <c r="R47" s="96"/>
      <c r="S47" s="128"/>
      <c r="T47" s="137"/>
      <c r="U47" s="110">
        <v>1</v>
      </c>
      <c r="V47" s="100"/>
      <c r="W47" s="100"/>
      <c r="X47" s="100"/>
      <c r="Y47" s="110"/>
      <c r="Z47" s="110"/>
      <c r="AA47" s="100"/>
      <c r="AB47" s="109"/>
      <c r="AC47" s="109"/>
      <c r="AD47" s="109"/>
      <c r="AE47" s="108"/>
      <c r="AF47" s="109"/>
      <c r="AG47" s="108"/>
      <c r="AH47" s="111"/>
      <c r="AI47" s="100"/>
      <c r="AJ47" s="100"/>
      <c r="AK47" s="100"/>
      <c r="AL47" s="100"/>
      <c r="AM47" s="100"/>
      <c r="AN47" s="111"/>
      <c r="AO47" s="100"/>
      <c r="AP47" s="100"/>
      <c r="AQ47" s="111"/>
      <c r="AR47" s="100"/>
      <c r="AS47" s="100"/>
      <c r="AT47" s="111"/>
      <c r="AU47" s="15"/>
      <c r="AV47" s="15"/>
    </row>
    <row r="48" spans="1:48" ht="16.3">
      <c r="A48" s="91" t="s">
        <v>363</v>
      </c>
      <c r="B48" s="239">
        <f t="shared" ref="B48:C48" si="21">SUM(B46+B47)</f>
        <v>4</v>
      </c>
      <c r="C48" s="214">
        <f t="shared" si="21"/>
        <v>4</v>
      </c>
      <c r="D48" s="133"/>
      <c r="E48" s="134"/>
      <c r="F48" s="135"/>
      <c r="G48" s="136"/>
      <c r="H48" s="96"/>
      <c r="I48" s="96"/>
      <c r="J48" s="104"/>
      <c r="K48" s="75"/>
      <c r="L48" s="75"/>
      <c r="M48" s="75"/>
      <c r="N48" s="75"/>
      <c r="O48" s="96"/>
      <c r="P48" s="105"/>
      <c r="Q48" s="105"/>
      <c r="R48" s="96"/>
      <c r="S48" s="128"/>
      <c r="T48" s="137"/>
      <c r="U48" s="110"/>
      <c r="V48" s="100"/>
      <c r="W48" s="100"/>
      <c r="X48" s="100"/>
      <c r="Y48" s="110"/>
      <c r="Z48" s="110"/>
      <c r="AA48" s="100"/>
      <c r="AB48" s="109"/>
      <c r="AC48" s="109"/>
      <c r="AD48" s="109"/>
      <c r="AE48" s="108"/>
      <c r="AF48" s="109"/>
      <c r="AG48" s="108"/>
      <c r="AH48" s="111"/>
      <c r="AI48" s="100"/>
      <c r="AJ48" s="100"/>
      <c r="AK48" s="100"/>
      <c r="AL48" s="100"/>
      <c r="AM48" s="100"/>
      <c r="AN48" s="111"/>
      <c r="AO48" s="100"/>
      <c r="AP48" s="100"/>
      <c r="AQ48" s="111"/>
      <c r="AR48" s="100"/>
      <c r="AS48" s="100"/>
      <c r="AT48" s="111"/>
      <c r="AU48" s="15"/>
      <c r="AV48" s="15"/>
    </row>
    <row r="49" spans="1:48" ht="16.3">
      <c r="A49" s="91" t="s">
        <v>3</v>
      </c>
      <c r="B49" s="239">
        <f t="shared" ref="B49:B50" si="22">SUM(J49+K49+L49+M49+N49+S49+V49+W49+X49+AA49+AI49+AJ49+AI49+AM49+AP49+AQ49+AS49+AT49+AU49+AV49)</f>
        <v>1</v>
      </c>
      <c r="C49" s="214">
        <f t="shared" ref="C49:C50" si="23">SUM(J49+K49+L49+M49+N49+S49+W49+X49+V49+AA49+AJ49+AI49+AJ49+AN49+AQ49+AM49+AT49+AU49+AV49+AW49+AP49+AS49)</f>
        <v>1</v>
      </c>
      <c r="D49" s="133"/>
      <c r="E49" s="134"/>
      <c r="F49" s="135"/>
      <c r="G49" s="136"/>
      <c r="H49" s="96">
        <v>1</v>
      </c>
      <c r="I49" s="96"/>
      <c r="J49" s="104">
        <v>1</v>
      </c>
      <c r="K49" s="75"/>
      <c r="L49" s="75"/>
      <c r="M49" s="75"/>
      <c r="N49" s="75"/>
      <c r="O49" s="96"/>
      <c r="P49" s="105"/>
      <c r="Q49" s="105"/>
      <c r="R49" s="96"/>
      <c r="S49" s="128"/>
      <c r="T49" s="137"/>
      <c r="U49" s="110"/>
      <c r="V49" s="100"/>
      <c r="W49" s="100"/>
      <c r="X49" s="100"/>
      <c r="Y49" s="110"/>
      <c r="Z49" s="110"/>
      <c r="AA49" s="100"/>
      <c r="AB49" s="109"/>
      <c r="AC49" s="109"/>
      <c r="AD49" s="109"/>
      <c r="AE49" s="108"/>
      <c r="AF49" s="109"/>
      <c r="AG49" s="108"/>
      <c r="AH49" s="111"/>
      <c r="AI49" s="100"/>
      <c r="AJ49" s="100"/>
      <c r="AK49" s="100"/>
      <c r="AL49" s="100"/>
      <c r="AM49" s="100"/>
      <c r="AN49" s="111"/>
      <c r="AO49" s="100"/>
      <c r="AP49" s="100"/>
      <c r="AQ49" s="111"/>
      <c r="AR49" s="100"/>
      <c r="AS49" s="100"/>
      <c r="AT49" s="111"/>
      <c r="AU49" s="15"/>
      <c r="AV49" s="15"/>
    </row>
    <row r="50" spans="1:48" ht="17" thickBot="1">
      <c r="A50" s="92" t="s">
        <v>4</v>
      </c>
      <c r="B50" s="241">
        <f t="shared" si="22"/>
        <v>5</v>
      </c>
      <c r="C50" s="217">
        <f t="shared" si="23"/>
        <v>5</v>
      </c>
      <c r="D50" s="144"/>
      <c r="E50" s="145"/>
      <c r="F50" s="146"/>
      <c r="G50" s="147"/>
      <c r="H50" s="114">
        <v>5</v>
      </c>
      <c r="I50" s="114"/>
      <c r="J50" s="113">
        <v>5</v>
      </c>
      <c r="K50" s="112"/>
      <c r="L50" s="112"/>
      <c r="M50" s="112"/>
      <c r="N50" s="112"/>
      <c r="O50" s="114"/>
      <c r="P50" s="127"/>
      <c r="Q50" s="127"/>
      <c r="R50" s="114"/>
      <c r="S50" s="129"/>
      <c r="T50" s="148"/>
      <c r="U50" s="120"/>
      <c r="V50" s="116"/>
      <c r="W50" s="116"/>
      <c r="X50" s="116"/>
      <c r="Y50" s="120"/>
      <c r="Z50" s="120"/>
      <c r="AA50" s="116"/>
      <c r="AB50" s="118"/>
      <c r="AC50" s="118"/>
      <c r="AD50" s="118"/>
      <c r="AE50" s="117"/>
      <c r="AF50" s="118"/>
      <c r="AG50" s="117"/>
      <c r="AH50" s="121"/>
      <c r="AI50" s="116"/>
      <c r="AJ50" s="116"/>
      <c r="AK50" s="116"/>
      <c r="AL50" s="116"/>
      <c r="AM50" s="116"/>
      <c r="AN50" s="121"/>
      <c r="AO50" s="116"/>
      <c r="AP50" s="116"/>
      <c r="AQ50" s="121"/>
      <c r="AR50" s="112"/>
      <c r="AS50" s="116"/>
      <c r="AT50" s="121"/>
      <c r="AU50" s="15"/>
      <c r="AV50" s="15"/>
    </row>
    <row r="51" spans="1:48" ht="21.1">
      <c r="A51" s="82" t="s">
        <v>30</v>
      </c>
      <c r="B51" s="239"/>
      <c r="C51" s="214"/>
      <c r="D51" s="133"/>
      <c r="E51" s="134"/>
      <c r="F51" s="135"/>
      <c r="G51" s="136"/>
      <c r="H51" s="96" t="s">
        <v>339</v>
      </c>
      <c r="I51" s="96" t="s">
        <v>339</v>
      </c>
      <c r="J51" s="104" t="s">
        <v>339</v>
      </c>
      <c r="K51" s="75" t="s">
        <v>339</v>
      </c>
      <c r="L51" s="75" t="s">
        <v>339</v>
      </c>
      <c r="M51" s="75" t="s">
        <v>339</v>
      </c>
      <c r="N51" s="75" t="s">
        <v>339</v>
      </c>
      <c r="O51" s="96" t="s">
        <v>339</v>
      </c>
      <c r="P51" s="105"/>
      <c r="Q51" s="105"/>
      <c r="R51" s="96" t="s">
        <v>379</v>
      </c>
      <c r="S51" s="128" t="s">
        <v>339</v>
      </c>
      <c r="T51" s="137" t="s">
        <v>339</v>
      </c>
      <c r="U51" s="110" t="s">
        <v>339</v>
      </c>
      <c r="V51" s="100" t="s">
        <v>375</v>
      </c>
      <c r="W51" s="100" t="s">
        <v>383</v>
      </c>
      <c r="X51" s="100">
        <v>14</v>
      </c>
      <c r="Y51" s="110" t="s">
        <v>934</v>
      </c>
      <c r="Z51" s="110">
        <v>14</v>
      </c>
      <c r="AA51" s="100" t="s">
        <v>383</v>
      </c>
      <c r="AB51" s="109" t="s">
        <v>339</v>
      </c>
      <c r="AC51" s="109" t="s">
        <v>339</v>
      </c>
      <c r="AD51" s="109" t="s">
        <v>339</v>
      </c>
      <c r="AE51" s="108"/>
      <c r="AF51" s="109"/>
      <c r="AG51" s="108"/>
      <c r="AH51" s="111"/>
      <c r="AI51" s="100"/>
      <c r="AJ51" s="100"/>
      <c r="AK51" s="100"/>
      <c r="AL51" s="100"/>
      <c r="AM51" s="100"/>
      <c r="AN51" s="111"/>
      <c r="AO51" s="100"/>
      <c r="AP51" s="100"/>
      <c r="AQ51" s="111"/>
      <c r="AR51" s="100"/>
      <c r="AS51" s="100"/>
      <c r="AT51" s="103"/>
    </row>
    <row r="52" spans="1:48" ht="16.3">
      <c r="A52" s="246" t="s">
        <v>1</v>
      </c>
      <c r="B52" s="240">
        <f>SUM(J52+K52+L52+M52+N52+S52+V52+W52+X52+AA52+AI52+AJ52+AI52+AM52+AP52+AQ52+AS52+AT52+AU52+AV52+AN52)+17</f>
        <v>20</v>
      </c>
      <c r="C52" s="215">
        <f>SUM(J52+K52+L52+M52+N52+S52+W52+X52+V52+AA52+AJ52+AI52+AJ52+AN52+AQ52+AM52+AT52+AU52+AV52+AW52+AP52+AS52)+34</f>
        <v>37</v>
      </c>
      <c r="D52" s="139"/>
      <c r="E52" s="140"/>
      <c r="F52" s="135"/>
      <c r="G52" s="136"/>
      <c r="H52" s="96"/>
      <c r="I52" s="96"/>
      <c r="J52" s="104"/>
      <c r="K52" s="75"/>
      <c r="L52" s="75"/>
      <c r="M52" s="75"/>
      <c r="N52" s="75"/>
      <c r="O52" s="96"/>
      <c r="P52" s="105"/>
      <c r="Q52" s="105"/>
      <c r="R52" s="96">
        <v>1</v>
      </c>
      <c r="S52" s="128"/>
      <c r="T52" s="137"/>
      <c r="U52" s="110"/>
      <c r="V52" s="100"/>
      <c r="W52" s="100">
        <v>1</v>
      </c>
      <c r="X52" s="100">
        <v>1</v>
      </c>
      <c r="Y52" s="110">
        <v>1</v>
      </c>
      <c r="Z52" s="110">
        <v>1</v>
      </c>
      <c r="AA52" s="100">
        <v>1</v>
      </c>
      <c r="AB52" s="109"/>
      <c r="AC52" s="109"/>
      <c r="AD52" s="109"/>
      <c r="AE52" s="108"/>
      <c r="AF52" s="109"/>
      <c r="AG52" s="108"/>
      <c r="AH52" s="111"/>
      <c r="AI52" s="100"/>
      <c r="AJ52" s="100"/>
      <c r="AK52" s="100"/>
      <c r="AL52" s="100"/>
      <c r="AM52" s="100"/>
      <c r="AN52" s="111"/>
      <c r="AO52" s="100"/>
      <c r="AP52" s="100"/>
      <c r="AQ52" s="111"/>
      <c r="AR52" s="100"/>
      <c r="AS52" s="100"/>
      <c r="AT52" s="111"/>
    </row>
    <row r="53" spans="1:48" ht="16.3">
      <c r="A53" s="246" t="s">
        <v>2</v>
      </c>
      <c r="B53" s="240">
        <f>SUM(J53+K53+L53+M53+N53+S53+V53+W53+X53+AA53+AI53+AJ53+AI53+AM53+AP53+AQ53+AS53+AT53+AU53+AV53)+3</f>
        <v>4</v>
      </c>
      <c r="C53" s="215">
        <f>SUM(J53+K53+L53+M53+N53+S53+W53+X53+V53+AA53+AJ53+AI53+AJ53+AN53+AQ53+AM53+AT53+AU53+AV53+AW53+AP53+AS53)+9</f>
        <v>10</v>
      </c>
      <c r="D53" s="139"/>
      <c r="E53" s="140"/>
      <c r="F53" s="135"/>
      <c r="G53" s="136"/>
      <c r="H53" s="96"/>
      <c r="I53" s="96"/>
      <c r="J53" s="104"/>
      <c r="K53" s="75"/>
      <c r="L53" s="75"/>
      <c r="M53" s="75"/>
      <c r="N53" s="75"/>
      <c r="O53" s="96"/>
      <c r="P53" s="105"/>
      <c r="Q53" s="105"/>
      <c r="R53" s="96"/>
      <c r="S53" s="128"/>
      <c r="T53" s="137"/>
      <c r="U53" s="110"/>
      <c r="V53" s="100">
        <v>1</v>
      </c>
      <c r="W53" s="100"/>
      <c r="X53" s="100"/>
      <c r="Y53" s="110"/>
      <c r="Z53" s="110"/>
      <c r="AA53" s="100"/>
      <c r="AB53" s="109"/>
      <c r="AC53" s="109"/>
      <c r="AD53" s="109"/>
      <c r="AE53" s="108"/>
      <c r="AF53" s="109"/>
      <c r="AG53" s="108"/>
      <c r="AH53" s="111"/>
      <c r="AI53" s="100"/>
      <c r="AJ53" s="100"/>
      <c r="AK53" s="100"/>
      <c r="AL53" s="100"/>
      <c r="AM53" s="100"/>
      <c r="AN53" s="111"/>
      <c r="AO53" s="100"/>
      <c r="AP53" s="100"/>
      <c r="AQ53" s="111"/>
      <c r="AR53" s="100"/>
      <c r="AS53" s="100"/>
      <c r="AT53" s="111"/>
    </row>
    <row r="54" spans="1:48" ht="16.3">
      <c r="A54" s="91" t="s">
        <v>363</v>
      </c>
      <c r="B54" s="239">
        <f>SUM(B52+B53)</f>
        <v>24</v>
      </c>
      <c r="C54" s="214">
        <f>SUM(C52+C53)</f>
        <v>47</v>
      </c>
      <c r="D54" s="133"/>
      <c r="E54" s="134"/>
      <c r="F54" s="135"/>
      <c r="G54" s="136"/>
      <c r="H54" s="96"/>
      <c r="I54" s="96"/>
      <c r="J54" s="104"/>
      <c r="K54" s="75"/>
      <c r="L54" s="75"/>
      <c r="M54" s="75"/>
      <c r="N54" s="75"/>
      <c r="O54" s="96"/>
      <c r="P54" s="105"/>
      <c r="Q54" s="105"/>
      <c r="R54" s="96"/>
      <c r="S54" s="128"/>
      <c r="T54" s="137"/>
      <c r="U54" s="110"/>
      <c r="V54" s="100"/>
      <c r="W54" s="100"/>
      <c r="X54" s="100"/>
      <c r="Y54" s="110"/>
      <c r="Z54" s="110"/>
      <c r="AA54" s="100"/>
      <c r="AB54" s="109"/>
      <c r="AC54" s="109"/>
      <c r="AD54" s="109"/>
      <c r="AE54" s="108"/>
      <c r="AF54" s="109"/>
      <c r="AG54" s="108"/>
      <c r="AH54" s="111"/>
      <c r="AI54" s="100"/>
      <c r="AJ54" s="100"/>
      <c r="AK54" s="100"/>
      <c r="AL54" s="100"/>
      <c r="AM54" s="100"/>
      <c r="AN54" s="111"/>
      <c r="AO54" s="100"/>
      <c r="AP54" s="100"/>
      <c r="AQ54" s="111"/>
      <c r="AR54" s="100"/>
      <c r="AS54" s="100"/>
      <c r="AT54" s="111"/>
    </row>
    <row r="55" spans="1:48" ht="16.3">
      <c r="A55" s="246" t="s">
        <v>362</v>
      </c>
      <c r="B55" s="240">
        <f>SUM(J55+K55+L55+M55+N55+S55+V55+W55+X55+AA55+AI55+AJ55+AI55+AM55+AP55+AQ55+AS55+AT55+AU55+AV55)+1</f>
        <v>1</v>
      </c>
      <c r="C55" s="215">
        <f>SUM(J55+K55+L55+M55+N55+S55+W55+X55+V55+AA55+AJ55+AI55+AJ55+AN55+AQ55+AM55+AT55+AU55+AV55+AW55+AP55+AS55)+3</f>
        <v>3</v>
      </c>
      <c r="D55" s="139"/>
      <c r="E55" s="140"/>
      <c r="F55" s="135"/>
      <c r="G55" s="136"/>
      <c r="H55" s="96"/>
      <c r="I55" s="96"/>
      <c r="J55" s="104"/>
      <c r="K55" s="75"/>
      <c r="L55" s="75"/>
      <c r="M55" s="75"/>
      <c r="N55" s="75"/>
      <c r="O55" s="96"/>
      <c r="P55" s="105"/>
      <c r="Q55" s="105"/>
      <c r="R55" s="96"/>
      <c r="S55" s="128"/>
      <c r="T55" s="137"/>
      <c r="U55" s="110"/>
      <c r="V55" s="100"/>
      <c r="W55" s="100"/>
      <c r="X55" s="100"/>
      <c r="Y55" s="110"/>
      <c r="Z55" s="110"/>
      <c r="AA55" s="100"/>
      <c r="AB55" s="109"/>
      <c r="AC55" s="109"/>
      <c r="AD55" s="109"/>
      <c r="AE55" s="108"/>
      <c r="AF55" s="109"/>
      <c r="AG55" s="108"/>
      <c r="AH55" s="111"/>
      <c r="AI55" s="100"/>
      <c r="AJ55" s="100"/>
      <c r="AK55" s="100"/>
      <c r="AL55" s="100"/>
      <c r="AM55" s="100"/>
      <c r="AN55" s="111"/>
      <c r="AO55" s="100"/>
      <c r="AP55" s="100"/>
      <c r="AQ55" s="111"/>
      <c r="AR55" s="100"/>
      <c r="AS55" s="100"/>
      <c r="AT55" s="111"/>
    </row>
    <row r="56" spans="1:48" ht="16.3">
      <c r="A56" s="246" t="s">
        <v>746</v>
      </c>
      <c r="B56" s="240">
        <f>SUM(J56+K56+L56+M56+N56+S56+V56+W56+X56+AA56+AI56+AJ56+AI56+AM56+AP56+AQ56+AS56+AT56+AU56+AV56)</f>
        <v>0</v>
      </c>
      <c r="C56" s="215">
        <f>SUM(J56+K56+L56+M56+N56+S56+W56+X56+V56+AA56+AJ56+AI56+AJ56+AN56+AQ56+AM56+AT56+AU56+AV56+AW56+AP56+AS56)</f>
        <v>0</v>
      </c>
      <c r="D56" s="139"/>
      <c r="E56" s="140"/>
      <c r="F56" s="135"/>
      <c r="G56" s="136"/>
      <c r="H56" s="96"/>
      <c r="I56" s="96"/>
      <c r="J56" s="104"/>
      <c r="K56" s="75"/>
      <c r="L56" s="75"/>
      <c r="M56" s="75"/>
      <c r="N56" s="75"/>
      <c r="O56" s="96"/>
      <c r="P56" s="105"/>
      <c r="Q56" s="105"/>
      <c r="R56" s="96"/>
      <c r="S56" s="128"/>
      <c r="T56" s="137"/>
      <c r="U56" s="110"/>
      <c r="V56" s="100"/>
      <c r="W56" s="100"/>
      <c r="X56" s="100"/>
      <c r="Y56" s="110">
        <v>1</v>
      </c>
      <c r="Z56" s="110"/>
      <c r="AA56" s="100"/>
      <c r="AB56" s="109"/>
      <c r="AC56" s="109"/>
      <c r="AD56" s="109"/>
      <c r="AE56" s="108"/>
      <c r="AF56" s="109"/>
      <c r="AG56" s="108"/>
      <c r="AH56" s="111"/>
      <c r="AI56" s="100"/>
      <c r="AJ56" s="100"/>
      <c r="AK56" s="100"/>
      <c r="AL56" s="100"/>
      <c r="AM56" s="100"/>
      <c r="AN56" s="111"/>
      <c r="AO56" s="100"/>
      <c r="AP56" s="100"/>
      <c r="AQ56" s="111"/>
      <c r="AR56" s="100"/>
      <c r="AS56" s="100"/>
      <c r="AT56" s="111"/>
    </row>
    <row r="57" spans="1:48" ht="16.3">
      <c r="A57" s="91" t="s">
        <v>3</v>
      </c>
      <c r="B57" s="239">
        <f>SUM(J57+K57+L57+M57+N57+S57+V57+W57+X57+AA57+AI57+AJ57+AI57+AM57+AP57+AQ57+AS57+AT57+AU57+AV57)+5</f>
        <v>7</v>
      </c>
      <c r="C57" s="214">
        <f>SUM(J57+K57+L57+M57+N57+S57+W57+X57+V57+AA57+AJ57+AI57+AJ57+AN57+AQ57+AM57+AT57+AU57+AV57+AW57+AP57+AS57)+11</f>
        <v>13</v>
      </c>
      <c r="D57" s="133"/>
      <c r="E57" s="134"/>
      <c r="F57" s="135"/>
      <c r="G57" s="136"/>
      <c r="H57" s="96"/>
      <c r="I57" s="96"/>
      <c r="J57" s="104"/>
      <c r="K57" s="75"/>
      <c r="L57" s="75"/>
      <c r="M57" s="75"/>
      <c r="N57" s="75"/>
      <c r="O57" s="96"/>
      <c r="P57" s="105"/>
      <c r="Q57" s="105"/>
      <c r="R57" s="96"/>
      <c r="S57" s="128"/>
      <c r="T57" s="137"/>
      <c r="U57" s="110"/>
      <c r="V57" s="100"/>
      <c r="W57" s="100">
        <v>1</v>
      </c>
      <c r="X57" s="100"/>
      <c r="Y57" s="150">
        <v>3</v>
      </c>
      <c r="Z57" s="110"/>
      <c r="AA57" s="100">
        <v>1</v>
      </c>
      <c r="AB57" s="109"/>
      <c r="AC57" s="109"/>
      <c r="AD57" s="109"/>
      <c r="AE57" s="108"/>
      <c r="AF57" s="109"/>
      <c r="AG57" s="108"/>
      <c r="AH57" s="111"/>
      <c r="AI57" s="100"/>
      <c r="AJ57" s="100"/>
      <c r="AK57" s="100"/>
      <c r="AL57" s="100"/>
      <c r="AM57" s="100"/>
      <c r="AN57" s="111"/>
      <c r="AO57" s="100"/>
      <c r="AP57" s="100"/>
      <c r="AQ57" s="111"/>
      <c r="AR57" s="100"/>
      <c r="AS57" s="100"/>
      <c r="AT57" s="111"/>
    </row>
    <row r="58" spans="1:48" ht="17" thickBot="1">
      <c r="A58" s="92" t="s">
        <v>4</v>
      </c>
      <c r="B58" s="241">
        <f>SUM(J58+K58+L58+M58+N58+S58+V58+W58+X58+AA58+AI58+AJ58+AI58+AM58+AP58+AQ58+AS58+AT58+AU58+AV58)+25</f>
        <v>35</v>
      </c>
      <c r="C58" s="217">
        <f>SUM(J58+K58+L58+M58+N58+S58+W58+X58+V58+AA58+AJ58+AI58+AJ58+AN58+AQ58+AM58+AT58+AU58+AV58+AW58+AP58+AS58)+55</f>
        <v>65</v>
      </c>
      <c r="D58" s="144"/>
      <c r="E58" s="145"/>
      <c r="F58" s="146"/>
      <c r="G58" s="147"/>
      <c r="H58" s="96"/>
      <c r="I58" s="96"/>
      <c r="J58" s="104"/>
      <c r="K58" s="75"/>
      <c r="L58" s="75"/>
      <c r="M58" s="75"/>
      <c r="N58" s="75"/>
      <c r="O58" s="96"/>
      <c r="P58" s="105"/>
      <c r="Q58" s="105"/>
      <c r="R58" s="96"/>
      <c r="S58" s="128"/>
      <c r="T58" s="137"/>
      <c r="U58" s="110"/>
      <c r="V58" s="75"/>
      <c r="W58" s="100">
        <v>5</v>
      </c>
      <c r="X58" s="100"/>
      <c r="Y58" s="110">
        <v>15</v>
      </c>
      <c r="Z58" s="110"/>
      <c r="AA58" s="100">
        <v>5</v>
      </c>
      <c r="AB58" s="109"/>
      <c r="AC58" s="109"/>
      <c r="AD58" s="109"/>
      <c r="AE58" s="108"/>
      <c r="AF58" s="109"/>
      <c r="AG58" s="108"/>
      <c r="AH58" s="111"/>
      <c r="AI58" s="100"/>
      <c r="AJ58" s="100"/>
      <c r="AK58" s="100"/>
      <c r="AL58" s="100"/>
      <c r="AM58" s="100"/>
      <c r="AN58" s="111"/>
      <c r="AO58" s="100"/>
      <c r="AP58" s="100"/>
      <c r="AQ58" s="111"/>
      <c r="AR58" s="100"/>
      <c r="AS58" s="100"/>
      <c r="AT58" s="111"/>
    </row>
    <row r="59" spans="1:48" ht="21.1">
      <c r="A59" s="82" t="s">
        <v>181</v>
      </c>
      <c r="B59" s="239"/>
      <c r="C59" s="214"/>
      <c r="D59" s="133"/>
      <c r="E59" s="134"/>
      <c r="F59" s="135"/>
      <c r="G59" s="136"/>
      <c r="H59" s="124">
        <v>11</v>
      </c>
      <c r="I59" s="124"/>
      <c r="J59" s="123" t="s">
        <v>367</v>
      </c>
      <c r="K59" s="122" t="s">
        <v>339</v>
      </c>
      <c r="L59" s="122" t="s">
        <v>339</v>
      </c>
      <c r="M59" s="122" t="s">
        <v>339</v>
      </c>
      <c r="N59" s="122" t="s">
        <v>339</v>
      </c>
      <c r="O59" s="124" t="s">
        <v>339</v>
      </c>
      <c r="P59" s="180"/>
      <c r="Q59" s="180"/>
      <c r="R59" s="124" t="s">
        <v>339</v>
      </c>
      <c r="S59" s="165" t="s">
        <v>339</v>
      </c>
      <c r="T59" s="157" t="s">
        <v>339</v>
      </c>
      <c r="U59" s="101" t="s">
        <v>339</v>
      </c>
      <c r="V59" s="102" t="s">
        <v>339</v>
      </c>
      <c r="W59" s="102" t="s">
        <v>339</v>
      </c>
      <c r="X59" s="102" t="s">
        <v>339</v>
      </c>
      <c r="Y59" s="101" t="s">
        <v>339</v>
      </c>
      <c r="Z59" s="101" t="s">
        <v>339</v>
      </c>
      <c r="AA59" s="102" t="s">
        <v>375</v>
      </c>
      <c r="AB59" s="99">
        <v>11</v>
      </c>
      <c r="AC59" s="99">
        <v>11</v>
      </c>
      <c r="AD59" s="99">
        <v>11</v>
      </c>
      <c r="AE59" s="98"/>
      <c r="AF59" s="99">
        <v>11</v>
      </c>
      <c r="AG59" s="98"/>
      <c r="AH59" s="103"/>
      <c r="AI59" s="102"/>
      <c r="AJ59" s="102"/>
      <c r="AK59" s="102"/>
      <c r="AL59" s="102"/>
      <c r="AM59" s="102"/>
      <c r="AN59" s="103"/>
      <c r="AO59" s="102"/>
      <c r="AP59" s="102"/>
      <c r="AQ59" s="103"/>
      <c r="AR59" s="102"/>
      <c r="AS59" s="102"/>
      <c r="AT59" s="103"/>
    </row>
    <row r="60" spans="1:48" ht="16.3">
      <c r="A60" s="246" t="s">
        <v>1</v>
      </c>
      <c r="B60" s="240">
        <f>SUM(J60+K60+L60+M60+N60+S60+V60+W60+X60+AA60+AI60+AJ60+AI60+AM60+AP60+AQ60+AS60+AT60+AU60+AV60+AN60)+45</f>
        <v>46</v>
      </c>
      <c r="C60" s="215">
        <f>SUM(J60+K60+L60+M60+N60+S60+W60+X60+V60+AA60+AJ60+AI60+AJ60+AN60+AQ60+AM60+AT60+AU60+AV60+AW60+AP60+AS60)+62</f>
        <v>63</v>
      </c>
      <c r="D60" s="139"/>
      <c r="E60" s="140"/>
      <c r="F60" s="135"/>
      <c r="G60" s="136"/>
      <c r="H60" s="96">
        <v>1</v>
      </c>
      <c r="I60" s="96"/>
      <c r="J60" s="104">
        <v>1</v>
      </c>
      <c r="K60" s="75"/>
      <c r="L60" s="75"/>
      <c r="M60" s="75"/>
      <c r="N60" s="75"/>
      <c r="O60" s="96"/>
      <c r="P60" s="105"/>
      <c r="Q60" s="105"/>
      <c r="R60" s="96"/>
      <c r="S60" s="128"/>
      <c r="T60" s="137"/>
      <c r="U60" s="110"/>
      <c r="V60" s="100"/>
      <c r="W60" s="100"/>
      <c r="X60" s="100"/>
      <c r="Y60" s="110"/>
      <c r="Z60" s="110"/>
      <c r="AA60" s="100"/>
      <c r="AB60" s="109">
        <v>1</v>
      </c>
      <c r="AC60" s="109">
        <v>1</v>
      </c>
      <c r="AD60" s="109">
        <v>1</v>
      </c>
      <c r="AE60" s="108"/>
      <c r="AF60" s="109">
        <v>1</v>
      </c>
      <c r="AG60" s="108"/>
      <c r="AH60" s="111"/>
      <c r="AI60" s="100"/>
      <c r="AJ60" s="100"/>
      <c r="AK60" s="100"/>
      <c r="AL60" s="100"/>
      <c r="AM60" s="100"/>
      <c r="AN60" s="111"/>
      <c r="AO60" s="100"/>
      <c r="AP60" s="100"/>
      <c r="AQ60" s="111"/>
      <c r="AR60" s="100"/>
      <c r="AS60" s="100"/>
      <c r="AT60" s="111"/>
    </row>
    <row r="61" spans="1:48" ht="16.3">
      <c r="A61" s="246" t="s">
        <v>2</v>
      </c>
      <c r="B61" s="240">
        <f>SUM(J61+K61+L61+M61+N61+S61+V61+W61+X61+AA61+AI61+AJ61+AI61+AM61+AP61+AQ61+AS61+AT61+AU61+AV61)</f>
        <v>1</v>
      </c>
      <c r="C61" s="215">
        <f>SUM(J61+K61+L61+M61+N61+S61+W61+X61+V61+AA61+AJ61+AI61+AJ61+AN61+AQ61+AM61+AT61+AU61+AV61+AW61+AP61+AS61)+6</f>
        <v>7</v>
      </c>
      <c r="D61" s="139"/>
      <c r="E61" s="140"/>
      <c r="F61" s="135"/>
      <c r="G61" s="136"/>
      <c r="H61" s="96"/>
      <c r="I61" s="96"/>
      <c r="J61" s="104"/>
      <c r="K61" s="75"/>
      <c r="L61" s="75"/>
      <c r="M61" s="75"/>
      <c r="N61" s="75"/>
      <c r="O61" s="96"/>
      <c r="P61" s="105"/>
      <c r="Q61" s="105"/>
      <c r="R61" s="96"/>
      <c r="S61" s="128"/>
      <c r="T61" s="137"/>
      <c r="U61" s="110"/>
      <c r="V61" s="100"/>
      <c r="W61" s="100"/>
      <c r="X61" s="100"/>
      <c r="Y61" s="110"/>
      <c r="Z61" s="110"/>
      <c r="AA61" s="100">
        <v>1</v>
      </c>
      <c r="AB61" s="109"/>
      <c r="AC61" s="109"/>
      <c r="AD61" s="109"/>
      <c r="AE61" s="108"/>
      <c r="AF61" s="109"/>
      <c r="AG61" s="108"/>
      <c r="AH61" s="111"/>
      <c r="AI61" s="100"/>
      <c r="AJ61" s="100"/>
      <c r="AK61" s="100"/>
      <c r="AL61" s="100"/>
      <c r="AM61" s="100"/>
      <c r="AN61" s="111"/>
      <c r="AO61" s="100"/>
      <c r="AP61" s="100"/>
      <c r="AQ61" s="111"/>
      <c r="AR61" s="100"/>
      <c r="AS61" s="100"/>
      <c r="AT61" s="111"/>
    </row>
    <row r="62" spans="1:48" ht="16.3">
      <c r="A62" s="91" t="s">
        <v>363</v>
      </c>
      <c r="B62" s="239">
        <f>SUM(B60+B61)</f>
        <v>47</v>
      </c>
      <c r="C62" s="214">
        <f>SUM(C60+C61)</f>
        <v>70</v>
      </c>
      <c r="D62" s="133"/>
      <c r="E62" s="134"/>
      <c r="F62" s="135"/>
      <c r="G62" s="136"/>
      <c r="H62" s="96"/>
      <c r="I62" s="96"/>
      <c r="J62" s="104"/>
      <c r="K62" s="75"/>
      <c r="L62" s="75"/>
      <c r="M62" s="75"/>
      <c r="N62" s="75"/>
      <c r="O62" s="96"/>
      <c r="P62" s="105"/>
      <c r="Q62" s="105"/>
      <c r="R62" s="96"/>
      <c r="S62" s="128"/>
      <c r="T62" s="137"/>
      <c r="U62" s="110"/>
      <c r="V62" s="100"/>
      <c r="W62" s="100"/>
      <c r="X62" s="100"/>
      <c r="Y62" s="110"/>
      <c r="Z62" s="110"/>
      <c r="AA62" s="100"/>
      <c r="AB62" s="109"/>
      <c r="AC62" s="109"/>
      <c r="AD62" s="109"/>
      <c r="AE62" s="108"/>
      <c r="AF62" s="109"/>
      <c r="AG62" s="108"/>
      <c r="AH62" s="111"/>
      <c r="AI62" s="100"/>
      <c r="AJ62" s="100"/>
      <c r="AK62" s="100"/>
      <c r="AL62" s="100"/>
      <c r="AM62" s="100"/>
      <c r="AN62" s="111"/>
      <c r="AO62" s="100"/>
      <c r="AP62" s="100"/>
      <c r="AQ62" s="111"/>
      <c r="AR62" s="100"/>
      <c r="AS62" s="100"/>
      <c r="AT62" s="111"/>
    </row>
    <row r="63" spans="1:48" ht="16.3">
      <c r="A63" s="246" t="s">
        <v>362</v>
      </c>
      <c r="B63" s="240">
        <f>SUM(J63+K63+L63+M63+N63+S63+V63+W63+X63+AA63+AI63+AJ63+AI63+AM63+AP63+AQ63+AS63+AT63+AU63+AV63)+5</f>
        <v>5</v>
      </c>
      <c r="C63" s="215">
        <f>SUM(J63+K63+L63+M63+N63+S63+W63+X63+V63+AA63+AJ63+AI63+AJ63+AN63+AQ63+AM63+AT63+AU63+AV63+AW63+AP63+AS63)+5</f>
        <v>5</v>
      </c>
      <c r="D63" s="139"/>
      <c r="E63" s="140"/>
      <c r="F63" s="135"/>
      <c r="G63" s="136"/>
      <c r="H63" s="96"/>
      <c r="I63" s="96"/>
      <c r="J63" s="104"/>
      <c r="K63" s="75"/>
      <c r="L63" s="75"/>
      <c r="M63" s="75"/>
      <c r="N63" s="75"/>
      <c r="O63" s="96"/>
      <c r="P63" s="105"/>
      <c r="Q63" s="105"/>
      <c r="R63" s="96"/>
      <c r="S63" s="128"/>
      <c r="T63" s="137"/>
      <c r="U63" s="110"/>
      <c r="V63" s="100"/>
      <c r="W63" s="100"/>
      <c r="X63" s="100"/>
      <c r="Y63" s="110"/>
      <c r="Z63" s="110"/>
      <c r="AA63" s="100"/>
      <c r="AB63" s="109"/>
      <c r="AC63" s="109"/>
      <c r="AD63" s="109"/>
      <c r="AE63" s="108"/>
      <c r="AF63" s="109"/>
      <c r="AG63" s="108"/>
      <c r="AH63" s="111"/>
      <c r="AI63" s="100"/>
      <c r="AJ63" s="100"/>
      <c r="AK63" s="100"/>
      <c r="AL63" s="100"/>
      <c r="AM63" s="100"/>
      <c r="AN63" s="111"/>
      <c r="AO63" s="100"/>
      <c r="AP63" s="100"/>
      <c r="AQ63" s="111"/>
      <c r="AR63" s="100"/>
      <c r="AS63" s="100"/>
      <c r="AT63" s="111"/>
    </row>
    <row r="64" spans="1:48" ht="16.3">
      <c r="A64" s="246" t="s">
        <v>5</v>
      </c>
      <c r="B64" s="240">
        <f>SUM(J64+K64+L64+M64+N64+S64+V64+W64+X64+AA64+AI64+AJ64+AI64+AM64+AP64+AQ64+AS64+AT64+AU64+AV64+AN64)+1</f>
        <v>1</v>
      </c>
      <c r="C64" s="215">
        <f>SUM(J64+K64+L64+M64+N64+S64+W64+X64+V64+AA64+AJ64+AI64+AJ64+AN64+AQ64+AM64+AT64+AU64+AV64+AW64+AP64+AS64)+1</f>
        <v>1</v>
      </c>
      <c r="D64" s="139"/>
      <c r="E64" s="140"/>
      <c r="F64" s="135"/>
      <c r="G64" s="136"/>
      <c r="H64" s="96"/>
      <c r="I64" s="96"/>
      <c r="J64" s="104"/>
      <c r="K64" s="75"/>
      <c r="L64" s="75"/>
      <c r="M64" s="75"/>
      <c r="N64" s="75"/>
      <c r="O64" s="96"/>
      <c r="P64" s="105"/>
      <c r="Q64" s="105"/>
      <c r="R64" s="96"/>
      <c r="S64" s="128"/>
      <c r="T64" s="137"/>
      <c r="U64" s="110"/>
      <c r="V64" s="100"/>
      <c r="W64" s="100"/>
      <c r="X64" s="100"/>
      <c r="Y64" s="110"/>
      <c r="Z64" s="110"/>
      <c r="AA64" s="100"/>
      <c r="AB64" s="109"/>
      <c r="AC64" s="109"/>
      <c r="AD64" s="109"/>
      <c r="AE64" s="108"/>
      <c r="AF64" s="109"/>
      <c r="AG64" s="108"/>
      <c r="AH64" s="111"/>
      <c r="AI64" s="100"/>
      <c r="AJ64" s="100"/>
      <c r="AK64" s="100"/>
      <c r="AL64" s="100"/>
      <c r="AM64" s="100"/>
      <c r="AN64" s="111"/>
      <c r="AO64" s="100"/>
      <c r="AP64" s="100"/>
      <c r="AQ64" s="111"/>
      <c r="AR64" s="100"/>
      <c r="AS64" s="100"/>
      <c r="AT64" s="111"/>
    </row>
    <row r="65" spans="1:46" ht="16.3">
      <c r="A65" s="246" t="s">
        <v>6</v>
      </c>
      <c r="B65" s="240">
        <f>SUM(J65+K65+L65+M65+N65+S65+V65+W65+X65+AA65+AI65+AJ65+AI65+AM65+AP65+AQ65+AS65+AT65+AU65+AV65)+1</f>
        <v>1</v>
      </c>
      <c r="C65" s="215">
        <f>SUM(J65+K65+L65+M65+N65+S65+W65+X65+V65+AA65+AJ65+AI65+AJ65+AN65+AQ65+AM65+AT65+AU65+AV65+AW65+AP65+AS65)+1</f>
        <v>1</v>
      </c>
      <c r="D65" s="139"/>
      <c r="E65" s="140"/>
      <c r="F65" s="135"/>
      <c r="G65" s="136"/>
      <c r="H65" s="96"/>
      <c r="I65" s="96"/>
      <c r="J65" s="104"/>
      <c r="K65" s="75"/>
      <c r="L65" s="75"/>
      <c r="M65" s="75"/>
      <c r="N65" s="75"/>
      <c r="O65" s="96"/>
      <c r="P65" s="105"/>
      <c r="Q65" s="105"/>
      <c r="R65" s="96"/>
      <c r="S65" s="128"/>
      <c r="T65" s="137"/>
      <c r="U65" s="110"/>
      <c r="V65" s="100"/>
      <c r="W65" s="100"/>
      <c r="X65" s="100"/>
      <c r="Y65" s="110"/>
      <c r="Z65" s="110"/>
      <c r="AA65" s="100"/>
      <c r="AB65" s="109"/>
      <c r="AC65" s="109"/>
      <c r="AD65" s="109"/>
      <c r="AE65" s="108"/>
      <c r="AF65" s="109"/>
      <c r="AG65" s="108"/>
      <c r="AH65" s="111"/>
      <c r="AI65" s="100"/>
      <c r="AJ65" s="100"/>
      <c r="AK65" s="100"/>
      <c r="AL65" s="100"/>
      <c r="AM65" s="100"/>
      <c r="AN65" s="111"/>
      <c r="AO65" s="100"/>
      <c r="AP65" s="100"/>
      <c r="AQ65" s="111"/>
      <c r="AR65" s="100"/>
      <c r="AS65" s="100"/>
      <c r="AT65" s="111"/>
    </row>
    <row r="66" spans="1:46" ht="16.3">
      <c r="A66" s="246" t="s">
        <v>368</v>
      </c>
      <c r="B66" s="240">
        <f>SUM(B64/B65)*100</f>
        <v>100</v>
      </c>
      <c r="C66" s="215">
        <f>SUM(C64/C65)*100</f>
        <v>100</v>
      </c>
      <c r="D66" s="139"/>
      <c r="E66" s="140"/>
      <c r="F66" s="135"/>
      <c r="G66" s="136"/>
      <c r="H66" s="96"/>
      <c r="I66" s="96"/>
      <c r="J66" s="104"/>
      <c r="K66" s="75"/>
      <c r="L66" s="75"/>
      <c r="M66" s="75"/>
      <c r="N66" s="75"/>
      <c r="O66" s="96"/>
      <c r="P66" s="105"/>
      <c r="Q66" s="105"/>
      <c r="R66" s="96"/>
      <c r="S66" s="128"/>
      <c r="T66" s="137"/>
      <c r="U66" s="110"/>
      <c r="V66" s="100"/>
      <c r="W66" s="100"/>
      <c r="X66" s="100"/>
      <c r="Y66" s="110"/>
      <c r="Z66" s="110"/>
      <c r="AA66" s="100"/>
      <c r="AB66" s="109"/>
      <c r="AC66" s="109"/>
      <c r="AD66" s="109"/>
      <c r="AE66" s="108"/>
      <c r="AF66" s="109"/>
      <c r="AG66" s="108"/>
      <c r="AH66" s="111"/>
      <c r="AI66" s="100"/>
      <c r="AJ66" s="100"/>
      <c r="AK66" s="100"/>
      <c r="AL66" s="100"/>
      <c r="AM66" s="100"/>
      <c r="AN66" s="111"/>
      <c r="AO66" s="100"/>
      <c r="AP66" s="100"/>
      <c r="AQ66" s="111"/>
      <c r="AR66" s="100"/>
      <c r="AS66" s="100"/>
      <c r="AT66" s="111"/>
    </row>
    <row r="67" spans="1:46" ht="16.3">
      <c r="A67" s="91" t="s">
        <v>3</v>
      </c>
      <c r="B67" s="239">
        <f>SUM(J67+K67+L67+M67+N67+S67+V67+W67+X67+AA67+AI67+AJ67+AI67+AM67+AP67+AQ67+AS67+AT67+AU67+AV67)+24</f>
        <v>25</v>
      </c>
      <c r="C67" s="214">
        <f>SUM(J67+K67+L67+M67+N67+S67+W67+X67+V67+AA67+AJ67+AI67+AJ67+AN67+AQ67+AM67+AT67+AU67+AV67+AW67+AP67+AS67)+32</f>
        <v>33</v>
      </c>
      <c r="D67" s="133"/>
      <c r="E67" s="134"/>
      <c r="F67" s="135"/>
      <c r="G67" s="136"/>
      <c r="H67" s="96"/>
      <c r="I67" s="96"/>
      <c r="J67" s="104">
        <v>1</v>
      </c>
      <c r="K67" s="168"/>
      <c r="L67" s="75"/>
      <c r="M67" s="75"/>
      <c r="N67" s="75"/>
      <c r="O67" s="96"/>
      <c r="P67" s="105"/>
      <c r="Q67" s="105"/>
      <c r="R67" s="96"/>
      <c r="S67" s="128"/>
      <c r="T67" s="137"/>
      <c r="U67" s="110"/>
      <c r="V67" s="100"/>
      <c r="W67" s="100"/>
      <c r="X67" s="100"/>
      <c r="Y67" s="110"/>
      <c r="Z67" s="110"/>
      <c r="AA67" s="100"/>
      <c r="AB67" s="109"/>
      <c r="AC67" s="109"/>
      <c r="AD67" s="109">
        <v>1</v>
      </c>
      <c r="AE67" s="108"/>
      <c r="AF67" s="109">
        <v>2</v>
      </c>
      <c r="AG67" s="108"/>
      <c r="AH67" s="111"/>
      <c r="AI67" s="100"/>
      <c r="AJ67" s="100"/>
      <c r="AK67" s="100"/>
      <c r="AL67" s="100"/>
      <c r="AM67" s="100"/>
      <c r="AN67" s="111"/>
      <c r="AO67" s="100"/>
      <c r="AP67" s="100"/>
      <c r="AQ67" s="111"/>
      <c r="AR67" s="100"/>
      <c r="AS67" s="100"/>
      <c r="AT67" s="111"/>
    </row>
    <row r="68" spans="1:46" ht="17" thickBot="1">
      <c r="A68" s="92" t="s">
        <v>4</v>
      </c>
      <c r="B68" s="241">
        <f>SUM(J68+K68+L68+M68+N68+S68+V68+W68+X68+AA68+AI68+AJ68+AI68+AM68+AP68+AQ68+AS68+AT68+AU68+AV68)+122</f>
        <v>127</v>
      </c>
      <c r="C68" s="217">
        <f>SUM(J68+K68+L68+M68+N68+S68+W68+X68+V68+AA68+AJ68+AI68+AJ68+AN68+AQ68+AM68+AT68+AU68+AV68+AW68+AP68+AS68)+162</f>
        <v>167</v>
      </c>
      <c r="D68" s="144"/>
      <c r="E68" s="145"/>
      <c r="F68" s="146"/>
      <c r="G68" s="147"/>
      <c r="H68" s="114"/>
      <c r="I68" s="114"/>
      <c r="J68" s="113">
        <v>5</v>
      </c>
      <c r="K68" s="112"/>
      <c r="L68" s="112"/>
      <c r="M68" s="112"/>
      <c r="N68" s="112"/>
      <c r="O68" s="114"/>
      <c r="P68" s="127"/>
      <c r="Q68" s="127"/>
      <c r="R68" s="114"/>
      <c r="S68" s="129"/>
      <c r="T68" s="148"/>
      <c r="U68" s="120"/>
      <c r="V68" s="116"/>
      <c r="W68" s="116"/>
      <c r="X68" s="116"/>
      <c r="Y68" s="120"/>
      <c r="Z68" s="120"/>
      <c r="AA68" s="116"/>
      <c r="AB68" s="118"/>
      <c r="AC68" s="118"/>
      <c r="AD68" s="118">
        <v>5</v>
      </c>
      <c r="AE68" s="117"/>
      <c r="AF68" s="118">
        <v>10</v>
      </c>
      <c r="AG68" s="117"/>
      <c r="AH68" s="121"/>
      <c r="AI68" s="116"/>
      <c r="AJ68" s="116"/>
      <c r="AK68" s="116"/>
      <c r="AL68" s="116"/>
      <c r="AM68" s="116"/>
      <c r="AN68" s="121"/>
      <c r="AO68" s="116"/>
      <c r="AP68" s="116"/>
      <c r="AQ68" s="121"/>
      <c r="AR68" s="116"/>
      <c r="AS68" s="116"/>
      <c r="AT68" s="121"/>
    </row>
    <row r="69" spans="1:46" ht="21.1">
      <c r="A69" s="86" t="s">
        <v>618</v>
      </c>
      <c r="B69" s="239"/>
      <c r="C69" s="214"/>
      <c r="D69" s="133"/>
      <c r="E69" s="134"/>
      <c r="F69" s="135"/>
      <c r="G69" s="136"/>
      <c r="H69" s="96" t="s">
        <v>432</v>
      </c>
      <c r="I69" s="96" t="s">
        <v>433</v>
      </c>
      <c r="J69" s="104">
        <v>14</v>
      </c>
      <c r="K69" s="75" t="s">
        <v>383</v>
      </c>
      <c r="L69" s="75" t="s">
        <v>339</v>
      </c>
      <c r="M69" s="75" t="s">
        <v>339</v>
      </c>
      <c r="N69" s="75" t="s">
        <v>339</v>
      </c>
      <c r="O69" s="96" t="s">
        <v>339</v>
      </c>
      <c r="P69" s="105"/>
      <c r="Q69" s="105"/>
      <c r="R69" s="96" t="s">
        <v>803</v>
      </c>
      <c r="S69" s="128" t="s">
        <v>375</v>
      </c>
      <c r="T69" s="137">
        <v>14</v>
      </c>
      <c r="U69" s="110"/>
      <c r="V69" s="100">
        <v>15</v>
      </c>
      <c r="W69" s="100">
        <v>15</v>
      </c>
      <c r="X69" s="100" t="s">
        <v>916</v>
      </c>
      <c r="Y69" s="110" t="s">
        <v>717</v>
      </c>
      <c r="Z69" s="110" t="s">
        <v>379</v>
      </c>
      <c r="AA69" s="100">
        <v>15</v>
      </c>
      <c r="AB69" s="109"/>
      <c r="AC69" s="109" t="s">
        <v>803</v>
      </c>
      <c r="AD69" s="109" t="s">
        <v>803</v>
      </c>
      <c r="AE69" s="108"/>
      <c r="AF69" s="109"/>
      <c r="AG69" s="108"/>
      <c r="AH69" s="111"/>
      <c r="AI69" s="100"/>
      <c r="AJ69" s="100"/>
      <c r="AK69" s="100"/>
      <c r="AL69" s="100"/>
      <c r="AM69" s="100"/>
      <c r="AN69" s="111"/>
      <c r="AO69" s="100"/>
      <c r="AP69" s="100"/>
      <c r="AQ69" s="111"/>
      <c r="AR69" s="100"/>
      <c r="AS69" s="100"/>
      <c r="AT69" s="111"/>
    </row>
    <row r="70" spans="1:46" ht="16.3">
      <c r="A70" s="246" t="s">
        <v>1</v>
      </c>
      <c r="B70" s="240">
        <f>SUM(J70+K70+L70+M70+N70+S70+V70+W70+X70+AA70+AI70+AJ70+AI70+AM70+AP70+AQ70+AS70+AT70+AU70+AV70+AN70)</f>
        <v>6</v>
      </c>
      <c r="C70" s="215">
        <f>SUM(J70+K70+L70+M70+N70+S70+W70+X70+V70+AA70+AJ70+AI70+AJ70+AN70+AQ70+AM70+AT70+AU70+AV70+AW70+AP70+AS70)+49</f>
        <v>55</v>
      </c>
      <c r="D70" s="139"/>
      <c r="E70" s="140"/>
      <c r="F70" s="135"/>
      <c r="G70" s="136"/>
      <c r="H70" s="96"/>
      <c r="I70" s="96">
        <v>1</v>
      </c>
      <c r="J70" s="104">
        <v>1</v>
      </c>
      <c r="K70" s="75">
        <v>1</v>
      </c>
      <c r="L70" s="75"/>
      <c r="M70" s="75"/>
      <c r="N70" s="75"/>
      <c r="O70" s="96"/>
      <c r="P70" s="105"/>
      <c r="Q70" s="105"/>
      <c r="R70" s="96"/>
      <c r="S70" s="128"/>
      <c r="T70" s="137">
        <v>1</v>
      </c>
      <c r="U70" s="110"/>
      <c r="V70" s="100">
        <v>1</v>
      </c>
      <c r="W70" s="100">
        <v>1</v>
      </c>
      <c r="X70" s="100">
        <v>1</v>
      </c>
      <c r="Y70" s="110"/>
      <c r="Z70" s="110">
        <v>1</v>
      </c>
      <c r="AA70" s="100">
        <v>1</v>
      </c>
      <c r="AB70" s="109"/>
      <c r="AC70" s="109"/>
      <c r="AD70" s="109"/>
      <c r="AE70" s="108"/>
      <c r="AF70" s="109"/>
      <c r="AG70" s="108"/>
      <c r="AH70" s="111"/>
      <c r="AI70" s="100"/>
      <c r="AJ70" s="100"/>
      <c r="AK70" s="100"/>
      <c r="AL70" s="100"/>
      <c r="AM70" s="100"/>
      <c r="AN70" s="111"/>
      <c r="AO70" s="100"/>
      <c r="AP70" s="100"/>
      <c r="AQ70" s="111"/>
      <c r="AR70" s="100"/>
      <c r="AS70" s="100"/>
      <c r="AT70" s="111"/>
    </row>
    <row r="71" spans="1:46" ht="16.3">
      <c r="A71" s="246" t="s">
        <v>2</v>
      </c>
      <c r="B71" s="240">
        <f>SUM(J71+K71+L71+M71+N71+S71+V71+W71+X71+AA71+AI71+AJ71+AI71+AM71+AP71+AQ71+AS71+AT71+AU71+AV71)</f>
        <v>1</v>
      </c>
      <c r="C71" s="215">
        <f>SUM(J71+K71+L71+M71+N71+S71+W71+X71+V71+AA71+AJ71+AI71+AJ71+AN71+AQ71+AM71+AT71+AU71+AV71+AW71+AP71+AS71)+10</f>
        <v>11</v>
      </c>
      <c r="D71" s="139"/>
      <c r="E71" s="140"/>
      <c r="F71" s="135"/>
      <c r="G71" s="136"/>
      <c r="H71" s="96">
        <v>1</v>
      </c>
      <c r="I71" s="96"/>
      <c r="J71" s="104"/>
      <c r="K71" s="75"/>
      <c r="L71" s="75"/>
      <c r="M71" s="75"/>
      <c r="N71" s="75"/>
      <c r="O71" s="96"/>
      <c r="P71" s="105"/>
      <c r="Q71" s="105"/>
      <c r="R71" s="96"/>
      <c r="S71" s="128">
        <v>1</v>
      </c>
      <c r="T71" s="137"/>
      <c r="U71" s="110"/>
      <c r="V71" s="100"/>
      <c r="W71" s="100"/>
      <c r="X71" s="100"/>
      <c r="Y71" s="110"/>
      <c r="Z71" s="110"/>
      <c r="AA71" s="100"/>
      <c r="AB71" s="109"/>
      <c r="AC71" s="109"/>
      <c r="AD71" s="109"/>
      <c r="AE71" s="108"/>
      <c r="AF71" s="109"/>
      <c r="AG71" s="108"/>
      <c r="AH71" s="111"/>
      <c r="AI71" s="100"/>
      <c r="AJ71" s="100"/>
      <c r="AK71" s="100"/>
      <c r="AL71" s="100"/>
      <c r="AM71" s="100"/>
      <c r="AN71" s="111"/>
      <c r="AO71" s="100"/>
      <c r="AP71" s="100"/>
      <c r="AQ71" s="111"/>
      <c r="AR71" s="100"/>
      <c r="AS71" s="100"/>
      <c r="AT71" s="111"/>
    </row>
    <row r="72" spans="1:46" ht="16.3">
      <c r="A72" s="91" t="s">
        <v>363</v>
      </c>
      <c r="B72" s="239">
        <f>SUM(B70+B71)</f>
        <v>7</v>
      </c>
      <c r="C72" s="214">
        <f>SUM(C70+C71)</f>
        <v>66</v>
      </c>
      <c r="D72" s="133"/>
      <c r="E72" s="134"/>
      <c r="F72" s="135"/>
      <c r="G72" s="136"/>
      <c r="H72" s="96"/>
      <c r="I72" s="96"/>
      <c r="J72" s="104"/>
      <c r="K72" s="75"/>
      <c r="L72" s="75"/>
      <c r="M72" s="75"/>
      <c r="N72" s="75"/>
      <c r="O72" s="96"/>
      <c r="P72" s="105"/>
      <c r="Q72" s="105"/>
      <c r="R72" s="96"/>
      <c r="S72" s="128"/>
      <c r="T72" s="137"/>
      <c r="U72" s="110"/>
      <c r="V72" s="100"/>
      <c r="W72" s="100"/>
      <c r="X72" s="100"/>
      <c r="Y72" s="110"/>
      <c r="Z72" s="110"/>
      <c r="AA72" s="100"/>
      <c r="AB72" s="109"/>
      <c r="AC72" s="109"/>
      <c r="AD72" s="109"/>
      <c r="AE72" s="108"/>
      <c r="AF72" s="109"/>
      <c r="AG72" s="108"/>
      <c r="AH72" s="111"/>
      <c r="AI72" s="100"/>
      <c r="AJ72" s="100"/>
      <c r="AK72" s="100"/>
      <c r="AL72" s="100"/>
      <c r="AM72" s="100"/>
      <c r="AN72" s="111"/>
      <c r="AO72" s="100"/>
      <c r="AP72" s="100"/>
      <c r="AQ72" s="111"/>
      <c r="AR72" s="100"/>
      <c r="AS72" s="100"/>
      <c r="AT72" s="111"/>
    </row>
    <row r="73" spans="1:46" ht="16.3">
      <c r="A73" s="246" t="s">
        <v>362</v>
      </c>
      <c r="B73" s="240">
        <f t="shared" ref="B73:B75" si="24">SUM(J73+K73+L73+M73+N73+S73+V73+W73+X73+AA73+AI73+AJ73+AI73+AM73+AP73+AQ73+AS73+AT73+AU73+AV73)</f>
        <v>0</v>
      </c>
      <c r="C73" s="215">
        <f>SUM(J73+K73+L73+M73+N73+S73+W73+X73+V73+AA73+AJ73+AI73+AJ73+AN73+AQ73+AM73+AT73+AU73+AV73+AW73+AP73+AS73)+2</f>
        <v>2</v>
      </c>
      <c r="D73" s="139"/>
      <c r="E73" s="140"/>
      <c r="F73" s="135"/>
      <c r="G73" s="136"/>
      <c r="H73" s="96"/>
      <c r="I73" s="96">
        <v>1</v>
      </c>
      <c r="J73" s="104"/>
      <c r="K73" s="75"/>
      <c r="L73" s="75"/>
      <c r="M73" s="75"/>
      <c r="N73" s="75"/>
      <c r="O73" s="96"/>
      <c r="P73" s="105"/>
      <c r="Q73" s="105"/>
      <c r="R73" s="96"/>
      <c r="S73" s="128"/>
      <c r="T73" s="137"/>
      <c r="U73" s="110"/>
      <c r="V73" s="100"/>
      <c r="W73" s="100"/>
      <c r="X73" s="100"/>
      <c r="Y73" s="110"/>
      <c r="Z73" s="110"/>
      <c r="AA73" s="100"/>
      <c r="AB73" s="109"/>
      <c r="AC73" s="109"/>
      <c r="AD73" s="109"/>
      <c r="AE73" s="108"/>
      <c r="AF73" s="109"/>
      <c r="AG73" s="108"/>
      <c r="AH73" s="111"/>
      <c r="AI73" s="100"/>
      <c r="AJ73" s="100"/>
      <c r="AK73" s="100"/>
      <c r="AL73" s="100"/>
      <c r="AM73" s="100"/>
      <c r="AN73" s="111"/>
      <c r="AO73" s="100"/>
      <c r="AP73" s="100"/>
      <c r="AQ73" s="111"/>
      <c r="AR73" s="100"/>
      <c r="AS73" s="100"/>
      <c r="AT73" s="111"/>
    </row>
    <row r="74" spans="1:46" ht="16.3">
      <c r="A74" s="91" t="s">
        <v>3</v>
      </c>
      <c r="B74" s="239">
        <f t="shared" si="24"/>
        <v>4</v>
      </c>
      <c r="C74" s="214">
        <f>SUM(J74+K74+L74+M74+N74+S74+W74+X74+V74+AA74+AJ74+AI74+AJ74+AN74+AQ74+AM74+AT74+AU74+AV74+AW74+AP74+AS74)+31</f>
        <v>35</v>
      </c>
      <c r="D74" s="133"/>
      <c r="E74" s="134"/>
      <c r="F74" s="135"/>
      <c r="G74" s="136"/>
      <c r="H74" s="96"/>
      <c r="I74" s="96">
        <v>1</v>
      </c>
      <c r="J74" s="104">
        <v>1</v>
      </c>
      <c r="K74" s="75"/>
      <c r="L74" s="75"/>
      <c r="M74" s="75"/>
      <c r="N74" s="75"/>
      <c r="O74" s="96"/>
      <c r="P74" s="105"/>
      <c r="Q74" s="105"/>
      <c r="R74" s="96"/>
      <c r="S74" s="128"/>
      <c r="T74" s="137">
        <v>1</v>
      </c>
      <c r="U74" s="110"/>
      <c r="V74" s="100">
        <v>1</v>
      </c>
      <c r="W74" s="100">
        <v>2</v>
      </c>
      <c r="X74" s="100"/>
      <c r="Y74" s="110"/>
      <c r="Z74" s="110"/>
      <c r="AA74" s="100"/>
      <c r="AB74" s="109"/>
      <c r="AC74" s="109"/>
      <c r="AD74" s="109"/>
      <c r="AE74" s="108"/>
      <c r="AF74" s="109"/>
      <c r="AG74" s="108"/>
      <c r="AH74" s="111"/>
      <c r="AI74" s="100"/>
      <c r="AJ74" s="100"/>
      <c r="AK74" s="100"/>
      <c r="AL74" s="100"/>
      <c r="AM74" s="100"/>
      <c r="AN74" s="111"/>
      <c r="AO74" s="100"/>
      <c r="AP74" s="100"/>
      <c r="AQ74" s="111"/>
      <c r="AR74" s="100"/>
      <c r="AS74" s="100"/>
      <c r="AT74" s="111"/>
    </row>
    <row r="75" spans="1:46" ht="17" thickBot="1">
      <c r="A75" s="92" t="s">
        <v>4</v>
      </c>
      <c r="B75" s="241">
        <f t="shared" si="24"/>
        <v>20</v>
      </c>
      <c r="C75" s="217">
        <f>SUM(J75+K75+L75+M75+N75+S75+W75+X75+V75+AA75+AJ75+AI75+AJ75+AN75+AQ75+AM75+AT75+AU75+AV75+AW75+AP75+AS75)+155</f>
        <v>175</v>
      </c>
      <c r="D75" s="144"/>
      <c r="E75" s="145"/>
      <c r="F75" s="146"/>
      <c r="G75" s="147"/>
      <c r="H75" s="114"/>
      <c r="I75" s="114">
        <v>5</v>
      </c>
      <c r="J75" s="113">
        <v>5</v>
      </c>
      <c r="K75" s="112"/>
      <c r="L75" s="112"/>
      <c r="M75" s="112"/>
      <c r="N75" s="112"/>
      <c r="O75" s="114"/>
      <c r="P75" s="127"/>
      <c r="Q75" s="127"/>
      <c r="R75" s="114"/>
      <c r="S75" s="129"/>
      <c r="T75" s="148">
        <v>5</v>
      </c>
      <c r="U75" s="120"/>
      <c r="V75" s="116">
        <v>5</v>
      </c>
      <c r="W75" s="116">
        <v>10</v>
      </c>
      <c r="X75" s="116"/>
      <c r="Y75" s="120"/>
      <c r="Z75" s="120"/>
      <c r="AA75" s="116"/>
      <c r="AB75" s="118"/>
      <c r="AC75" s="118"/>
      <c r="AD75" s="118"/>
      <c r="AE75" s="117"/>
      <c r="AF75" s="118"/>
      <c r="AG75" s="117"/>
      <c r="AH75" s="121"/>
      <c r="AI75" s="116"/>
      <c r="AJ75" s="116"/>
      <c r="AK75" s="116"/>
      <c r="AL75" s="116"/>
      <c r="AM75" s="116"/>
      <c r="AN75" s="121"/>
      <c r="AO75" s="116"/>
      <c r="AP75" s="116"/>
      <c r="AQ75" s="121"/>
      <c r="AR75" s="116"/>
      <c r="AS75" s="116"/>
      <c r="AT75" s="121"/>
    </row>
    <row r="76" spans="1:46" ht="21.1">
      <c r="A76" s="86" t="s">
        <v>54</v>
      </c>
      <c r="B76" s="239"/>
      <c r="C76" s="214"/>
      <c r="D76" s="133"/>
      <c r="E76" s="134"/>
      <c r="F76" s="135"/>
      <c r="G76" s="136"/>
      <c r="H76" s="96" t="s">
        <v>339</v>
      </c>
      <c r="I76" s="96" t="s">
        <v>339</v>
      </c>
      <c r="J76" s="104" t="s">
        <v>339</v>
      </c>
      <c r="K76" s="75" t="s">
        <v>339</v>
      </c>
      <c r="L76" s="75" t="s">
        <v>377</v>
      </c>
      <c r="M76" s="75" t="s">
        <v>717</v>
      </c>
      <c r="N76" s="75">
        <v>14</v>
      </c>
      <c r="O76" s="96">
        <v>13</v>
      </c>
      <c r="P76" s="105"/>
      <c r="Q76" s="105"/>
      <c r="R76" s="96">
        <v>14</v>
      </c>
      <c r="S76" s="75" t="s">
        <v>383</v>
      </c>
      <c r="T76" s="106" t="s">
        <v>339</v>
      </c>
      <c r="U76" s="106" t="s">
        <v>339</v>
      </c>
      <c r="V76" s="100" t="s">
        <v>339</v>
      </c>
      <c r="W76" s="100" t="s">
        <v>339</v>
      </c>
      <c r="X76" s="100" t="s">
        <v>339</v>
      </c>
      <c r="Y76" s="110" t="s">
        <v>339</v>
      </c>
      <c r="Z76" s="110" t="s">
        <v>339</v>
      </c>
      <c r="AA76" s="100" t="s">
        <v>339</v>
      </c>
      <c r="AB76" s="109">
        <v>12</v>
      </c>
      <c r="AC76" s="109" t="s">
        <v>383</v>
      </c>
      <c r="AD76" s="109"/>
      <c r="AE76" s="108"/>
      <c r="AF76" s="109">
        <v>13</v>
      </c>
      <c r="AG76" s="108"/>
      <c r="AH76" s="111"/>
      <c r="AI76" s="100"/>
      <c r="AJ76" s="100"/>
      <c r="AK76" s="100"/>
      <c r="AL76" s="100"/>
      <c r="AM76" s="100"/>
      <c r="AN76" s="111"/>
      <c r="AO76" s="100"/>
      <c r="AP76" s="100"/>
      <c r="AQ76" s="111"/>
      <c r="AR76" s="100"/>
      <c r="AS76" s="100"/>
      <c r="AT76" s="111"/>
    </row>
    <row r="77" spans="1:46" ht="16.3">
      <c r="A77" s="246" t="s">
        <v>1</v>
      </c>
      <c r="B77" s="240">
        <f>SUM(J77+K77+L77+M77+N77+S77+V77+W77+X77+AA77+AI77+AJ77+AI77+AM77+AP77+AQ77+AS77+AT77+AU77+AV77+AN77)+19</f>
        <v>22</v>
      </c>
      <c r="C77" s="215">
        <f>SUM(J77+K77+L77+M77+N77+S77+W77+X77+V77+AA77+AJ77+AI77+AJ77+AN77+AQ77+AM77+AT77+AU77+AV77+AW77+AP77+AS77)+19</f>
        <v>22</v>
      </c>
      <c r="D77" s="133"/>
      <c r="E77" s="134"/>
      <c r="F77" s="135"/>
      <c r="G77" s="136"/>
      <c r="H77" s="96"/>
      <c r="I77" s="96"/>
      <c r="J77" s="104"/>
      <c r="K77" s="75"/>
      <c r="L77" s="75">
        <v>1</v>
      </c>
      <c r="M77" s="75"/>
      <c r="N77" s="75">
        <v>1</v>
      </c>
      <c r="O77" s="96">
        <v>1</v>
      </c>
      <c r="P77" s="105"/>
      <c r="Q77" s="105"/>
      <c r="R77" s="96">
        <v>1</v>
      </c>
      <c r="S77" s="128">
        <v>1</v>
      </c>
      <c r="T77" s="137"/>
      <c r="U77" s="110"/>
      <c r="V77" s="100"/>
      <c r="W77" s="100"/>
      <c r="X77" s="100"/>
      <c r="Y77" s="110"/>
      <c r="Z77" s="110"/>
      <c r="AA77" s="100"/>
      <c r="AB77" s="109">
        <v>1</v>
      </c>
      <c r="AC77" s="109">
        <v>1</v>
      </c>
      <c r="AD77" s="109"/>
      <c r="AE77" s="108"/>
      <c r="AF77" s="109">
        <v>1</v>
      </c>
      <c r="AG77" s="108"/>
      <c r="AH77" s="111"/>
      <c r="AI77" s="100"/>
      <c r="AJ77" s="100"/>
      <c r="AK77" s="100"/>
      <c r="AL77" s="100"/>
      <c r="AM77" s="100"/>
      <c r="AN77" s="111"/>
      <c r="AO77" s="100"/>
      <c r="AP77" s="100"/>
      <c r="AQ77" s="111"/>
      <c r="AR77" s="100"/>
      <c r="AS77" s="100"/>
      <c r="AT77" s="111"/>
    </row>
    <row r="78" spans="1:46" ht="16.3">
      <c r="A78" s="246" t="s">
        <v>2</v>
      </c>
      <c r="B78" s="240">
        <f>SUM(J78+K78+L78+M78+N78+S78+V78+W78+X78+AA78+AI78+AJ78+AI78+AM78+AP78+AQ78+AS78+AT78+AU78+AV78)+14</f>
        <v>14</v>
      </c>
      <c r="C78" s="215">
        <f>SUM(J78+K78+L78+M78+N78+S78+W78+X78+V78+AA78+AJ78+AI78+AJ78+AN78+AQ78+AM78+AT78+AU78+AV78+AW78+AP78+AS78)+14</f>
        <v>14</v>
      </c>
      <c r="D78" s="133"/>
      <c r="E78" s="134"/>
      <c r="F78" s="135"/>
      <c r="G78" s="136"/>
      <c r="H78" s="96"/>
      <c r="I78" s="96"/>
      <c r="J78" s="104"/>
      <c r="K78" s="75"/>
      <c r="L78" s="75"/>
      <c r="M78" s="75"/>
      <c r="N78" s="75"/>
      <c r="O78" s="96"/>
      <c r="P78" s="105"/>
      <c r="Q78" s="105"/>
      <c r="R78" s="96"/>
      <c r="S78" s="128"/>
      <c r="T78" s="137"/>
      <c r="U78" s="110"/>
      <c r="V78" s="100"/>
      <c r="W78" s="100"/>
      <c r="X78" s="100"/>
      <c r="Y78" s="110"/>
      <c r="Z78" s="110"/>
      <c r="AA78" s="100"/>
      <c r="AB78" s="109"/>
      <c r="AC78" s="109"/>
      <c r="AD78" s="109"/>
      <c r="AE78" s="108"/>
      <c r="AF78" s="109"/>
      <c r="AG78" s="108"/>
      <c r="AH78" s="111"/>
      <c r="AI78" s="100"/>
      <c r="AJ78" s="100"/>
      <c r="AK78" s="100"/>
      <c r="AL78" s="100"/>
      <c r="AM78" s="100"/>
      <c r="AN78" s="111"/>
      <c r="AO78" s="100"/>
      <c r="AP78" s="100"/>
      <c r="AQ78" s="111"/>
      <c r="AR78" s="100"/>
      <c r="AS78" s="100"/>
      <c r="AT78" s="111"/>
    </row>
    <row r="79" spans="1:46" ht="16.3">
      <c r="A79" s="91" t="s">
        <v>363</v>
      </c>
      <c r="B79" s="239">
        <f>SUM(B77+B78)</f>
        <v>36</v>
      </c>
      <c r="C79" s="214">
        <f>SUM(C77+C78)</f>
        <v>36</v>
      </c>
      <c r="D79" s="133"/>
      <c r="E79" s="134"/>
      <c r="F79" s="135"/>
      <c r="G79" s="136"/>
      <c r="H79" s="96"/>
      <c r="I79" s="96"/>
      <c r="J79" s="104"/>
      <c r="K79" s="75"/>
      <c r="L79" s="75"/>
      <c r="M79" s="75"/>
      <c r="N79" s="75"/>
      <c r="O79" s="96"/>
      <c r="P79" s="105"/>
      <c r="Q79" s="105"/>
      <c r="R79" s="96"/>
      <c r="S79" s="128"/>
      <c r="T79" s="137"/>
      <c r="U79" s="110"/>
      <c r="V79" s="100"/>
      <c r="W79" s="100"/>
      <c r="X79" s="100"/>
      <c r="Y79" s="110"/>
      <c r="Z79" s="110"/>
      <c r="AA79" s="100"/>
      <c r="AB79" s="109"/>
      <c r="AC79" s="109"/>
      <c r="AD79" s="109"/>
      <c r="AE79" s="108"/>
      <c r="AF79" s="109"/>
      <c r="AG79" s="108"/>
      <c r="AH79" s="111"/>
      <c r="AI79" s="100"/>
      <c r="AJ79" s="100"/>
      <c r="AK79" s="100"/>
      <c r="AL79" s="100"/>
      <c r="AM79" s="100"/>
      <c r="AN79" s="111"/>
      <c r="AO79" s="100"/>
      <c r="AP79" s="100"/>
      <c r="AQ79" s="111"/>
      <c r="AR79" s="100"/>
      <c r="AS79" s="100"/>
      <c r="AT79" s="111"/>
    </row>
    <row r="80" spans="1:46" ht="16.3">
      <c r="A80" s="246" t="s">
        <v>362</v>
      </c>
      <c r="B80" s="240">
        <f>SUM(J80+K80+L80+M80+N80+S80+V80+W80+X80+AA80+AI80+AJ80+AI80+AM80+AP80+AQ80+AS80+AT80+AU80+AV80)+2</f>
        <v>2</v>
      </c>
      <c r="C80" s="215">
        <f>SUM(J80+K80+L80+M80+N80+S80+W80+X80+V80+AA80+AJ80+AI80+AJ80+AN80+AQ80+AM80+AT80+AU80+AV80+AW80+AP80+AS80)+2</f>
        <v>2</v>
      </c>
      <c r="D80" s="133"/>
      <c r="E80" s="134"/>
      <c r="F80" s="135"/>
      <c r="G80" s="136"/>
      <c r="H80" s="96"/>
      <c r="I80" s="96"/>
      <c r="J80" s="104"/>
      <c r="K80" s="75"/>
      <c r="L80" s="75"/>
      <c r="M80" s="75"/>
      <c r="N80" s="75"/>
      <c r="O80" s="96"/>
      <c r="P80" s="105"/>
      <c r="Q80" s="105"/>
      <c r="R80" s="96"/>
      <c r="S80" s="128"/>
      <c r="T80" s="137"/>
      <c r="U80" s="110"/>
      <c r="V80" s="100"/>
      <c r="W80" s="100"/>
      <c r="X80" s="100"/>
      <c r="Y80" s="110"/>
      <c r="Z80" s="110"/>
      <c r="AA80" s="100"/>
      <c r="AB80" s="109"/>
      <c r="AC80" s="109"/>
      <c r="AD80" s="109"/>
      <c r="AE80" s="108"/>
      <c r="AF80" s="109"/>
      <c r="AG80" s="108"/>
      <c r="AH80" s="111"/>
      <c r="AI80" s="100"/>
      <c r="AJ80" s="100"/>
      <c r="AK80" s="100"/>
      <c r="AL80" s="100"/>
      <c r="AM80" s="100"/>
      <c r="AN80" s="111"/>
      <c r="AO80" s="100"/>
      <c r="AP80" s="100"/>
      <c r="AQ80" s="111"/>
      <c r="AR80" s="100"/>
      <c r="AS80" s="100"/>
      <c r="AT80" s="111"/>
    </row>
    <row r="81" spans="1:46" ht="16.3">
      <c r="A81" s="246" t="s">
        <v>746</v>
      </c>
      <c r="B81" s="240">
        <f>SUM(J81+K81+L81+M81+N81+S81+V81+W81+X81+AA81+AI81+AJ81+AI81+AM81+AP81+AQ81+AS81+AT81+AU81+AV81)+1</f>
        <v>1</v>
      </c>
      <c r="C81" s="215">
        <f>SUM(J81+K81+L81+M81+N81+S81+W81+X81+V81+AA81+AJ81+AI81+AJ81+AN81+AQ81+AM81+AT81+AU81+AV81+AW81+AP81+AS81)+1</f>
        <v>1</v>
      </c>
      <c r="D81" s="133"/>
      <c r="E81" s="134"/>
      <c r="F81" s="135"/>
      <c r="G81" s="136"/>
      <c r="H81" s="96"/>
      <c r="I81" s="96"/>
      <c r="J81" s="104"/>
      <c r="K81" s="75"/>
      <c r="L81" s="75"/>
      <c r="M81" s="75"/>
      <c r="N81" s="75"/>
      <c r="O81" s="96"/>
      <c r="P81" s="105"/>
      <c r="Q81" s="105"/>
      <c r="R81" s="96"/>
      <c r="S81" s="128"/>
      <c r="T81" s="137"/>
      <c r="U81" s="110"/>
      <c r="V81" s="100"/>
      <c r="W81" s="100"/>
      <c r="X81" s="100"/>
      <c r="Y81" s="110"/>
      <c r="Z81" s="110"/>
      <c r="AA81" s="100"/>
      <c r="AB81" s="109"/>
      <c r="AC81" s="109"/>
      <c r="AD81" s="109"/>
      <c r="AE81" s="108"/>
      <c r="AF81" s="109"/>
      <c r="AG81" s="108"/>
      <c r="AH81" s="111"/>
      <c r="AI81" s="100"/>
      <c r="AJ81" s="100"/>
      <c r="AK81" s="100"/>
      <c r="AL81" s="100"/>
      <c r="AM81" s="100"/>
      <c r="AN81" s="111"/>
      <c r="AO81" s="100"/>
      <c r="AP81" s="100"/>
      <c r="AQ81" s="111"/>
      <c r="AR81" s="100"/>
      <c r="AS81" s="100"/>
      <c r="AT81" s="111"/>
    </row>
    <row r="82" spans="1:46" ht="16.3">
      <c r="A82" s="91" t="s">
        <v>3</v>
      </c>
      <c r="B82" s="239">
        <f>SUM(J82+K82+L82+M82+N82+S82+V82+W82+X82+AA82+AI82+AJ82+AI82+AM82+AP82+AQ82+AS82+AT82+AU82+AV82)+5</f>
        <v>5</v>
      </c>
      <c r="C82" s="214">
        <f>SUM(J82+K82+L82+M82+N82+S82+W82+X82+V82+AA82+AJ82+AI82+AJ82+AN82+AQ82+AM82+AT82+AU82+AV82+AW82+AP82+AS82)+5</f>
        <v>5</v>
      </c>
      <c r="D82" s="133"/>
      <c r="E82" s="134"/>
      <c r="F82" s="135"/>
      <c r="G82" s="136"/>
      <c r="H82" s="96"/>
      <c r="I82" s="96"/>
      <c r="J82" s="104"/>
      <c r="K82" s="75"/>
      <c r="L82" s="75"/>
      <c r="M82" s="75"/>
      <c r="N82" s="75"/>
      <c r="O82" s="96"/>
      <c r="P82" s="105"/>
      <c r="Q82" s="105"/>
      <c r="R82" s="96"/>
      <c r="S82" s="128"/>
      <c r="T82" s="137"/>
      <c r="U82" s="110"/>
      <c r="V82" s="100"/>
      <c r="W82" s="100"/>
      <c r="X82" s="100"/>
      <c r="Y82" s="110"/>
      <c r="Z82" s="110"/>
      <c r="AA82" s="100"/>
      <c r="AB82" s="109"/>
      <c r="AC82" s="109"/>
      <c r="AD82" s="109"/>
      <c r="AE82" s="108"/>
      <c r="AF82" s="109"/>
      <c r="AG82" s="108"/>
      <c r="AH82" s="422"/>
      <c r="AI82" s="100"/>
      <c r="AJ82" s="100"/>
      <c r="AK82" s="100"/>
      <c r="AL82" s="100"/>
      <c r="AM82" s="100"/>
      <c r="AN82" s="111"/>
      <c r="AO82" s="100"/>
      <c r="AP82" s="100"/>
      <c r="AQ82" s="111"/>
      <c r="AR82" s="100"/>
      <c r="AS82" s="100"/>
      <c r="AT82" s="111"/>
    </row>
    <row r="83" spans="1:46" ht="17" thickBot="1">
      <c r="A83" s="92" t="s">
        <v>4</v>
      </c>
      <c r="B83" s="241">
        <v>25</v>
      </c>
      <c r="C83" s="217">
        <f>SUM(J83+K83+L83+M83+N83+S83+W83+X83+V83+AA83+AJ83+AI83+AJ83+AN83+AQ83+AM83+AT83+AU83+AV83+AW83+AP83+AS83)+25</f>
        <v>25</v>
      </c>
      <c r="D83" s="144"/>
      <c r="E83" s="145"/>
      <c r="F83" s="146"/>
      <c r="G83" s="147"/>
      <c r="H83" s="506"/>
      <c r="I83" s="114"/>
      <c r="J83" s="104"/>
      <c r="K83" s="75"/>
      <c r="L83" s="75"/>
      <c r="M83" s="75"/>
      <c r="N83" s="75"/>
      <c r="O83" s="96"/>
      <c r="P83" s="105"/>
      <c r="Q83" s="105"/>
      <c r="R83" s="96"/>
      <c r="S83" s="128"/>
      <c r="T83" s="137"/>
      <c r="U83" s="110"/>
      <c r="V83" s="100"/>
      <c r="W83" s="100"/>
      <c r="X83" s="100"/>
      <c r="Y83" s="110"/>
      <c r="Z83" s="110"/>
      <c r="AA83" s="100"/>
      <c r="AB83" s="109"/>
      <c r="AC83" s="109"/>
      <c r="AD83" s="109"/>
      <c r="AE83" s="108"/>
      <c r="AF83" s="109"/>
      <c r="AG83" s="108"/>
      <c r="AH83" s="111"/>
      <c r="AI83" s="100"/>
      <c r="AJ83" s="100"/>
      <c r="AK83" s="100"/>
      <c r="AL83" s="100"/>
      <c r="AM83" s="100"/>
      <c r="AN83" s="111"/>
      <c r="AO83" s="100"/>
      <c r="AP83" s="100"/>
      <c r="AQ83" s="111"/>
      <c r="AR83" s="100"/>
      <c r="AS83" s="100"/>
      <c r="AT83" s="111"/>
    </row>
    <row r="84" spans="1:46" ht="21.1">
      <c r="A84" s="82" t="s">
        <v>299</v>
      </c>
      <c r="B84" s="239"/>
      <c r="C84" s="214"/>
      <c r="D84" s="133"/>
      <c r="E84" s="134"/>
      <c r="F84" s="135"/>
      <c r="G84" s="136"/>
      <c r="H84" s="96" t="s">
        <v>394</v>
      </c>
      <c r="I84" s="96" t="s">
        <v>394</v>
      </c>
      <c r="J84" s="123"/>
      <c r="K84" s="122"/>
      <c r="L84" s="122">
        <v>15</v>
      </c>
      <c r="M84" s="122">
        <v>15</v>
      </c>
      <c r="N84" s="122" t="s">
        <v>379</v>
      </c>
      <c r="O84" s="124" t="s">
        <v>375</v>
      </c>
      <c r="P84" s="180"/>
      <c r="Q84" s="180"/>
      <c r="R84" s="124" t="s">
        <v>394</v>
      </c>
      <c r="S84" s="165"/>
      <c r="T84" s="157"/>
      <c r="U84" s="101">
        <v>15</v>
      </c>
      <c r="V84" s="102"/>
      <c r="W84" s="102"/>
      <c r="X84" s="102"/>
      <c r="Y84" s="101"/>
      <c r="Z84" s="101"/>
      <c r="AA84" s="102"/>
      <c r="AB84" s="99">
        <v>13</v>
      </c>
      <c r="AC84" s="99">
        <v>13</v>
      </c>
      <c r="AD84" s="99">
        <v>13</v>
      </c>
      <c r="AE84" s="98"/>
      <c r="AF84" s="99" t="s">
        <v>375</v>
      </c>
      <c r="AG84" s="98"/>
      <c r="AH84" s="103"/>
      <c r="AI84" s="102"/>
      <c r="AJ84" s="102"/>
      <c r="AK84" s="102"/>
      <c r="AL84" s="102"/>
      <c r="AM84" s="102"/>
      <c r="AN84" s="103"/>
      <c r="AO84" s="102"/>
      <c r="AP84" s="102"/>
      <c r="AQ84" s="103"/>
      <c r="AR84" s="102"/>
      <c r="AS84" s="102"/>
      <c r="AT84" s="103"/>
    </row>
    <row r="85" spans="1:46" ht="16.3">
      <c r="A85" s="246" t="s">
        <v>1</v>
      </c>
      <c r="B85" s="240">
        <f>SUM(J85+K85+L85+M85+N85+S85+V85+W85+X85+AA85+AI85+AJ85+AI85+AM85+AP85+AQ85+AS85+AT85+AU85+AV85+AN85)</f>
        <v>3</v>
      </c>
      <c r="C85" s="215">
        <f>SUM(J85+K85+L85+M85+N85+S85+W85+X85+V85+AA85+AJ85+AI85+AJ85+AN85+AQ85+AM85+AT85+AU85+AV85+AW85+AP85+AS85)</f>
        <v>3</v>
      </c>
      <c r="D85" s="133"/>
      <c r="E85" s="134"/>
      <c r="F85" s="135"/>
      <c r="G85" s="136"/>
      <c r="H85" s="96"/>
      <c r="I85" s="96"/>
      <c r="J85" s="104"/>
      <c r="K85" s="75"/>
      <c r="L85" s="75">
        <v>1</v>
      </c>
      <c r="M85" s="75">
        <v>1</v>
      </c>
      <c r="N85" s="75">
        <v>1</v>
      </c>
      <c r="O85" s="96"/>
      <c r="P85" s="105"/>
      <c r="Q85" s="105"/>
      <c r="R85" s="96"/>
      <c r="S85" s="128"/>
      <c r="T85" s="137"/>
      <c r="U85" s="110">
        <v>1</v>
      </c>
      <c r="V85" s="100"/>
      <c r="W85" s="100"/>
      <c r="X85" s="100"/>
      <c r="Y85" s="110"/>
      <c r="Z85" s="110"/>
      <c r="AA85" s="100"/>
      <c r="AB85" s="109">
        <v>1</v>
      </c>
      <c r="AC85" s="109">
        <v>1</v>
      </c>
      <c r="AD85" s="109">
        <v>1</v>
      </c>
      <c r="AE85" s="108"/>
      <c r="AF85" s="109"/>
      <c r="AG85" s="108"/>
      <c r="AH85" s="111"/>
      <c r="AI85" s="100"/>
      <c r="AJ85" s="100"/>
      <c r="AK85" s="100"/>
      <c r="AL85" s="100"/>
      <c r="AM85" s="100"/>
      <c r="AN85" s="111"/>
      <c r="AO85" s="100"/>
      <c r="AP85" s="100"/>
      <c r="AQ85" s="111"/>
      <c r="AR85" s="100"/>
      <c r="AS85" s="100"/>
      <c r="AT85" s="111"/>
    </row>
    <row r="86" spans="1:46" ht="16.3">
      <c r="A86" s="246" t="s">
        <v>2</v>
      </c>
      <c r="B86" s="240">
        <f>SUM(J86+K86+L86+M86+N86+S86+V86+W86+X86+AA86+AI86+AJ86+AI86+AM86+AP86+AQ86+AS86+AT86+AU86+AV86)+9</f>
        <v>9</v>
      </c>
      <c r="C86" s="215">
        <f>SUM(J86+K86+L86+M86+N86+S86+W86+X86+V86+AA86+AJ86+AI86+AJ86+AN86+AQ86+AM86+AT86+AU86+AV86+AW86+AP86+AS86)+9</f>
        <v>9</v>
      </c>
      <c r="D86" s="133"/>
      <c r="E86" s="134"/>
      <c r="F86" s="135"/>
      <c r="G86" s="136"/>
      <c r="H86" s="96"/>
      <c r="I86" s="96"/>
      <c r="J86" s="104"/>
      <c r="K86" s="75"/>
      <c r="L86" s="75"/>
      <c r="M86" s="75"/>
      <c r="N86" s="75"/>
      <c r="O86" s="96">
        <v>1</v>
      </c>
      <c r="P86" s="105"/>
      <c r="Q86" s="105"/>
      <c r="R86" s="96"/>
      <c r="S86" s="128"/>
      <c r="T86" s="137"/>
      <c r="U86" s="110"/>
      <c r="V86" s="100"/>
      <c r="W86" s="100"/>
      <c r="X86" s="100"/>
      <c r="Y86" s="110"/>
      <c r="Z86" s="110"/>
      <c r="AA86" s="100"/>
      <c r="AB86" s="109"/>
      <c r="AC86" s="109"/>
      <c r="AD86" s="109"/>
      <c r="AE86" s="108"/>
      <c r="AF86" s="109">
        <v>1</v>
      </c>
      <c r="AG86" s="108"/>
      <c r="AH86" s="111"/>
      <c r="AI86" s="100"/>
      <c r="AJ86" s="100"/>
      <c r="AK86" s="100"/>
      <c r="AL86" s="100"/>
      <c r="AM86" s="100"/>
      <c r="AN86" s="111"/>
      <c r="AO86" s="100"/>
      <c r="AP86" s="100"/>
      <c r="AQ86" s="111"/>
      <c r="AR86" s="100"/>
      <c r="AS86" s="100"/>
      <c r="AT86" s="111"/>
    </row>
    <row r="87" spans="1:46" ht="16.3">
      <c r="A87" s="91" t="s">
        <v>363</v>
      </c>
      <c r="B87" s="239">
        <f>SUM(B85+B86)</f>
        <v>12</v>
      </c>
      <c r="C87" s="214">
        <f>SUM(C85+C86)</f>
        <v>12</v>
      </c>
      <c r="D87" s="133"/>
      <c r="E87" s="134"/>
      <c r="F87" s="135"/>
      <c r="G87" s="136"/>
      <c r="H87" s="96"/>
      <c r="I87" s="96"/>
      <c r="J87" s="104"/>
      <c r="K87" s="75"/>
      <c r="L87" s="75"/>
      <c r="M87" s="75"/>
      <c r="N87" s="75"/>
      <c r="O87" s="96"/>
      <c r="P87" s="105"/>
      <c r="Q87" s="105"/>
      <c r="R87" s="96"/>
      <c r="S87" s="128"/>
      <c r="T87" s="137"/>
      <c r="U87" s="110"/>
      <c r="V87" s="100"/>
      <c r="W87" s="100"/>
      <c r="X87" s="100"/>
      <c r="Y87" s="110"/>
      <c r="Z87" s="110"/>
      <c r="AA87" s="100"/>
      <c r="AB87" s="109"/>
      <c r="AC87" s="109"/>
      <c r="AD87" s="109"/>
      <c r="AE87" s="108"/>
      <c r="AF87" s="109"/>
      <c r="AG87" s="108"/>
      <c r="AH87" s="111"/>
      <c r="AI87" s="100"/>
      <c r="AJ87" s="100"/>
      <c r="AK87" s="100"/>
      <c r="AL87" s="100"/>
      <c r="AM87" s="100"/>
      <c r="AN87" s="111"/>
      <c r="AO87" s="100"/>
      <c r="AP87" s="100"/>
      <c r="AQ87" s="111"/>
      <c r="AR87" s="100"/>
      <c r="AS87" s="100"/>
      <c r="AT87" s="111"/>
    </row>
    <row r="88" spans="1:46" ht="16.3">
      <c r="A88" s="91" t="s">
        <v>3</v>
      </c>
      <c r="B88" s="239">
        <f>SUM(J88+K88+L88+M88+N88+S88+V88+W88+X88+AA88+AI88+AJ88+AI88+AM88+AP88+AQ88+AS88+AT88+AU88+AV88)</f>
        <v>0</v>
      </c>
      <c r="C88" s="214">
        <f>SUM(J88+K88+L88+M88+N88+S88+W88+X88+V88+AA88+AJ88+AI88+AJ88+AN88+AQ88+AM88+AT88+AU88+AV88+AW88+AP88+AS88)</f>
        <v>0</v>
      </c>
      <c r="D88" s="133"/>
      <c r="E88" s="134"/>
      <c r="F88" s="135"/>
      <c r="G88" s="136"/>
      <c r="H88" s="96"/>
      <c r="I88" s="96"/>
      <c r="J88" s="104"/>
      <c r="K88" s="75"/>
      <c r="L88" s="75"/>
      <c r="M88" s="75"/>
      <c r="N88" s="75"/>
      <c r="O88" s="96"/>
      <c r="P88" s="105"/>
      <c r="Q88" s="105"/>
      <c r="R88" s="96"/>
      <c r="S88" s="128"/>
      <c r="T88" s="137"/>
      <c r="U88" s="110"/>
      <c r="V88" s="100"/>
      <c r="W88" s="100"/>
      <c r="X88" s="100"/>
      <c r="Y88" s="110"/>
      <c r="Z88" s="110"/>
      <c r="AA88" s="100"/>
      <c r="AB88" s="109"/>
      <c r="AC88" s="109"/>
      <c r="AD88" s="109"/>
      <c r="AE88" s="108"/>
      <c r="AF88" s="109">
        <v>2</v>
      </c>
      <c r="AG88" s="108"/>
      <c r="AH88" s="111"/>
      <c r="AI88" s="100"/>
      <c r="AJ88" s="100"/>
      <c r="AK88" s="100"/>
      <c r="AL88" s="100"/>
      <c r="AM88" s="100"/>
      <c r="AN88" s="111"/>
      <c r="AO88" s="100"/>
      <c r="AP88" s="100"/>
      <c r="AQ88" s="111"/>
      <c r="AR88" s="100"/>
      <c r="AS88" s="100"/>
      <c r="AT88" s="111"/>
    </row>
    <row r="89" spans="1:46" ht="17" thickBot="1">
      <c r="A89" s="92" t="s">
        <v>4</v>
      </c>
      <c r="B89" s="241">
        <f>SUM(J89+K89+L89+M89+N89+S89+V89+W89+X89+AA89+AI89+AJ89+AI89+AM89+AP89+AQ89+AS89+AT89+AU89+AV89)</f>
        <v>0</v>
      </c>
      <c r="C89" s="217">
        <f>SUM(J89+K89+L89+M89+N89+S89+W89+X89+V89+AA89+AJ89+AI89+AJ89+AN89+AQ89+AM89+AT89+AU89+AV89+AW89+AP89+AS89)</f>
        <v>0</v>
      </c>
      <c r="D89" s="144"/>
      <c r="E89" s="145"/>
      <c r="F89" s="146"/>
      <c r="G89" s="147"/>
      <c r="H89" s="114"/>
      <c r="I89" s="114"/>
      <c r="J89" s="113"/>
      <c r="K89" s="112"/>
      <c r="L89" s="112"/>
      <c r="M89" s="112"/>
      <c r="N89" s="112"/>
      <c r="O89" s="114"/>
      <c r="P89" s="127"/>
      <c r="Q89" s="127"/>
      <c r="R89" s="114"/>
      <c r="S89" s="129"/>
      <c r="T89" s="148"/>
      <c r="U89" s="120"/>
      <c r="V89" s="116"/>
      <c r="W89" s="116"/>
      <c r="X89" s="116"/>
      <c r="Y89" s="120"/>
      <c r="Z89" s="120"/>
      <c r="AA89" s="116"/>
      <c r="AB89" s="118"/>
      <c r="AC89" s="118"/>
      <c r="AD89" s="118"/>
      <c r="AE89" s="117"/>
      <c r="AF89" s="118">
        <v>10</v>
      </c>
      <c r="AG89" s="117"/>
      <c r="AH89" s="121"/>
      <c r="AI89" s="116"/>
      <c r="AJ89" s="116"/>
      <c r="AK89" s="116"/>
      <c r="AL89" s="116"/>
      <c r="AM89" s="116"/>
      <c r="AN89" s="121"/>
      <c r="AO89" s="116"/>
      <c r="AP89" s="116"/>
      <c r="AQ89" s="121"/>
      <c r="AR89" s="116"/>
      <c r="AS89" s="116"/>
      <c r="AT89" s="121"/>
    </row>
    <row r="90" spans="1:46" ht="21.1">
      <c r="A90" s="82" t="s">
        <v>234</v>
      </c>
      <c r="B90" s="239"/>
      <c r="C90" s="214"/>
      <c r="D90" s="133"/>
      <c r="E90" s="134"/>
      <c r="F90" s="135"/>
      <c r="G90" s="136"/>
      <c r="H90" s="96">
        <v>14</v>
      </c>
      <c r="I90" s="96">
        <v>11</v>
      </c>
      <c r="J90" s="104"/>
      <c r="K90" s="75" t="s">
        <v>375</v>
      </c>
      <c r="L90" s="75"/>
      <c r="M90" s="75"/>
      <c r="N90" s="75"/>
      <c r="O90" s="96">
        <v>11</v>
      </c>
      <c r="P90" s="105"/>
      <c r="Q90" s="105"/>
      <c r="R90" s="96">
        <v>11</v>
      </c>
      <c r="S90" s="128" t="s">
        <v>375</v>
      </c>
      <c r="T90" s="137" t="s">
        <v>375</v>
      </c>
      <c r="U90" s="110" t="s">
        <v>367</v>
      </c>
      <c r="V90" s="100" t="s">
        <v>383</v>
      </c>
      <c r="W90" s="100" t="s">
        <v>339</v>
      </c>
      <c r="X90" s="100" t="s">
        <v>339</v>
      </c>
      <c r="Y90" s="110" t="s">
        <v>339</v>
      </c>
      <c r="Z90" s="110" t="s">
        <v>339</v>
      </c>
      <c r="AA90" s="100" t="s">
        <v>339</v>
      </c>
      <c r="AB90" s="109" t="s">
        <v>339</v>
      </c>
      <c r="AC90" s="109" t="s">
        <v>339</v>
      </c>
      <c r="AD90" s="109" t="s">
        <v>339</v>
      </c>
      <c r="AE90" s="108"/>
      <c r="AF90" s="109"/>
      <c r="AG90" s="108"/>
      <c r="AH90" s="111"/>
      <c r="AI90" s="100"/>
      <c r="AJ90" s="100"/>
      <c r="AK90" s="100"/>
      <c r="AL90" s="100"/>
      <c r="AM90" s="100"/>
      <c r="AN90" s="111"/>
      <c r="AO90" s="100"/>
      <c r="AP90" s="100"/>
      <c r="AQ90" s="111"/>
      <c r="AR90" s="100"/>
      <c r="AS90" s="100"/>
      <c r="AT90" s="111"/>
    </row>
    <row r="91" spans="1:46" ht="16.3">
      <c r="A91" s="246" t="s">
        <v>1</v>
      </c>
      <c r="B91" s="240">
        <f>SUM(J91+K91+L91+M91+N91+S91+V91+W91+X91+AA91+AI91+AJ91+AI91+AM91+AP91+AQ91+AS91+AT91+AU91+AV91+AN91)</f>
        <v>1</v>
      </c>
      <c r="C91" s="215">
        <f>SUM(J91+K91+L91+M91+N91+S91+W91+X91+V91+AA91+AJ91+AI91+AJ91+AN91+AQ91+AM91+AT91+AU91+AV91+AW91+AP91+AS91)</f>
        <v>1</v>
      </c>
      <c r="D91" s="133"/>
      <c r="E91" s="134"/>
      <c r="F91" s="135"/>
      <c r="G91" s="136"/>
      <c r="H91" s="96">
        <v>1</v>
      </c>
      <c r="I91" s="96">
        <v>1</v>
      </c>
      <c r="J91" s="104"/>
      <c r="K91" s="75"/>
      <c r="L91" s="75"/>
      <c r="M91" s="75"/>
      <c r="N91" s="75"/>
      <c r="O91" s="96">
        <v>1</v>
      </c>
      <c r="P91" s="105"/>
      <c r="Q91" s="105"/>
      <c r="R91" s="96">
        <v>1</v>
      </c>
      <c r="S91" s="128"/>
      <c r="T91" s="137"/>
      <c r="U91" s="110">
        <v>1</v>
      </c>
      <c r="V91" s="100">
        <v>1</v>
      </c>
      <c r="W91" s="100"/>
      <c r="X91" s="100"/>
      <c r="Y91" s="110"/>
      <c r="Z91" s="110"/>
      <c r="AA91" s="100"/>
      <c r="AB91" s="109"/>
      <c r="AC91" s="109"/>
      <c r="AD91" s="109"/>
      <c r="AE91" s="108"/>
      <c r="AF91" s="109"/>
      <c r="AG91" s="108"/>
      <c r="AH91" s="111"/>
      <c r="AI91" s="100"/>
      <c r="AJ91" s="100"/>
      <c r="AK91" s="100"/>
      <c r="AL91" s="100"/>
      <c r="AM91" s="100"/>
      <c r="AN91" s="111"/>
      <c r="AO91" s="100"/>
      <c r="AP91" s="100"/>
      <c r="AQ91" s="111"/>
      <c r="AR91" s="100"/>
      <c r="AS91" s="100"/>
      <c r="AT91" s="111"/>
    </row>
    <row r="92" spans="1:46" ht="16.3">
      <c r="A92" s="246" t="s">
        <v>2</v>
      </c>
      <c r="B92" s="240">
        <f>SUM(J92+K92+L92+M92+N92+S92+V92+W92+X92+AA92+AI92+AJ92+AI92+AM92+AP92+AQ92+AS92+AT92+AU92+AV92)</f>
        <v>2</v>
      </c>
      <c r="C92" s="215">
        <f>SUM(J92+K92+L92+M92+N92+S92+W92+X92+V92+AA92+AJ92+AI92+AJ92+AN92+AQ92+AM92+AT92+AU92+AV92+AW92+AP92+AS92)</f>
        <v>2</v>
      </c>
      <c r="D92" s="133"/>
      <c r="E92" s="134"/>
      <c r="F92" s="135"/>
      <c r="G92" s="136"/>
      <c r="H92" s="96"/>
      <c r="I92" s="96"/>
      <c r="J92" s="104"/>
      <c r="K92" s="75">
        <v>1</v>
      </c>
      <c r="L92" s="75"/>
      <c r="M92" s="75"/>
      <c r="N92" s="75"/>
      <c r="O92" s="96"/>
      <c r="P92" s="105"/>
      <c r="Q92" s="105"/>
      <c r="R92" s="96"/>
      <c r="S92" s="128">
        <v>1</v>
      </c>
      <c r="T92" s="137">
        <v>1</v>
      </c>
      <c r="U92" s="110"/>
      <c r="V92" s="100"/>
      <c r="W92" s="100"/>
      <c r="X92" s="100"/>
      <c r="Y92" s="110"/>
      <c r="Z92" s="110"/>
      <c r="AA92" s="100"/>
      <c r="AB92" s="109"/>
      <c r="AC92" s="109"/>
      <c r="AD92" s="109"/>
      <c r="AE92" s="108"/>
      <c r="AF92" s="109"/>
      <c r="AG92" s="108"/>
      <c r="AH92" s="111"/>
      <c r="AI92" s="100"/>
      <c r="AJ92" s="100"/>
      <c r="AK92" s="100"/>
      <c r="AL92" s="100"/>
      <c r="AM92" s="100"/>
      <c r="AN92" s="111"/>
      <c r="AO92" s="100"/>
      <c r="AP92" s="100"/>
      <c r="AQ92" s="111"/>
      <c r="AR92" s="100"/>
      <c r="AS92" s="100"/>
      <c r="AT92" s="111"/>
    </row>
    <row r="93" spans="1:46" ht="16.3">
      <c r="A93" s="91" t="s">
        <v>363</v>
      </c>
      <c r="B93" s="239">
        <f>SUM(B91+B92)</f>
        <v>3</v>
      </c>
      <c r="C93" s="214">
        <f>SUM(C91+C92)</f>
        <v>3</v>
      </c>
      <c r="D93" s="133"/>
      <c r="E93" s="134"/>
      <c r="F93" s="135"/>
      <c r="G93" s="136"/>
      <c r="H93" s="96"/>
      <c r="I93" s="96"/>
      <c r="J93" s="104"/>
      <c r="K93" s="75"/>
      <c r="L93" s="75"/>
      <c r="M93" s="75"/>
      <c r="N93" s="75"/>
      <c r="O93" s="96"/>
      <c r="P93" s="105"/>
      <c r="Q93" s="105"/>
      <c r="R93" s="96"/>
      <c r="S93" s="128"/>
      <c r="T93" s="137"/>
      <c r="U93" s="110"/>
      <c r="V93" s="100"/>
      <c r="W93" s="100"/>
      <c r="X93" s="100"/>
      <c r="Y93" s="110"/>
      <c r="Z93" s="110"/>
      <c r="AA93" s="100"/>
      <c r="AB93" s="109"/>
      <c r="AC93" s="109"/>
      <c r="AD93" s="109"/>
      <c r="AE93" s="108"/>
      <c r="AF93" s="109"/>
      <c r="AG93" s="108"/>
      <c r="AH93" s="111"/>
      <c r="AI93" s="100"/>
      <c r="AJ93" s="100"/>
      <c r="AK93" s="100"/>
      <c r="AL93" s="100"/>
      <c r="AM93" s="100"/>
      <c r="AN93" s="111"/>
      <c r="AO93" s="100"/>
      <c r="AP93" s="100"/>
      <c r="AQ93" s="111"/>
      <c r="AR93" s="100"/>
      <c r="AS93" s="100"/>
      <c r="AT93" s="111"/>
    </row>
    <row r="94" spans="1:46" ht="16.3">
      <c r="A94" s="91" t="s">
        <v>3</v>
      </c>
      <c r="B94" s="239">
        <f>SUM(J94+K94+L94+M94+N94+S94+V94+W94+X94+AA94+AI94+AJ94+AI94+AM94+AP94+AQ94+AS94+AT94+AU94+AV94)</f>
        <v>1</v>
      </c>
      <c r="C94" s="214">
        <f>SUM(J94+K94+L94+M94+N94+S94+W94+X94+V94+AA94+AJ94+AI94+AJ94+AN94+AQ94+AM94+AT94+AU94+AV94+AW94+AP94+AS94)</f>
        <v>1</v>
      </c>
      <c r="D94" s="133"/>
      <c r="E94" s="134"/>
      <c r="F94" s="135"/>
      <c r="G94" s="136"/>
      <c r="H94" s="96"/>
      <c r="I94" s="96"/>
      <c r="J94" s="104"/>
      <c r="K94" s="75"/>
      <c r="L94" s="75"/>
      <c r="M94" s="75"/>
      <c r="N94" s="75"/>
      <c r="O94" s="96"/>
      <c r="P94" s="105"/>
      <c r="Q94" s="105"/>
      <c r="R94" s="96">
        <v>2</v>
      </c>
      <c r="S94" s="128">
        <v>1</v>
      </c>
      <c r="T94" s="137"/>
      <c r="U94" s="110">
        <v>1</v>
      </c>
      <c r="V94" s="100"/>
      <c r="W94" s="100"/>
      <c r="X94" s="100"/>
      <c r="Y94" s="110"/>
      <c r="Z94" s="110"/>
      <c r="AA94" s="100"/>
      <c r="AB94" s="109"/>
      <c r="AC94" s="109"/>
      <c r="AD94" s="109"/>
      <c r="AE94" s="108"/>
      <c r="AF94" s="109"/>
      <c r="AG94" s="108"/>
      <c r="AH94" s="111"/>
      <c r="AI94" s="100"/>
      <c r="AJ94" s="100"/>
      <c r="AK94" s="100"/>
      <c r="AL94" s="100"/>
      <c r="AM94" s="100"/>
      <c r="AN94" s="111"/>
      <c r="AO94" s="100"/>
      <c r="AP94" s="100"/>
      <c r="AQ94" s="111"/>
      <c r="AR94" s="100"/>
      <c r="AS94" s="100"/>
      <c r="AT94" s="111"/>
    </row>
    <row r="95" spans="1:46" ht="17" thickBot="1">
      <c r="A95" s="92" t="s">
        <v>4</v>
      </c>
      <c r="B95" s="241">
        <f>SUM(J95+K95+L95+M95+N95+S95+V95+W95+X95+AA95+AI95+AJ95+AI95+AM95+AP95+AQ95+AS95+AT95+AU95+AV95)</f>
        <v>5</v>
      </c>
      <c r="C95" s="217">
        <f>SUM(J95+K95+L95+M95+N95+S95+W95+X95+V95+AA95+AJ95+AI95+AJ95+AN95+AQ95+AM95+AT95+AU95+AV95+AW95+AP95+AS95)</f>
        <v>5</v>
      </c>
      <c r="D95" s="144"/>
      <c r="E95" s="145"/>
      <c r="F95" s="146"/>
      <c r="G95" s="147"/>
      <c r="H95" s="114"/>
      <c r="I95" s="114"/>
      <c r="J95" s="113"/>
      <c r="K95" s="112"/>
      <c r="L95" s="112"/>
      <c r="M95" s="112"/>
      <c r="N95" s="112"/>
      <c r="O95" s="114"/>
      <c r="P95" s="127"/>
      <c r="Q95" s="127"/>
      <c r="R95" s="114">
        <v>10</v>
      </c>
      <c r="S95" s="129">
        <v>5</v>
      </c>
      <c r="T95" s="148"/>
      <c r="U95" s="120">
        <v>5</v>
      </c>
      <c r="V95" s="116"/>
      <c r="W95" s="116"/>
      <c r="X95" s="116"/>
      <c r="Y95" s="120"/>
      <c r="Z95" s="120"/>
      <c r="AA95" s="116"/>
      <c r="AB95" s="118"/>
      <c r="AC95" s="118"/>
      <c r="AD95" s="118"/>
      <c r="AE95" s="117"/>
      <c r="AF95" s="118"/>
      <c r="AG95" s="117"/>
      <c r="AH95" s="121"/>
      <c r="AI95" s="116"/>
      <c r="AJ95" s="116"/>
      <c r="AK95" s="116"/>
      <c r="AL95" s="116"/>
      <c r="AM95" s="116"/>
      <c r="AN95" s="121"/>
      <c r="AO95" s="116"/>
      <c r="AP95" s="116"/>
      <c r="AQ95" s="121"/>
      <c r="AR95" s="116"/>
      <c r="AS95" s="116"/>
      <c r="AT95" s="121"/>
    </row>
    <row r="96" spans="1:46" ht="21.1">
      <c r="A96" s="82" t="s">
        <v>284</v>
      </c>
      <c r="B96" s="239"/>
      <c r="C96" s="214"/>
      <c r="D96" s="133"/>
      <c r="E96" s="134"/>
      <c r="F96" s="135"/>
      <c r="G96" s="136"/>
      <c r="H96" s="96" t="s">
        <v>346</v>
      </c>
      <c r="I96" s="96" t="s">
        <v>346</v>
      </c>
      <c r="J96" s="75" t="s">
        <v>375</v>
      </c>
      <c r="K96" s="75">
        <v>11</v>
      </c>
      <c r="L96" s="75">
        <v>11</v>
      </c>
      <c r="M96" s="75">
        <v>11</v>
      </c>
      <c r="N96" s="75">
        <v>11</v>
      </c>
      <c r="O96" s="96"/>
      <c r="P96" s="105"/>
      <c r="Q96" s="105"/>
      <c r="R96" s="96"/>
      <c r="S96" s="128">
        <v>11</v>
      </c>
      <c r="T96" s="137">
        <v>11</v>
      </c>
      <c r="U96" s="110" t="s">
        <v>383</v>
      </c>
      <c r="V96" s="100" t="s">
        <v>367</v>
      </c>
      <c r="W96" s="100" t="s">
        <v>836</v>
      </c>
      <c r="X96" s="100">
        <v>11</v>
      </c>
      <c r="Y96" s="110">
        <v>11</v>
      </c>
      <c r="Z96" s="110">
        <v>11</v>
      </c>
      <c r="AA96" s="100">
        <v>11</v>
      </c>
      <c r="AB96" s="109"/>
      <c r="AC96" s="109"/>
      <c r="AD96" s="109"/>
      <c r="AE96" s="108"/>
      <c r="AF96" s="109" t="s">
        <v>383</v>
      </c>
      <c r="AG96" s="108"/>
      <c r="AH96" s="111"/>
      <c r="AI96" s="100"/>
      <c r="AJ96" s="100"/>
      <c r="AK96" s="100"/>
      <c r="AL96" s="100"/>
      <c r="AM96" s="100"/>
      <c r="AN96" s="111"/>
      <c r="AO96" s="100"/>
      <c r="AP96" s="100"/>
      <c r="AQ96" s="111"/>
      <c r="AR96" s="100"/>
      <c r="AS96" s="100"/>
      <c r="AT96" s="111"/>
    </row>
    <row r="97" spans="1:46" ht="16.3">
      <c r="A97" s="246" t="s">
        <v>1</v>
      </c>
      <c r="B97" s="240">
        <f>SUM(J97+K97+L97+M97+N97+S97+V97+W97+X97+AA97+AI97+AJ97+AI97+AM97+AP97+AQ97+AS97+AT97+AU97+AV97+AN97)+13</f>
        <v>22</v>
      </c>
      <c r="C97" s="215">
        <f>SUM(J97+K97+L97+M97+N97+S97+W97+X97+V97+AA97+AJ97+AI97+AJ97+AN97+AQ97+AM97+AT97+AU97+AV97+AW97+AP97+AS97)+13</f>
        <v>22</v>
      </c>
      <c r="D97" s="139"/>
      <c r="E97" s="140"/>
      <c r="F97" s="135"/>
      <c r="G97" s="136"/>
      <c r="H97" s="96"/>
      <c r="I97" s="96"/>
      <c r="J97" s="104"/>
      <c r="K97" s="75">
        <v>1</v>
      </c>
      <c r="L97" s="75">
        <v>1</v>
      </c>
      <c r="M97" s="75">
        <v>1</v>
      </c>
      <c r="N97" s="75">
        <v>1</v>
      </c>
      <c r="O97" s="96"/>
      <c r="P97" s="105"/>
      <c r="Q97" s="105"/>
      <c r="R97" s="96"/>
      <c r="S97" s="128">
        <v>1</v>
      </c>
      <c r="T97" s="137">
        <v>1</v>
      </c>
      <c r="U97" s="110">
        <v>1</v>
      </c>
      <c r="V97" s="100">
        <v>1</v>
      </c>
      <c r="W97" s="100">
        <v>1</v>
      </c>
      <c r="X97" s="100">
        <v>1</v>
      </c>
      <c r="Y97" s="110">
        <v>1</v>
      </c>
      <c r="Z97" s="110">
        <v>1</v>
      </c>
      <c r="AA97" s="100">
        <v>1</v>
      </c>
      <c r="AB97" s="109"/>
      <c r="AC97" s="109"/>
      <c r="AD97" s="109"/>
      <c r="AE97" s="108"/>
      <c r="AF97" s="109">
        <v>1</v>
      </c>
      <c r="AG97" s="108"/>
      <c r="AH97" s="111"/>
      <c r="AI97" s="100"/>
      <c r="AJ97" s="100"/>
      <c r="AK97" s="100"/>
      <c r="AL97" s="100"/>
      <c r="AM97" s="100"/>
      <c r="AN97" s="111"/>
      <c r="AO97" s="100"/>
      <c r="AP97" s="100"/>
      <c r="AQ97" s="111"/>
      <c r="AR97" s="100"/>
      <c r="AS97" s="100"/>
      <c r="AT97" s="111"/>
    </row>
    <row r="98" spans="1:46" ht="16.3">
      <c r="A98" s="246" t="s">
        <v>2</v>
      </c>
      <c r="B98" s="240">
        <f>SUM(J98+K98+L98+M98+N98+S98+V98+W98+X98+AA98+AI98+AJ98+AI98+AM98+AP98+AQ98+AS98+AT98+AU98+AV98)+6</f>
        <v>7</v>
      </c>
      <c r="C98" s="215">
        <f>SUM(J98+K98+L98+M98+N98+S98+W98+X98+V98+AA98+AJ98+AI98+AJ98+AN98+AQ98+AM98+AT98+AU98+AV98+AW98+AP98+AS98)+6</f>
        <v>7</v>
      </c>
      <c r="D98" s="139"/>
      <c r="E98" s="140"/>
      <c r="F98" s="135"/>
      <c r="G98" s="136"/>
      <c r="H98" s="96"/>
      <c r="I98" s="96"/>
      <c r="J98" s="104">
        <v>1</v>
      </c>
      <c r="K98" s="75"/>
      <c r="L98" s="75"/>
      <c r="M98" s="75"/>
      <c r="N98" s="75"/>
      <c r="O98" s="96"/>
      <c r="P98" s="105"/>
      <c r="Q98" s="105"/>
      <c r="R98" s="96"/>
      <c r="S98" s="128"/>
      <c r="T98" s="137"/>
      <c r="U98" s="110"/>
      <c r="V98" s="100"/>
      <c r="W98" s="100"/>
      <c r="X98" s="100"/>
      <c r="Y98" s="110"/>
      <c r="Z98" s="110"/>
      <c r="AA98" s="100"/>
      <c r="AB98" s="109"/>
      <c r="AC98" s="109"/>
      <c r="AD98" s="109"/>
      <c r="AE98" s="108"/>
      <c r="AF98" s="109"/>
      <c r="AG98" s="108"/>
      <c r="AH98" s="111"/>
      <c r="AI98" s="100"/>
      <c r="AJ98" s="100"/>
      <c r="AK98" s="100"/>
      <c r="AL98" s="100"/>
      <c r="AM98" s="100"/>
      <c r="AN98" s="111"/>
      <c r="AO98" s="100"/>
      <c r="AP98" s="100"/>
      <c r="AQ98" s="111"/>
      <c r="AR98" s="100"/>
      <c r="AS98" s="100"/>
      <c r="AT98" s="111"/>
    </row>
    <row r="99" spans="1:46" ht="16.3">
      <c r="A99" s="91" t="s">
        <v>363</v>
      </c>
      <c r="B99" s="239">
        <f>SUM(B97+B98)</f>
        <v>29</v>
      </c>
      <c r="C99" s="214">
        <f>SUM(C97+C98)</f>
        <v>29</v>
      </c>
      <c r="D99" s="133"/>
      <c r="E99" s="134"/>
      <c r="F99" s="135"/>
      <c r="G99" s="136"/>
      <c r="H99" s="96"/>
      <c r="I99" s="96"/>
      <c r="J99" s="104"/>
      <c r="K99" s="75"/>
      <c r="L99" s="75"/>
      <c r="M99" s="75"/>
      <c r="N99" s="75"/>
      <c r="O99" s="96"/>
      <c r="P99" s="105"/>
      <c r="Q99" s="105"/>
      <c r="R99" s="96"/>
      <c r="S99" s="128"/>
      <c r="T99" s="137"/>
      <c r="U99" s="110"/>
      <c r="V99" s="100"/>
      <c r="W99" s="100"/>
      <c r="X99" s="100"/>
      <c r="Y99" s="110"/>
      <c r="Z99" s="110"/>
      <c r="AA99" s="100"/>
      <c r="AB99" s="109"/>
      <c r="AC99" s="109"/>
      <c r="AD99" s="109"/>
      <c r="AE99" s="108"/>
      <c r="AF99" s="109"/>
      <c r="AG99" s="108"/>
      <c r="AH99" s="111"/>
      <c r="AI99" s="100"/>
      <c r="AJ99" s="100"/>
      <c r="AK99" s="100"/>
      <c r="AL99" s="100"/>
      <c r="AM99" s="100"/>
      <c r="AN99" s="111"/>
      <c r="AO99" s="100"/>
      <c r="AP99" s="100"/>
      <c r="AQ99" s="111"/>
      <c r="AR99" s="100"/>
      <c r="AS99" s="100"/>
      <c r="AT99" s="111"/>
    </row>
    <row r="100" spans="1:46" ht="16.3">
      <c r="A100" s="246" t="s">
        <v>362</v>
      </c>
      <c r="B100" s="240">
        <f>SUM(J100+K100+L100+M100+N100+S100+V100+W100+X100+AA100+AI100+AJ100+AI100+AM100+AP100+AQ100+AS100+AT100+AU100+AV100)+1</f>
        <v>2</v>
      </c>
      <c r="C100" s="215">
        <f>SUM(J100+K100+L100+M100+N100+S100+W100+X100+V100+AA100+AJ100+AI100+AJ100+AN100+AQ100+AM100+AT100+AU100+AV100+AW100+AP100+AS100)+1</f>
        <v>2</v>
      </c>
      <c r="D100" s="133"/>
      <c r="E100" s="134"/>
      <c r="F100" s="135"/>
      <c r="G100" s="136"/>
      <c r="H100" s="96"/>
      <c r="I100" s="96"/>
      <c r="J100" s="104"/>
      <c r="K100" s="75"/>
      <c r="L100" s="75"/>
      <c r="M100" s="75"/>
      <c r="N100" s="75"/>
      <c r="O100" s="96"/>
      <c r="P100" s="105"/>
      <c r="Q100" s="105"/>
      <c r="R100" s="96"/>
      <c r="S100" s="128"/>
      <c r="T100" s="137"/>
      <c r="U100" s="110"/>
      <c r="V100" s="100"/>
      <c r="W100" s="100">
        <v>1</v>
      </c>
      <c r="X100" s="100"/>
      <c r="Y100" s="110"/>
      <c r="Z100" s="110"/>
      <c r="AA100" s="100"/>
      <c r="AB100" s="109"/>
      <c r="AC100" s="109"/>
      <c r="AD100" s="109"/>
      <c r="AE100" s="108"/>
      <c r="AF100" s="109"/>
      <c r="AG100" s="108"/>
      <c r="AH100" s="111"/>
      <c r="AI100" s="100"/>
      <c r="AJ100" s="100"/>
      <c r="AK100" s="100"/>
      <c r="AL100" s="100"/>
      <c r="AM100" s="100"/>
      <c r="AN100" s="111"/>
      <c r="AO100" s="100"/>
      <c r="AP100" s="100"/>
      <c r="AQ100" s="111"/>
      <c r="AR100" s="100"/>
      <c r="AS100" s="100"/>
      <c r="AT100" s="111"/>
    </row>
    <row r="101" spans="1:46" ht="16.3">
      <c r="A101" s="91" t="s">
        <v>3</v>
      </c>
      <c r="B101" s="239">
        <f>SUM(J101+K101+L101+M101+N101+S101+V101+W101+X101+AA101+AI101+AJ101+AI101+AM101+AP101+AQ101+AS101+AT101+AU101+AV101)+11</f>
        <v>18</v>
      </c>
      <c r="C101" s="214">
        <f>SUM(J101+K101+L101+M101+N101+S101+W101+X101+V101+AA101+AJ101+AI101+AJ101+AN101+AQ101+AM101+AT101+AU101+AV101+AW101+AP101+AS101)+11</f>
        <v>18</v>
      </c>
      <c r="D101" s="133"/>
      <c r="E101" s="134"/>
      <c r="F101" s="135"/>
      <c r="G101" s="136"/>
      <c r="H101" s="96"/>
      <c r="I101" s="96"/>
      <c r="J101" s="104"/>
      <c r="K101" s="75"/>
      <c r="L101" s="75"/>
      <c r="M101" s="75">
        <v>2</v>
      </c>
      <c r="N101" s="75">
        <v>1</v>
      </c>
      <c r="O101" s="96"/>
      <c r="P101" s="105"/>
      <c r="Q101" s="105"/>
      <c r="R101" s="96"/>
      <c r="S101" s="128">
        <v>1</v>
      </c>
      <c r="T101" s="137"/>
      <c r="U101" s="110">
        <v>1</v>
      </c>
      <c r="V101" s="100">
        <v>1</v>
      </c>
      <c r="W101" s="100">
        <v>1</v>
      </c>
      <c r="X101" s="100">
        <v>1</v>
      </c>
      <c r="Y101" s="110">
        <v>2</v>
      </c>
      <c r="Z101" s="110"/>
      <c r="AA101" s="100"/>
      <c r="AB101" s="109"/>
      <c r="AC101" s="109"/>
      <c r="AD101" s="109"/>
      <c r="AE101" s="108"/>
      <c r="AF101" s="109"/>
      <c r="AG101" s="108"/>
      <c r="AH101" s="111"/>
      <c r="AI101" s="100"/>
      <c r="AJ101" s="100"/>
      <c r="AK101" s="100"/>
      <c r="AL101" s="100"/>
      <c r="AM101" s="100"/>
      <c r="AN101" s="111"/>
      <c r="AO101" s="100"/>
      <c r="AP101" s="100"/>
      <c r="AQ101" s="111"/>
      <c r="AR101" s="100"/>
      <c r="AS101" s="100"/>
      <c r="AT101" s="111"/>
    </row>
    <row r="102" spans="1:46" ht="17" thickBot="1">
      <c r="A102" s="92" t="s">
        <v>4</v>
      </c>
      <c r="B102" s="241">
        <f>SUM(J102+K102+L102+M102+N102+S102+V102+W102+X102+AA102+AI102+AJ102+AI102+AM102+AP102+AQ102+AS102+AT102+AU102+AV102)+55</f>
        <v>90</v>
      </c>
      <c r="C102" s="217">
        <f>SUM(J102+K102+L102+M102+N102+S102+W102+X102+V102+AA102+AJ102+AI102+AJ102+AN102+AQ102+AM102+AT102+AU102+AV102+AW102+AP102+AS102)+55</f>
        <v>90</v>
      </c>
      <c r="D102" s="144"/>
      <c r="E102" s="145"/>
      <c r="F102" s="146"/>
      <c r="G102" s="147"/>
      <c r="H102" s="114"/>
      <c r="I102" s="114"/>
      <c r="J102" s="113"/>
      <c r="K102" s="112"/>
      <c r="L102" s="112"/>
      <c r="M102" s="112">
        <v>10</v>
      </c>
      <c r="N102" s="112">
        <v>5</v>
      </c>
      <c r="O102" s="114"/>
      <c r="P102" s="127"/>
      <c r="Q102" s="127"/>
      <c r="R102" s="114"/>
      <c r="S102" s="129">
        <v>5</v>
      </c>
      <c r="T102" s="148"/>
      <c r="U102" s="120">
        <v>5</v>
      </c>
      <c r="V102" s="116">
        <v>5</v>
      </c>
      <c r="W102" s="116">
        <v>5</v>
      </c>
      <c r="X102" s="116">
        <v>5</v>
      </c>
      <c r="Y102" s="120">
        <v>10</v>
      </c>
      <c r="Z102" s="120"/>
      <c r="AA102" s="116"/>
      <c r="AB102" s="118"/>
      <c r="AC102" s="118"/>
      <c r="AD102" s="118"/>
      <c r="AE102" s="117"/>
      <c r="AF102" s="118"/>
      <c r="AG102" s="117"/>
      <c r="AH102" s="121"/>
      <c r="AI102" s="116"/>
      <c r="AJ102" s="116"/>
      <c r="AK102" s="116"/>
      <c r="AL102" s="116"/>
      <c r="AM102" s="116"/>
      <c r="AN102" s="121"/>
      <c r="AO102" s="116"/>
      <c r="AP102" s="116"/>
      <c r="AQ102" s="121"/>
      <c r="AR102" s="116"/>
      <c r="AS102" s="116"/>
      <c r="AT102" s="121"/>
    </row>
    <row r="103" spans="1:46" ht="21.1">
      <c r="A103" s="82" t="s">
        <v>753</v>
      </c>
      <c r="B103" s="239"/>
      <c r="C103" s="214"/>
      <c r="D103" s="133"/>
      <c r="E103" s="134"/>
      <c r="F103" s="135"/>
      <c r="G103" s="136"/>
      <c r="H103" s="96"/>
      <c r="I103" s="96"/>
      <c r="J103" s="104"/>
      <c r="K103" s="75"/>
      <c r="L103" s="75"/>
      <c r="M103" s="75" t="s">
        <v>375</v>
      </c>
      <c r="N103" s="75" t="s">
        <v>393</v>
      </c>
      <c r="O103" s="96"/>
      <c r="P103" s="105"/>
      <c r="Q103" s="105"/>
      <c r="R103" s="96" t="s">
        <v>840</v>
      </c>
      <c r="S103" s="128"/>
      <c r="T103" s="137"/>
      <c r="U103" s="110"/>
      <c r="V103" s="100"/>
      <c r="W103" s="100"/>
      <c r="X103" s="100"/>
      <c r="Y103" s="110"/>
      <c r="Z103" s="110"/>
      <c r="AA103" s="100"/>
      <c r="AB103" s="109"/>
      <c r="AC103" s="109"/>
      <c r="AD103" s="109"/>
      <c r="AE103" s="108"/>
      <c r="AF103" s="109"/>
      <c r="AG103" s="108"/>
      <c r="AH103" s="111"/>
      <c r="AI103" s="100"/>
      <c r="AJ103" s="100"/>
      <c r="AK103" s="100"/>
      <c r="AL103" s="100"/>
      <c r="AM103" s="100"/>
      <c r="AN103" s="111"/>
      <c r="AO103" s="100"/>
      <c r="AP103" s="100"/>
      <c r="AQ103" s="111"/>
      <c r="AR103" s="100"/>
      <c r="AS103" s="100"/>
      <c r="AT103" s="111"/>
    </row>
    <row r="104" spans="1:46" ht="16.3">
      <c r="A104" s="246" t="s">
        <v>1</v>
      </c>
      <c r="B104" s="240">
        <f>SUM(J104+K104+L104+M104+N104+S104+V104+W104+X104+AA104+AI104+AJ104+AI104+AM104+AP104+AQ104+AS104+AT104+AU104+AV104+AN104)+17</f>
        <v>17</v>
      </c>
      <c r="C104" s="215">
        <f>B104</f>
        <v>17</v>
      </c>
      <c r="D104" s="133"/>
      <c r="E104" s="134"/>
      <c r="F104" s="135"/>
      <c r="G104" s="136"/>
      <c r="H104" s="96"/>
      <c r="I104" s="96"/>
      <c r="J104" s="104"/>
      <c r="K104" s="75"/>
      <c r="L104" s="75"/>
      <c r="M104" s="75"/>
      <c r="N104" s="75"/>
      <c r="O104" s="96"/>
      <c r="P104" s="105"/>
      <c r="Q104" s="105"/>
      <c r="R104" s="96"/>
      <c r="S104" s="128"/>
      <c r="T104" s="137"/>
      <c r="U104" s="110"/>
      <c r="V104" s="100"/>
      <c r="W104" s="100"/>
      <c r="X104" s="100"/>
      <c r="Y104" s="110"/>
      <c r="Z104" s="110"/>
      <c r="AA104" s="100"/>
      <c r="AB104" s="109"/>
      <c r="AC104" s="109"/>
      <c r="AD104" s="109"/>
      <c r="AE104" s="108"/>
      <c r="AF104" s="109"/>
      <c r="AG104" s="108"/>
      <c r="AH104" s="111"/>
      <c r="AI104" s="100"/>
      <c r="AJ104" s="100"/>
      <c r="AK104" s="100"/>
      <c r="AL104" s="100"/>
      <c r="AM104" s="100"/>
      <c r="AN104" s="111"/>
      <c r="AO104" s="100"/>
      <c r="AP104" s="100"/>
      <c r="AQ104" s="111"/>
      <c r="AR104" s="100"/>
      <c r="AS104" s="100"/>
      <c r="AT104" s="111"/>
    </row>
    <row r="105" spans="1:46" ht="16.3">
      <c r="A105" s="246" t="s">
        <v>2</v>
      </c>
      <c r="B105" s="240">
        <f>SUM(J105+K105+L105+M105+N105+S105+V105+W105+X105+AA105+AI105+AJ105+AI105+AM105+AP105+AQ105+AS105+AT105+AU105+AV105)+5</f>
        <v>6</v>
      </c>
      <c r="C105" s="215">
        <f t="shared" ref="C105:C108" si="25">B105</f>
        <v>6</v>
      </c>
      <c r="D105" s="133"/>
      <c r="E105" s="134"/>
      <c r="F105" s="135"/>
      <c r="G105" s="136"/>
      <c r="H105" s="96"/>
      <c r="I105" s="96"/>
      <c r="J105" s="104"/>
      <c r="K105" s="75"/>
      <c r="L105" s="75"/>
      <c r="M105" s="75">
        <v>1</v>
      </c>
      <c r="N105" s="75"/>
      <c r="O105" s="96"/>
      <c r="P105" s="105"/>
      <c r="Q105" s="105"/>
      <c r="R105" s="96"/>
      <c r="S105" s="128"/>
      <c r="T105" s="137"/>
      <c r="U105" s="110"/>
      <c r="V105" s="100"/>
      <c r="W105" s="100"/>
      <c r="X105" s="100"/>
      <c r="Y105" s="110"/>
      <c r="Z105" s="110"/>
      <c r="AA105" s="100"/>
      <c r="AB105" s="109"/>
      <c r="AC105" s="109"/>
      <c r="AD105" s="109"/>
      <c r="AE105" s="108"/>
      <c r="AF105" s="109"/>
      <c r="AG105" s="108"/>
      <c r="AH105" s="111"/>
      <c r="AI105" s="100"/>
      <c r="AJ105" s="100"/>
      <c r="AK105" s="100"/>
      <c r="AL105" s="100"/>
      <c r="AM105" s="100"/>
      <c r="AN105" s="111"/>
      <c r="AO105" s="100"/>
      <c r="AP105" s="100"/>
      <c r="AQ105" s="111"/>
      <c r="AR105" s="100"/>
      <c r="AS105" s="100"/>
      <c r="AT105" s="111"/>
    </row>
    <row r="106" spans="1:46" ht="16.3">
      <c r="A106" s="91" t="s">
        <v>363</v>
      </c>
      <c r="B106" s="239">
        <f>SUM(B104+B105)</f>
        <v>23</v>
      </c>
      <c r="C106" s="214">
        <f t="shared" si="25"/>
        <v>23</v>
      </c>
      <c r="D106" s="133"/>
      <c r="E106" s="134"/>
      <c r="F106" s="135"/>
      <c r="G106" s="136"/>
      <c r="H106" s="96"/>
      <c r="I106" s="96"/>
      <c r="J106" s="104"/>
      <c r="K106" s="75"/>
      <c r="L106" s="75"/>
      <c r="M106" s="75"/>
      <c r="N106" s="75"/>
      <c r="O106" s="96"/>
      <c r="P106" s="105"/>
      <c r="Q106" s="105"/>
      <c r="R106" s="96"/>
      <c r="S106" s="128"/>
      <c r="T106" s="137"/>
      <c r="U106" s="110"/>
      <c r="V106" s="100"/>
      <c r="W106" s="100"/>
      <c r="X106" s="100"/>
      <c r="Y106" s="110"/>
      <c r="Z106" s="110"/>
      <c r="AA106" s="100"/>
      <c r="AB106" s="109"/>
      <c r="AC106" s="109"/>
      <c r="AD106" s="109"/>
      <c r="AE106" s="108"/>
      <c r="AF106" s="109"/>
      <c r="AG106" s="108"/>
      <c r="AH106" s="111"/>
      <c r="AI106" s="100"/>
      <c r="AJ106" s="100"/>
      <c r="AK106" s="100"/>
      <c r="AL106" s="100"/>
      <c r="AM106" s="100"/>
      <c r="AN106" s="111"/>
      <c r="AO106" s="100"/>
      <c r="AP106" s="100"/>
      <c r="AQ106" s="111"/>
      <c r="AR106" s="100"/>
      <c r="AS106" s="100"/>
      <c r="AT106" s="111"/>
    </row>
    <row r="107" spans="1:46" ht="16.3">
      <c r="A107" s="91" t="s">
        <v>3</v>
      </c>
      <c r="B107" s="239">
        <f>SUM(J107+K107+L107+M107+N107+S107+V107+W107+X107+AA107+AI107+AJ107+AI107+AM107+AP107+AQ107+AS107+AT107+AU107+AV107)+10</f>
        <v>10</v>
      </c>
      <c r="C107" s="214">
        <f t="shared" si="25"/>
        <v>10</v>
      </c>
      <c r="D107" s="133"/>
      <c r="E107" s="134"/>
      <c r="F107" s="135"/>
      <c r="G107" s="136"/>
      <c r="H107" s="96"/>
      <c r="I107" s="96"/>
      <c r="J107" s="104"/>
      <c r="K107" s="75"/>
      <c r="L107" s="75"/>
      <c r="M107" s="75"/>
      <c r="N107" s="75"/>
      <c r="O107" s="96"/>
      <c r="P107" s="105"/>
      <c r="Q107" s="105"/>
      <c r="R107" s="96"/>
      <c r="S107" s="128"/>
      <c r="T107" s="137"/>
      <c r="U107" s="110"/>
      <c r="V107" s="100"/>
      <c r="W107" s="100"/>
      <c r="X107" s="100"/>
      <c r="Y107" s="110"/>
      <c r="Z107" s="110"/>
      <c r="AA107" s="100"/>
      <c r="AB107" s="109"/>
      <c r="AC107" s="109"/>
      <c r="AD107" s="109"/>
      <c r="AE107" s="108"/>
      <c r="AF107" s="109"/>
      <c r="AG107" s="108"/>
      <c r="AH107" s="111"/>
      <c r="AI107" s="100"/>
      <c r="AJ107" s="100"/>
      <c r="AK107" s="100"/>
      <c r="AL107" s="100"/>
      <c r="AM107" s="100"/>
      <c r="AN107" s="111"/>
      <c r="AO107" s="100"/>
      <c r="AP107" s="100"/>
      <c r="AQ107" s="111"/>
      <c r="AR107" s="100"/>
      <c r="AS107" s="100"/>
      <c r="AT107" s="111"/>
    </row>
    <row r="108" spans="1:46" ht="17" thickBot="1">
      <c r="A108" s="92" t="s">
        <v>4</v>
      </c>
      <c r="B108" s="241">
        <f>SUM(J108+K108+L108+M108+N108+S108+V108+W108+X108+AA108+AI108+AJ108+AI108+AM108+AP108+AQ108+AS108+AT108+AU108+AV108)+50</f>
        <v>50</v>
      </c>
      <c r="C108" s="217">
        <f t="shared" si="25"/>
        <v>50</v>
      </c>
      <c r="D108" s="144"/>
      <c r="E108" s="145"/>
      <c r="F108" s="146"/>
      <c r="G108" s="147"/>
      <c r="H108" s="114"/>
      <c r="I108" s="114"/>
      <c r="J108" s="113"/>
      <c r="K108" s="112"/>
      <c r="L108" s="112"/>
      <c r="M108" s="112"/>
      <c r="N108" s="112"/>
      <c r="O108" s="114"/>
      <c r="P108" s="127"/>
      <c r="Q108" s="127"/>
      <c r="R108" s="114"/>
      <c r="S108" s="129"/>
      <c r="T108" s="148"/>
      <c r="U108" s="120"/>
      <c r="V108" s="116"/>
      <c r="W108" s="116"/>
      <c r="X108" s="116"/>
      <c r="Y108" s="120"/>
      <c r="Z108" s="120"/>
      <c r="AA108" s="116"/>
      <c r="AB108" s="118"/>
      <c r="AC108" s="118"/>
      <c r="AD108" s="118"/>
      <c r="AE108" s="117"/>
      <c r="AF108" s="118"/>
      <c r="AG108" s="117"/>
      <c r="AH108" s="121"/>
      <c r="AI108" s="116"/>
      <c r="AJ108" s="116"/>
      <c r="AK108" s="116"/>
      <c r="AL108" s="116"/>
      <c r="AM108" s="116"/>
      <c r="AN108" s="121"/>
      <c r="AO108" s="116"/>
      <c r="AP108" s="116"/>
      <c r="AQ108" s="121"/>
      <c r="AR108" s="116"/>
      <c r="AS108" s="116"/>
      <c r="AT108" s="121"/>
    </row>
    <row r="109" spans="1:46" ht="21.1">
      <c r="A109" s="82" t="s">
        <v>752</v>
      </c>
      <c r="B109" s="239"/>
      <c r="C109" s="214"/>
      <c r="D109" s="133"/>
      <c r="E109" s="134"/>
      <c r="F109" s="135"/>
      <c r="G109" s="136"/>
      <c r="H109" s="96"/>
      <c r="I109" s="96"/>
      <c r="J109" s="104"/>
      <c r="K109" s="75"/>
      <c r="L109" s="75"/>
      <c r="M109" s="75" t="s">
        <v>626</v>
      </c>
      <c r="N109" s="75">
        <v>13</v>
      </c>
      <c r="O109" s="96"/>
      <c r="P109" s="105"/>
      <c r="Q109" s="105"/>
      <c r="R109" s="96" t="s">
        <v>394</v>
      </c>
      <c r="S109" s="128"/>
      <c r="T109" s="137"/>
      <c r="U109" s="110"/>
      <c r="V109" s="100"/>
      <c r="W109" s="100" t="s">
        <v>377</v>
      </c>
      <c r="X109" s="100" t="s">
        <v>375</v>
      </c>
      <c r="Y109" s="110" t="s">
        <v>375</v>
      </c>
      <c r="Z109" s="110" t="s">
        <v>375</v>
      </c>
      <c r="AA109" s="100">
        <v>13</v>
      </c>
      <c r="AB109" s="109"/>
      <c r="AC109" s="109"/>
      <c r="AD109" s="109"/>
      <c r="AE109" s="108"/>
      <c r="AF109" s="109"/>
      <c r="AG109" s="108"/>
      <c r="AH109" s="111"/>
      <c r="AI109" s="100"/>
      <c r="AJ109" s="100"/>
      <c r="AK109" s="100"/>
      <c r="AL109" s="100"/>
      <c r="AM109" s="100"/>
      <c r="AN109" s="111"/>
      <c r="AO109" s="100"/>
      <c r="AP109" s="100"/>
      <c r="AQ109" s="111"/>
      <c r="AR109" s="100"/>
      <c r="AS109" s="100"/>
      <c r="AT109" s="111"/>
    </row>
    <row r="110" spans="1:46" ht="16.3">
      <c r="A110" s="246" t="s">
        <v>1</v>
      </c>
      <c r="B110" s="240">
        <f>SUM(J110+K110+L110+M110+N110+S110+V110+W110+X110+AA110+AI110+AJ110+AI110+AM110+AP110+AQ110+AS110+AT110+AU110+AV110+AN110)</f>
        <v>4</v>
      </c>
      <c r="C110" s="215">
        <f>SUM(K110+L110+M110+N110+S110+V110+W110+X110+AA110+AI110+AJ110+AM110+AJ110+AN110+AQ110+AP110+AT110+AU110+AV110+AS110)+43</f>
        <v>47</v>
      </c>
      <c r="D110" s="133"/>
      <c r="E110" s="134"/>
      <c r="F110" s="135"/>
      <c r="G110" s="136"/>
      <c r="H110" s="96"/>
      <c r="I110" s="96"/>
      <c r="J110" s="104"/>
      <c r="K110" s="75"/>
      <c r="L110" s="75"/>
      <c r="M110" s="75">
        <v>1</v>
      </c>
      <c r="N110" s="75">
        <v>1</v>
      </c>
      <c r="O110" s="96"/>
      <c r="P110" s="105"/>
      <c r="Q110" s="105"/>
      <c r="R110" s="96"/>
      <c r="S110" s="128"/>
      <c r="T110" s="137"/>
      <c r="U110" s="110"/>
      <c r="V110" s="100"/>
      <c r="W110" s="100">
        <v>1</v>
      </c>
      <c r="X110" s="100"/>
      <c r="Y110" s="110"/>
      <c r="Z110" s="110"/>
      <c r="AA110" s="100">
        <v>1</v>
      </c>
      <c r="AB110" s="109"/>
      <c r="AC110" s="109"/>
      <c r="AD110" s="109"/>
      <c r="AE110" s="108"/>
      <c r="AF110" s="109"/>
      <c r="AG110" s="108"/>
      <c r="AH110" s="111"/>
      <c r="AI110" s="100"/>
      <c r="AJ110" s="100"/>
      <c r="AK110" s="100"/>
      <c r="AL110" s="100"/>
      <c r="AM110" s="100"/>
      <c r="AN110" s="111"/>
      <c r="AO110" s="100"/>
      <c r="AP110" s="100"/>
      <c r="AQ110" s="111"/>
      <c r="AR110" s="100"/>
      <c r="AS110" s="100"/>
      <c r="AT110" s="111"/>
    </row>
    <row r="111" spans="1:46" ht="16.3">
      <c r="A111" s="246" t="s">
        <v>2</v>
      </c>
      <c r="B111" s="240">
        <f>SUM(J111+K111+L111+M111+N111+S111+V111+W111+X111+AA111+AI111+AJ111+AI111+AM111+AP111+AQ111+AS111+AT111+AU111+AV111)</f>
        <v>1</v>
      </c>
      <c r="C111" s="215">
        <f>SUM(K111+L111+M111+N111+S111+V111+W111+X111+AA111+AI111+AJ111+AM111+AJ111+AN111+AQ111+AP111+AT111+AU111+AV111+AS111)+9</f>
        <v>10</v>
      </c>
      <c r="D111" s="133"/>
      <c r="E111" s="134"/>
      <c r="F111" s="135"/>
      <c r="G111" s="136"/>
      <c r="H111" s="96"/>
      <c r="I111" s="96"/>
      <c r="J111" s="104"/>
      <c r="K111" s="75"/>
      <c r="L111" s="75"/>
      <c r="M111" s="75"/>
      <c r="N111" s="75"/>
      <c r="O111" s="96"/>
      <c r="P111" s="105"/>
      <c r="Q111" s="105"/>
      <c r="R111" s="96"/>
      <c r="S111" s="128"/>
      <c r="T111" s="137"/>
      <c r="U111" s="110"/>
      <c r="V111" s="100"/>
      <c r="W111" s="100"/>
      <c r="X111" s="100">
        <v>1</v>
      </c>
      <c r="Y111" s="110">
        <v>1</v>
      </c>
      <c r="Z111" s="110">
        <v>1</v>
      </c>
      <c r="AA111" s="100"/>
      <c r="AB111" s="109"/>
      <c r="AC111" s="109"/>
      <c r="AD111" s="109"/>
      <c r="AE111" s="108"/>
      <c r="AF111" s="109"/>
      <c r="AG111" s="108"/>
      <c r="AH111" s="111"/>
      <c r="AI111" s="100"/>
      <c r="AJ111" s="100"/>
      <c r="AK111" s="100"/>
      <c r="AL111" s="100"/>
      <c r="AM111" s="100"/>
      <c r="AN111" s="111"/>
      <c r="AO111" s="100"/>
      <c r="AP111" s="100"/>
      <c r="AQ111" s="111"/>
      <c r="AR111" s="100"/>
      <c r="AS111" s="100"/>
      <c r="AT111" s="111"/>
    </row>
    <row r="112" spans="1:46" ht="16.3">
      <c r="A112" s="91" t="s">
        <v>363</v>
      </c>
      <c r="B112" s="239">
        <f>SUM(B110+B111)</f>
        <v>5</v>
      </c>
      <c r="C112" s="214">
        <f>SUM(C110+C111)</f>
        <v>57</v>
      </c>
      <c r="D112" s="133"/>
      <c r="E112" s="134"/>
      <c r="F112" s="135"/>
      <c r="G112" s="136"/>
      <c r="H112" s="96"/>
      <c r="I112" s="96"/>
      <c r="J112" s="104"/>
      <c r="K112" s="75"/>
      <c r="L112" s="75"/>
      <c r="M112" s="75"/>
      <c r="N112" s="75"/>
      <c r="O112" s="96"/>
      <c r="P112" s="105"/>
      <c r="Q112" s="105"/>
      <c r="R112" s="96"/>
      <c r="S112" s="128"/>
      <c r="T112" s="137"/>
      <c r="U112" s="110"/>
      <c r="V112" s="100"/>
      <c r="W112" s="100"/>
      <c r="X112" s="100"/>
      <c r="Y112" s="110"/>
      <c r="Z112" s="110"/>
      <c r="AA112" s="100"/>
      <c r="AB112" s="109"/>
      <c r="AC112" s="109"/>
      <c r="AD112" s="109"/>
      <c r="AE112" s="108"/>
      <c r="AF112" s="109"/>
      <c r="AG112" s="108"/>
      <c r="AH112" s="111"/>
      <c r="AI112" s="100"/>
      <c r="AJ112" s="100"/>
      <c r="AK112" s="100"/>
      <c r="AL112" s="100"/>
      <c r="AM112" s="100"/>
      <c r="AN112" s="111"/>
      <c r="AO112" s="100"/>
      <c r="AP112" s="100"/>
      <c r="AQ112" s="111"/>
      <c r="AR112" s="100"/>
      <c r="AS112" s="100"/>
      <c r="AT112" s="111"/>
    </row>
    <row r="113" spans="1:46" ht="16.3">
      <c r="A113" s="246" t="s">
        <v>362</v>
      </c>
      <c r="B113" s="240">
        <f>SUM(J113+K113+L113+M113+N113+S113+V113+W113+X113+AA113+AI113+AJ113+AI113+AM113+AP113+AQ113+AS113+AT113+AU113+AV113)</f>
        <v>0</v>
      </c>
      <c r="C113" s="215">
        <f>SUM(K113+L113+M113+N113+S113+V113+W113+X113+AA113+AI113+AJ113+AM113+AJ113+AN113+AQ113+AP113+AT113+AU113+AV113+AS113)+1</f>
        <v>1</v>
      </c>
      <c r="D113" s="133"/>
      <c r="E113" s="134"/>
      <c r="F113" s="135"/>
      <c r="G113" s="136"/>
      <c r="H113" s="96"/>
      <c r="I113" s="96"/>
      <c r="J113" s="104"/>
      <c r="K113" s="75"/>
      <c r="L113" s="75"/>
      <c r="M113" s="75"/>
      <c r="N113" s="75"/>
      <c r="O113" s="96"/>
      <c r="P113" s="105"/>
      <c r="Q113" s="105"/>
      <c r="R113" s="96"/>
      <c r="S113" s="128"/>
      <c r="T113" s="137"/>
      <c r="U113" s="110"/>
      <c r="V113" s="100"/>
      <c r="W113" s="100"/>
      <c r="X113" s="100"/>
      <c r="Y113" s="110"/>
      <c r="Z113" s="110"/>
      <c r="AA113" s="100"/>
      <c r="AB113" s="109"/>
      <c r="AC113" s="109"/>
      <c r="AD113" s="109"/>
      <c r="AE113" s="108"/>
      <c r="AF113" s="109"/>
      <c r="AG113" s="108"/>
      <c r="AH113" s="111"/>
      <c r="AI113" s="100"/>
      <c r="AJ113" s="100"/>
      <c r="AK113" s="100"/>
      <c r="AL113" s="100"/>
      <c r="AM113" s="100"/>
      <c r="AN113" s="111"/>
      <c r="AO113" s="100"/>
      <c r="AP113" s="100"/>
      <c r="AQ113" s="111"/>
      <c r="AR113" s="100"/>
      <c r="AS113" s="100"/>
      <c r="AT113" s="111"/>
    </row>
    <row r="114" spans="1:46" ht="16.3">
      <c r="A114" s="91" t="s">
        <v>3</v>
      </c>
      <c r="B114" s="239">
        <f>SUM(J114+K114+L114+M114+N114+S114+V114+W114+X114+AA114+AI114+AJ114+AI114+AM114+AP114+AQ114+AS114+AT114+AU114+AV114)</f>
        <v>2</v>
      </c>
      <c r="C114" s="214">
        <f>SUM(K114+L114+M114+N114+S114+V114+W114+X114+AA114+AI114+AJ114+AM114+AJ114+AN114+AQ114+AP114+AT114+AU114+AV114+AS114)+5</f>
        <v>7</v>
      </c>
      <c r="D114" s="133"/>
      <c r="E114" s="134"/>
      <c r="F114" s="135"/>
      <c r="G114" s="136"/>
      <c r="H114" s="96"/>
      <c r="I114" s="96"/>
      <c r="J114" s="104"/>
      <c r="K114" s="75"/>
      <c r="L114" s="75"/>
      <c r="M114" s="75"/>
      <c r="N114" s="75"/>
      <c r="O114" s="96"/>
      <c r="P114" s="105"/>
      <c r="Q114" s="105"/>
      <c r="R114" s="96"/>
      <c r="S114" s="128"/>
      <c r="T114" s="137"/>
      <c r="U114" s="110"/>
      <c r="V114" s="100"/>
      <c r="W114" s="100">
        <v>1</v>
      </c>
      <c r="X114" s="100">
        <v>1</v>
      </c>
      <c r="Y114" s="110"/>
      <c r="Z114" s="110"/>
      <c r="AA114" s="100"/>
      <c r="AB114" s="109"/>
      <c r="AC114" s="109"/>
      <c r="AD114" s="109"/>
      <c r="AE114" s="108"/>
      <c r="AF114" s="109"/>
      <c r="AG114" s="108"/>
      <c r="AH114" s="111"/>
      <c r="AI114" s="100"/>
      <c r="AJ114" s="100"/>
      <c r="AK114" s="100"/>
      <c r="AL114" s="100"/>
      <c r="AM114" s="100"/>
      <c r="AN114" s="111"/>
      <c r="AO114" s="100"/>
      <c r="AP114" s="100"/>
      <c r="AQ114" s="111"/>
      <c r="AR114" s="100"/>
      <c r="AS114" s="100"/>
      <c r="AT114" s="111"/>
    </row>
    <row r="115" spans="1:46" ht="17" thickBot="1">
      <c r="A115" s="92" t="s">
        <v>4</v>
      </c>
      <c r="B115" s="241">
        <f>SUM(J115+K115+L115+M115+N115+S115+V115+W115+X115+AA115+AI115+AJ115+AI115+AM115+AP115+AQ115+AS115+AT115+AU115+AV115)</f>
        <v>10</v>
      </c>
      <c r="C115" s="217">
        <f>SUM(K115+L115+M115+N115+S115+V115+W115+X115+AA115+AI115+AJ115+AM115+AJ115+AN115+AQ115+AP115+AT115+AU115+AV115+AS115)+25</f>
        <v>35</v>
      </c>
      <c r="D115" s="144"/>
      <c r="E115" s="145"/>
      <c r="F115" s="146"/>
      <c r="G115" s="147"/>
      <c r="H115" s="114"/>
      <c r="I115" s="114"/>
      <c r="J115" s="113"/>
      <c r="K115" s="112"/>
      <c r="L115" s="112"/>
      <c r="M115" s="112"/>
      <c r="N115" s="112"/>
      <c r="O115" s="114"/>
      <c r="P115" s="127"/>
      <c r="Q115" s="127"/>
      <c r="R115" s="114"/>
      <c r="S115" s="129"/>
      <c r="T115" s="148"/>
      <c r="U115" s="120"/>
      <c r="V115" s="116"/>
      <c r="W115" s="116">
        <v>5</v>
      </c>
      <c r="X115" s="116">
        <v>5</v>
      </c>
      <c r="Y115" s="120"/>
      <c r="Z115" s="120"/>
      <c r="AA115" s="116"/>
      <c r="AB115" s="118"/>
      <c r="AC115" s="118"/>
      <c r="AD115" s="118"/>
      <c r="AE115" s="117"/>
      <c r="AF115" s="118"/>
      <c r="AG115" s="117"/>
      <c r="AH115" s="121"/>
      <c r="AI115" s="116"/>
      <c r="AJ115" s="116"/>
      <c r="AK115" s="116"/>
      <c r="AL115" s="116"/>
      <c r="AM115" s="116"/>
      <c r="AN115" s="121"/>
      <c r="AO115" s="116"/>
      <c r="AP115" s="116"/>
      <c r="AQ115" s="121"/>
      <c r="AR115" s="116"/>
      <c r="AS115" s="116"/>
      <c r="AT115" s="121"/>
    </row>
    <row r="116" spans="1:46" ht="21.1">
      <c r="A116" s="82" t="s">
        <v>255</v>
      </c>
      <c r="B116" s="239"/>
      <c r="C116" s="214"/>
      <c r="D116" s="133"/>
      <c r="E116" s="134"/>
      <c r="F116" s="135"/>
      <c r="G116" s="136"/>
      <c r="H116" s="96" t="s">
        <v>381</v>
      </c>
      <c r="I116" s="96"/>
      <c r="J116" s="104">
        <v>12</v>
      </c>
      <c r="K116" s="75">
        <v>12</v>
      </c>
      <c r="L116" s="75" t="s">
        <v>716</v>
      </c>
      <c r="M116" s="75">
        <v>12</v>
      </c>
      <c r="N116" s="75">
        <v>12</v>
      </c>
      <c r="O116" s="96"/>
      <c r="P116" s="105"/>
      <c r="Q116" s="105"/>
      <c r="R116" s="96"/>
      <c r="S116" s="128" t="s">
        <v>772</v>
      </c>
      <c r="T116" s="137">
        <v>13</v>
      </c>
      <c r="U116" s="110" t="s">
        <v>377</v>
      </c>
      <c r="V116" s="100">
        <v>13</v>
      </c>
      <c r="W116" s="100"/>
      <c r="X116" s="100">
        <v>13</v>
      </c>
      <c r="Y116" s="110" t="s">
        <v>377</v>
      </c>
      <c r="Z116" s="110">
        <v>13</v>
      </c>
      <c r="AA116" s="100">
        <v>12</v>
      </c>
      <c r="AB116" s="109"/>
      <c r="AC116" s="109"/>
      <c r="AD116" s="109"/>
      <c r="AE116" s="108"/>
      <c r="AF116" s="109">
        <v>12</v>
      </c>
      <c r="AG116" s="108"/>
      <c r="AH116" s="111"/>
      <c r="AI116" s="100"/>
      <c r="AJ116" s="100"/>
      <c r="AK116" s="100"/>
      <c r="AL116" s="100"/>
      <c r="AM116" s="100"/>
      <c r="AN116" s="111"/>
      <c r="AO116" s="100"/>
      <c r="AP116" s="100"/>
      <c r="AQ116" s="111"/>
      <c r="AR116" s="100"/>
      <c r="AS116" s="100"/>
      <c r="AT116" s="111"/>
    </row>
    <row r="117" spans="1:46" ht="16.3">
      <c r="A117" s="246" t="s">
        <v>1</v>
      </c>
      <c r="B117" s="240">
        <f>SUM(J117+K117+L117+M117+N117+S117+V117+W117+X117+AA117+AI117+AJ117+AI117+AM117+AP117+AQ117+AS117+AT117+AU117+AV117+AN117)+36</f>
        <v>45</v>
      </c>
      <c r="C117" s="215">
        <f>SUM(J117+K117+L117+M117+N117+S117+W117+X117+V117+AA117+AJ117+AI117+AJ117+AN117+AQ117+AM117+AT117+AU117+AV117+AW117+AP117+AS117)+74</f>
        <v>83</v>
      </c>
      <c r="D117" s="139"/>
      <c r="E117" s="140"/>
      <c r="F117" s="135"/>
      <c r="G117" s="136"/>
      <c r="H117" s="96">
        <v>1</v>
      </c>
      <c r="I117" s="96"/>
      <c r="J117" s="104">
        <v>1</v>
      </c>
      <c r="K117" s="75">
        <v>1</v>
      </c>
      <c r="L117" s="75">
        <v>1</v>
      </c>
      <c r="M117" s="75">
        <v>1</v>
      </c>
      <c r="N117" s="75">
        <v>1</v>
      </c>
      <c r="O117" s="96"/>
      <c r="P117" s="105"/>
      <c r="Q117" s="105"/>
      <c r="R117" s="96"/>
      <c r="S117" s="128">
        <v>1</v>
      </c>
      <c r="T117" s="137">
        <v>1</v>
      </c>
      <c r="U117" s="110">
        <v>1</v>
      </c>
      <c r="V117" s="100">
        <v>1</v>
      </c>
      <c r="W117" s="100"/>
      <c r="X117" s="100">
        <v>1</v>
      </c>
      <c r="Y117" s="110">
        <v>1</v>
      </c>
      <c r="Z117" s="110">
        <v>1</v>
      </c>
      <c r="AA117" s="100">
        <v>1</v>
      </c>
      <c r="AB117" s="109"/>
      <c r="AC117" s="109"/>
      <c r="AD117" s="109"/>
      <c r="AE117" s="108"/>
      <c r="AF117" s="109">
        <v>1</v>
      </c>
      <c r="AG117" s="108"/>
      <c r="AH117" s="111"/>
      <c r="AI117" s="100"/>
      <c r="AJ117" s="100"/>
      <c r="AK117" s="100"/>
      <c r="AL117" s="100"/>
      <c r="AM117" s="100"/>
      <c r="AN117" s="111"/>
      <c r="AO117" s="100"/>
      <c r="AP117" s="100"/>
      <c r="AQ117" s="111"/>
      <c r="AR117" s="100"/>
      <c r="AS117" s="100"/>
      <c r="AT117" s="111"/>
    </row>
    <row r="118" spans="1:46" ht="16.3">
      <c r="A118" s="246" t="s">
        <v>2</v>
      </c>
      <c r="B118" s="240">
        <f>SUM(J118+K118+L118+M118+N118+S118+V118+W118+X118+AA118+AI118+AJ118+AI118+AM118+AP118+AQ118+AS118+AT118+AU118+AV118)</f>
        <v>0</v>
      </c>
      <c r="C118" s="215">
        <f>SUM(J118+K118+L118+M118+N118+S118+W118+X118+V118+AA118+AJ118+AI118+AJ118+AN118+AQ118+AM118+AT118+AU118+AV118+AW118+AP118+AS118)+5</f>
        <v>5</v>
      </c>
      <c r="D118" s="139"/>
      <c r="E118" s="140"/>
      <c r="F118" s="135"/>
      <c r="G118" s="136"/>
      <c r="H118" s="96"/>
      <c r="I118" s="96"/>
      <c r="J118" s="104"/>
      <c r="K118" s="75"/>
      <c r="L118" s="75"/>
      <c r="M118" s="75"/>
      <c r="N118" s="75"/>
      <c r="O118" s="96"/>
      <c r="P118" s="105"/>
      <c r="Q118" s="105"/>
      <c r="R118" s="96"/>
      <c r="S118" s="128"/>
      <c r="T118" s="137"/>
      <c r="U118" s="110"/>
      <c r="V118" s="100"/>
      <c r="W118" s="100"/>
      <c r="X118" s="100"/>
      <c r="Y118" s="110"/>
      <c r="Z118" s="110"/>
      <c r="AA118" s="100"/>
      <c r="AB118" s="109"/>
      <c r="AC118" s="109"/>
      <c r="AD118" s="109"/>
      <c r="AE118" s="108"/>
      <c r="AF118" s="109"/>
      <c r="AG118" s="108"/>
      <c r="AH118" s="111"/>
      <c r="AI118" s="100"/>
      <c r="AJ118" s="100"/>
      <c r="AK118" s="100"/>
      <c r="AL118" s="100"/>
      <c r="AM118" s="100"/>
      <c r="AN118" s="111"/>
      <c r="AO118" s="100"/>
      <c r="AP118" s="100"/>
      <c r="AQ118" s="111"/>
      <c r="AR118" s="100"/>
      <c r="AS118" s="100"/>
      <c r="AT118" s="111"/>
    </row>
    <row r="119" spans="1:46" ht="16.3">
      <c r="A119" s="91" t="s">
        <v>363</v>
      </c>
      <c r="B119" s="239">
        <f>SUM(B117+B118)</f>
        <v>45</v>
      </c>
      <c r="C119" s="214">
        <f>SUM(C117+C118)</f>
        <v>88</v>
      </c>
      <c r="D119" s="133"/>
      <c r="E119" s="134"/>
      <c r="F119" s="135"/>
      <c r="G119" s="136"/>
      <c r="H119" s="96"/>
      <c r="I119" s="96"/>
      <c r="J119" s="104"/>
      <c r="K119" s="75"/>
      <c r="L119" s="75"/>
      <c r="M119" s="75"/>
      <c r="N119" s="75"/>
      <c r="O119" s="96"/>
      <c r="P119" s="105"/>
      <c r="Q119" s="105"/>
      <c r="R119" s="96"/>
      <c r="S119" s="128"/>
      <c r="T119" s="137"/>
      <c r="U119" s="110"/>
      <c r="V119" s="100"/>
      <c r="W119" s="100"/>
      <c r="X119" s="100"/>
      <c r="Y119" s="110"/>
      <c r="Z119" s="110"/>
      <c r="AA119" s="100"/>
      <c r="AB119" s="109"/>
      <c r="AC119" s="109"/>
      <c r="AD119" s="109"/>
      <c r="AE119" s="108"/>
      <c r="AF119" s="109"/>
      <c r="AG119" s="108"/>
      <c r="AH119" s="111"/>
      <c r="AI119" s="100"/>
      <c r="AJ119" s="100"/>
      <c r="AK119" s="100"/>
      <c r="AL119" s="100"/>
      <c r="AM119" s="100"/>
      <c r="AN119" s="111"/>
      <c r="AO119" s="100"/>
      <c r="AP119" s="100"/>
      <c r="AQ119" s="111"/>
      <c r="AR119" s="100"/>
      <c r="AS119" s="100"/>
      <c r="AT119" s="111"/>
    </row>
    <row r="120" spans="1:46" ht="16.3">
      <c r="A120" s="246" t="s">
        <v>362</v>
      </c>
      <c r="B120" s="240">
        <f>SUM(J120+K120+L120+M120+N120+S120+V120+W120+X120+AA120+AI120+AJ120+AI120+AM120+AP120+AQ120+AS120+AT120+AU120+AV120)+1</f>
        <v>1</v>
      </c>
      <c r="C120" s="215">
        <f>SUM(J120+K120+L120+M120+N120+S120+W120+X120+V120+AA120+AJ120+AI120+AJ120+AN120+AQ120+AM120+AT120+AU120+AV120+AW120+AP120+AS120)+1</f>
        <v>1</v>
      </c>
      <c r="D120" s="133"/>
      <c r="E120" s="134"/>
      <c r="F120" s="135"/>
      <c r="G120" s="136"/>
      <c r="H120" s="96"/>
      <c r="I120" s="96"/>
      <c r="J120" s="104"/>
      <c r="K120" s="75"/>
      <c r="L120" s="75"/>
      <c r="M120" s="75"/>
      <c r="N120" s="75"/>
      <c r="O120" s="96"/>
      <c r="P120" s="105"/>
      <c r="Q120" s="105"/>
      <c r="R120" s="96"/>
      <c r="S120" s="128"/>
      <c r="T120" s="137"/>
      <c r="U120" s="110"/>
      <c r="V120" s="100"/>
      <c r="W120" s="100"/>
      <c r="X120" s="100"/>
      <c r="Y120" s="110"/>
      <c r="Z120" s="110"/>
      <c r="AA120" s="100"/>
      <c r="AB120" s="109"/>
      <c r="AC120" s="109"/>
      <c r="AD120" s="109"/>
      <c r="AE120" s="108"/>
      <c r="AF120" s="109"/>
      <c r="AG120" s="108"/>
      <c r="AH120" s="111"/>
      <c r="AI120" s="100"/>
      <c r="AJ120" s="100"/>
      <c r="AK120" s="100"/>
      <c r="AL120" s="100"/>
      <c r="AM120" s="100"/>
      <c r="AN120" s="111"/>
      <c r="AO120" s="100"/>
      <c r="AP120" s="100"/>
      <c r="AQ120" s="111"/>
      <c r="AR120" s="100"/>
      <c r="AS120" s="100"/>
      <c r="AT120" s="111"/>
    </row>
    <row r="121" spans="1:46" ht="16.3">
      <c r="A121" s="246" t="s">
        <v>5</v>
      </c>
      <c r="B121" s="240">
        <f>SUM(J121+K121+L121+M121+N121+S121+V121+W121+X121+AA121+AI121+AJ121+AI121+AM121+AP121+AQ121+AS121+AT121+AU121+AV121+AN121)+4</f>
        <v>4</v>
      </c>
      <c r="C121" s="215">
        <f>SUM(J121+K121+L121+M121+N121+S121+W121+X121+V121+AA121+AJ121+AI121+AJ121+AN121+AQ121+AM121+AT121+AU121+AV121+AW121+AP121+AS121)+4</f>
        <v>4</v>
      </c>
      <c r="D121" s="139"/>
      <c r="E121" s="140"/>
      <c r="F121" s="135"/>
      <c r="G121" s="136"/>
      <c r="H121" s="96"/>
      <c r="I121" s="96"/>
      <c r="J121" s="104"/>
      <c r="K121" s="75"/>
      <c r="L121" s="75"/>
      <c r="M121" s="75"/>
      <c r="N121" s="75"/>
      <c r="O121" s="96"/>
      <c r="P121" s="105"/>
      <c r="Q121" s="105"/>
      <c r="R121" s="96"/>
      <c r="S121" s="128"/>
      <c r="T121" s="137"/>
      <c r="U121" s="110"/>
      <c r="V121" s="100"/>
      <c r="W121" s="100"/>
      <c r="X121" s="100"/>
      <c r="Y121" s="110"/>
      <c r="Z121" s="110"/>
      <c r="AA121" s="100"/>
      <c r="AB121" s="109"/>
      <c r="AC121" s="109"/>
      <c r="AD121" s="109"/>
      <c r="AE121" s="108"/>
      <c r="AF121" s="109"/>
      <c r="AG121" s="108"/>
      <c r="AH121" s="111"/>
      <c r="AI121" s="100"/>
      <c r="AJ121" s="100"/>
      <c r="AK121" s="100"/>
      <c r="AL121" s="100"/>
      <c r="AM121" s="100"/>
      <c r="AN121" s="111"/>
      <c r="AO121" s="100"/>
      <c r="AP121" s="100"/>
      <c r="AQ121" s="111"/>
      <c r="AR121" s="100"/>
      <c r="AS121" s="100"/>
      <c r="AT121" s="111"/>
    </row>
    <row r="122" spans="1:46" ht="16.3">
      <c r="A122" s="246" t="s">
        <v>6</v>
      </c>
      <c r="B122" s="240">
        <f>SUM(J122+K122+L122+M122+N122+S122+V122+W122+X122+AA122+AI122+AJ122+AI122+AM122+AP122+AQ122+AS122+AT122+AU122+AV122)+7</f>
        <v>7</v>
      </c>
      <c r="C122" s="215">
        <f>SUM(J122+K122+L122+M122+N122+S122+W122+X122+V122+AA122+AJ122+AI122+AJ122+AN122+AQ122+AM122+AT122+AU122+AV122+AW122+AP122+AS122)+8</f>
        <v>8</v>
      </c>
      <c r="D122" s="139"/>
      <c r="E122" s="140"/>
      <c r="F122" s="135"/>
      <c r="G122" s="136"/>
      <c r="H122" s="96"/>
      <c r="I122" s="96"/>
      <c r="J122" s="104"/>
      <c r="K122" s="75"/>
      <c r="L122" s="75"/>
      <c r="M122" s="75"/>
      <c r="N122" s="75"/>
      <c r="O122" s="96"/>
      <c r="P122" s="105"/>
      <c r="Q122" s="105"/>
      <c r="R122" s="96"/>
      <c r="S122" s="128"/>
      <c r="T122" s="137"/>
      <c r="U122" s="110"/>
      <c r="V122" s="100"/>
      <c r="W122" s="100"/>
      <c r="X122" s="100"/>
      <c r="Y122" s="110"/>
      <c r="Z122" s="110"/>
      <c r="AA122" s="100"/>
      <c r="AB122" s="109"/>
      <c r="AC122" s="109"/>
      <c r="AD122" s="109"/>
      <c r="AE122" s="108"/>
      <c r="AF122" s="109"/>
      <c r="AG122" s="108"/>
      <c r="AH122" s="111"/>
      <c r="AI122" s="100"/>
      <c r="AJ122" s="100"/>
      <c r="AK122" s="100"/>
      <c r="AL122" s="100"/>
      <c r="AM122" s="100"/>
      <c r="AN122" s="111"/>
      <c r="AO122" s="100"/>
      <c r="AP122" s="100"/>
      <c r="AQ122" s="111"/>
      <c r="AR122" s="100"/>
      <c r="AS122" s="100"/>
      <c r="AT122" s="111"/>
    </row>
    <row r="123" spans="1:46" ht="16.3">
      <c r="A123" s="246" t="s">
        <v>365</v>
      </c>
      <c r="B123" s="242">
        <f>SUM(B121/B122)*100</f>
        <v>57.142857142857139</v>
      </c>
      <c r="C123" s="216">
        <f>SUM(C121/C122)*100</f>
        <v>50</v>
      </c>
      <c r="D123" s="235"/>
      <c r="E123" s="236"/>
      <c r="F123" s="135"/>
      <c r="G123" s="136"/>
      <c r="H123" s="96"/>
      <c r="I123" s="96"/>
      <c r="J123" s="104"/>
      <c r="K123" s="75"/>
      <c r="L123" s="75"/>
      <c r="M123" s="75"/>
      <c r="N123" s="75"/>
      <c r="O123" s="96"/>
      <c r="P123" s="105"/>
      <c r="Q123" s="105"/>
      <c r="R123" s="96"/>
      <c r="S123" s="128"/>
      <c r="T123" s="137"/>
      <c r="U123" s="110"/>
      <c r="V123" s="100"/>
      <c r="W123" s="100"/>
      <c r="X123" s="100"/>
      <c r="Y123" s="110"/>
      <c r="Z123" s="110"/>
      <c r="AA123" s="100"/>
      <c r="AB123" s="109"/>
      <c r="AC123" s="109"/>
      <c r="AD123" s="109"/>
      <c r="AE123" s="108"/>
      <c r="AF123" s="109"/>
      <c r="AG123" s="108"/>
      <c r="AH123" s="111"/>
      <c r="AI123" s="100"/>
      <c r="AJ123" s="100"/>
      <c r="AK123" s="100"/>
      <c r="AL123" s="100"/>
      <c r="AM123" s="100"/>
      <c r="AN123" s="111"/>
      <c r="AO123" s="100"/>
      <c r="AP123" s="100"/>
      <c r="AQ123" s="111"/>
      <c r="AR123" s="100"/>
      <c r="AS123" s="100"/>
      <c r="AT123" s="111"/>
    </row>
    <row r="124" spans="1:46" ht="16.3">
      <c r="A124" s="91" t="s">
        <v>3</v>
      </c>
      <c r="B124" s="239">
        <f>SUM(J124+K124+L124+M124+N124+S124+V124+W124+X124+AA124+AI124+AJ124+AI124+AM124+AP124+AQ124+AS124+AT124+AU124+AV124)+9</f>
        <v>9</v>
      </c>
      <c r="C124" s="214">
        <f>SUM(J124+K124+L124+M124+N124+S124+W124+X124+V124+AA124+AJ124+AI124+AJ124+AN124+AQ124+AM124+AT124+AU124+AV124+AW124+AP124+AS124)+20</f>
        <v>20</v>
      </c>
      <c r="D124" s="133"/>
      <c r="E124" s="134"/>
      <c r="F124" s="135"/>
      <c r="G124" s="136"/>
      <c r="H124" s="96"/>
      <c r="I124" s="96"/>
      <c r="J124" s="104"/>
      <c r="K124" s="75"/>
      <c r="L124" s="75"/>
      <c r="M124" s="75"/>
      <c r="N124" s="75"/>
      <c r="O124" s="96"/>
      <c r="P124" s="105"/>
      <c r="Q124" s="105"/>
      <c r="R124" s="96"/>
      <c r="S124" s="128"/>
      <c r="T124" s="137"/>
      <c r="U124" s="110">
        <v>1</v>
      </c>
      <c r="V124" s="100"/>
      <c r="W124" s="100"/>
      <c r="X124" s="100"/>
      <c r="Y124" s="110">
        <v>1</v>
      </c>
      <c r="Z124" s="110">
        <v>1</v>
      </c>
      <c r="AA124" s="100"/>
      <c r="AB124" s="109"/>
      <c r="AC124" s="109"/>
      <c r="AD124" s="109"/>
      <c r="AE124" s="108"/>
      <c r="AF124" s="109"/>
      <c r="AG124" s="108"/>
      <c r="AH124" s="111"/>
      <c r="AI124" s="100"/>
      <c r="AJ124" s="100"/>
      <c r="AK124" s="100"/>
      <c r="AL124" s="100"/>
      <c r="AM124" s="100"/>
      <c r="AN124" s="111"/>
      <c r="AO124" s="100"/>
      <c r="AP124" s="100"/>
      <c r="AQ124" s="111"/>
      <c r="AR124" s="100"/>
      <c r="AS124" s="100"/>
      <c r="AT124" s="111"/>
    </row>
    <row r="125" spans="1:46" ht="17" thickBot="1">
      <c r="A125" s="92" t="s">
        <v>4</v>
      </c>
      <c r="B125" s="241">
        <f>SUM(J125+K125+L125+M125+N125+S125+V125+W125+X125+AA125+AI125+AJ125+AI125+AM125+AP125+AQ125+AS125+AT125+AU125+AV125)+53</f>
        <v>53</v>
      </c>
      <c r="C125" s="217">
        <f>SUM(J125+K125+L125+M125+N125+S125+W125+X125+V125+AA125+AJ125+AI125+AJ125+AN125+AQ125+AM125+AT125+AU125+AV125+AW125+AP125+AS125)+108</f>
        <v>108</v>
      </c>
      <c r="D125" s="144"/>
      <c r="E125" s="145"/>
      <c r="F125" s="146"/>
      <c r="G125" s="147"/>
      <c r="H125" s="114"/>
      <c r="I125" s="114"/>
      <c r="J125" s="113"/>
      <c r="K125" s="112"/>
      <c r="L125" s="112"/>
      <c r="M125" s="112"/>
      <c r="N125" s="112"/>
      <c r="O125" s="114"/>
      <c r="P125" s="127"/>
      <c r="Q125" s="127"/>
      <c r="R125" s="114"/>
      <c r="S125" s="129"/>
      <c r="T125" s="148"/>
      <c r="U125" s="120">
        <v>5</v>
      </c>
      <c r="V125" s="112"/>
      <c r="W125" s="116"/>
      <c r="X125" s="116"/>
      <c r="Y125" s="120">
        <v>5</v>
      </c>
      <c r="Z125" s="120">
        <v>5</v>
      </c>
      <c r="AA125" s="116"/>
      <c r="AB125" s="118"/>
      <c r="AC125" s="118"/>
      <c r="AD125" s="118"/>
      <c r="AE125" s="117"/>
      <c r="AF125" s="118"/>
      <c r="AG125" s="117"/>
      <c r="AH125" s="121"/>
      <c r="AI125" s="116"/>
      <c r="AJ125" s="116"/>
      <c r="AK125" s="116"/>
      <c r="AL125" s="116"/>
      <c r="AM125" s="116"/>
      <c r="AN125" s="121"/>
      <c r="AO125" s="116"/>
      <c r="AP125" s="116"/>
      <c r="AQ125" s="121"/>
      <c r="AR125" s="116"/>
      <c r="AS125" s="116"/>
      <c r="AT125" s="121"/>
    </row>
    <row r="126" spans="1:46" ht="21.1">
      <c r="A126" s="86" t="s">
        <v>129</v>
      </c>
      <c r="B126" s="239"/>
      <c r="C126" s="214"/>
      <c r="D126" s="133"/>
      <c r="E126" s="134"/>
      <c r="F126" s="135"/>
      <c r="G126" s="136"/>
      <c r="H126" s="124">
        <v>13</v>
      </c>
      <c r="I126" s="124" t="s">
        <v>451</v>
      </c>
      <c r="J126" s="123">
        <v>13</v>
      </c>
      <c r="K126" s="122" t="s">
        <v>377</v>
      </c>
      <c r="L126" s="122" t="s">
        <v>339</v>
      </c>
      <c r="M126" s="122" t="s">
        <v>339</v>
      </c>
      <c r="N126" s="122" t="s">
        <v>339</v>
      </c>
      <c r="O126" s="124" t="s">
        <v>339</v>
      </c>
      <c r="P126" s="180"/>
      <c r="Q126" s="180"/>
      <c r="R126" s="124" t="s">
        <v>339</v>
      </c>
      <c r="S126" s="165" t="s">
        <v>339</v>
      </c>
      <c r="T126" s="157" t="s">
        <v>339</v>
      </c>
      <c r="U126" s="101" t="s">
        <v>339</v>
      </c>
      <c r="V126" s="102" t="s">
        <v>339</v>
      </c>
      <c r="W126" s="102" t="s">
        <v>339</v>
      </c>
      <c r="X126" s="102" t="s">
        <v>339</v>
      </c>
      <c r="Y126" s="101" t="s">
        <v>339</v>
      </c>
      <c r="Z126" s="101" t="s">
        <v>339</v>
      </c>
      <c r="AA126" s="102" t="s">
        <v>339</v>
      </c>
      <c r="AB126" s="99" t="s">
        <v>339</v>
      </c>
      <c r="AC126" s="99" t="s">
        <v>375</v>
      </c>
      <c r="AD126" s="99">
        <v>12</v>
      </c>
      <c r="AE126" s="98"/>
      <c r="AF126" s="99"/>
      <c r="AG126" s="98"/>
      <c r="AH126" s="103"/>
      <c r="AI126" s="102"/>
      <c r="AJ126" s="102"/>
      <c r="AK126" s="122"/>
      <c r="AL126" s="100"/>
      <c r="AM126" s="100"/>
      <c r="AN126" s="111"/>
      <c r="AO126" s="100"/>
      <c r="AP126" s="100"/>
      <c r="AQ126" s="103"/>
      <c r="AR126" s="102"/>
      <c r="AS126" s="102"/>
      <c r="AT126" s="103"/>
    </row>
    <row r="127" spans="1:46" ht="16.3">
      <c r="A127" s="246" t="s">
        <v>1</v>
      </c>
      <c r="B127" s="240">
        <f>SUM(J127+K127+L127+M127+N127+S127+V127+W127+X127+AA127+AI127+AJ127+AI127+AM127+AP127+AQ127+AS127+AT127+AU127+AV127+AN127)+6</f>
        <v>8</v>
      </c>
      <c r="C127" s="215">
        <f>SUM(J127+K127+L127+M127+N127+S127+W127+X127+V127+AA127+AJ127+AI127+AJ127+AN127+AQ127+AM127+AT127+AU127+AV127+AW127+AP127+AS127)+6</f>
        <v>8</v>
      </c>
      <c r="D127" s="133"/>
      <c r="E127" s="134"/>
      <c r="F127" s="135"/>
      <c r="G127" s="136"/>
      <c r="H127" s="96">
        <v>1</v>
      </c>
      <c r="I127" s="96">
        <v>1</v>
      </c>
      <c r="J127" s="104">
        <v>1</v>
      </c>
      <c r="K127" s="75">
        <v>1</v>
      </c>
      <c r="L127" s="75"/>
      <c r="M127" s="75"/>
      <c r="N127" s="75"/>
      <c r="O127" s="96"/>
      <c r="P127" s="105"/>
      <c r="Q127" s="105"/>
      <c r="R127" s="96"/>
      <c r="S127" s="128"/>
      <c r="T127" s="137"/>
      <c r="U127" s="110"/>
      <c r="V127" s="100"/>
      <c r="W127" s="100"/>
      <c r="X127" s="100"/>
      <c r="Y127" s="110"/>
      <c r="Z127" s="110"/>
      <c r="AA127" s="100"/>
      <c r="AB127" s="109"/>
      <c r="AC127" s="109"/>
      <c r="AD127" s="109">
        <v>1</v>
      </c>
      <c r="AE127" s="108"/>
      <c r="AF127" s="109"/>
      <c r="AG127" s="108"/>
      <c r="AH127" s="111"/>
      <c r="AI127" s="100"/>
      <c r="AJ127" s="100"/>
      <c r="AK127" s="100"/>
      <c r="AL127" s="100"/>
      <c r="AM127" s="100"/>
      <c r="AN127" s="111"/>
      <c r="AO127" s="100"/>
      <c r="AP127" s="100"/>
      <c r="AQ127" s="111"/>
      <c r="AR127" s="100"/>
      <c r="AS127" s="100"/>
      <c r="AT127" s="111"/>
    </row>
    <row r="128" spans="1:46" ht="16.3">
      <c r="A128" s="246" t="s">
        <v>2</v>
      </c>
      <c r="B128" s="240">
        <f>SUM(J128+K128+L128+M128+N128+S128+V128+W128+X128+AA128+AI128+AJ128+AI128+AM128+AP128+AQ128+AS128+AT128+AU128+AV128)+5</f>
        <v>5</v>
      </c>
      <c r="C128" s="215">
        <f>SUM(J128+K128+L128+M128+N128+S128+W128+X128+V128+AA128+AJ128+AI128+AJ128+AN128+AQ128+AM128+AT128+AU128+AV128+AW128+AP128+AS128)+5</f>
        <v>5</v>
      </c>
      <c r="D128" s="133"/>
      <c r="E128" s="134"/>
      <c r="F128" s="135"/>
      <c r="G128" s="136"/>
      <c r="H128" s="96"/>
      <c r="I128" s="96"/>
      <c r="J128" s="104"/>
      <c r="K128" s="75"/>
      <c r="L128" s="75"/>
      <c r="M128" s="75"/>
      <c r="N128" s="75"/>
      <c r="O128" s="96"/>
      <c r="P128" s="105"/>
      <c r="Q128" s="105"/>
      <c r="R128" s="96"/>
      <c r="S128" s="128"/>
      <c r="T128" s="137"/>
      <c r="U128" s="110"/>
      <c r="V128" s="100"/>
      <c r="W128" s="100"/>
      <c r="X128" s="100"/>
      <c r="Y128" s="110"/>
      <c r="Z128" s="110"/>
      <c r="AA128" s="100"/>
      <c r="AB128" s="109"/>
      <c r="AC128" s="109">
        <v>1</v>
      </c>
      <c r="AD128" s="109"/>
      <c r="AE128" s="108"/>
      <c r="AF128" s="109"/>
      <c r="AG128" s="108"/>
      <c r="AH128" s="111"/>
      <c r="AI128" s="100"/>
      <c r="AJ128" s="100"/>
      <c r="AK128" s="100"/>
      <c r="AL128" s="100"/>
      <c r="AM128" s="100"/>
      <c r="AN128" s="111"/>
      <c r="AO128" s="100"/>
      <c r="AP128" s="100"/>
      <c r="AQ128" s="111"/>
      <c r="AR128" s="100"/>
      <c r="AS128" s="100"/>
      <c r="AT128" s="111"/>
    </row>
    <row r="129" spans="1:46" ht="16.3">
      <c r="A129" s="91" t="s">
        <v>363</v>
      </c>
      <c r="B129" s="239">
        <f>SUM(B127+B128)</f>
        <v>13</v>
      </c>
      <c r="C129" s="214">
        <f>SUM(C127+C128)</f>
        <v>13</v>
      </c>
      <c r="D129" s="133"/>
      <c r="E129" s="134"/>
      <c r="F129" s="135"/>
      <c r="G129" s="136"/>
      <c r="H129" s="96"/>
      <c r="I129" s="96"/>
      <c r="J129" s="104"/>
      <c r="K129" s="75"/>
      <c r="L129" s="75"/>
      <c r="M129" s="75"/>
      <c r="N129" s="75"/>
      <c r="O129" s="96"/>
      <c r="P129" s="105"/>
      <c r="Q129" s="105"/>
      <c r="R129" s="96"/>
      <c r="S129" s="128"/>
      <c r="T129" s="137"/>
      <c r="U129" s="110"/>
      <c r="V129" s="100"/>
      <c r="W129" s="100"/>
      <c r="X129" s="100"/>
      <c r="Y129" s="110"/>
      <c r="Z129" s="110"/>
      <c r="AA129" s="100"/>
      <c r="AB129" s="109"/>
      <c r="AC129" s="109"/>
      <c r="AD129" s="109"/>
      <c r="AE129" s="108"/>
      <c r="AF129" s="109"/>
      <c r="AG129" s="108"/>
      <c r="AH129" s="111"/>
      <c r="AI129" s="100"/>
      <c r="AJ129" s="100"/>
      <c r="AK129" s="100"/>
      <c r="AL129" s="100"/>
      <c r="AM129" s="100"/>
      <c r="AN129" s="111"/>
      <c r="AO129" s="100"/>
      <c r="AP129" s="100"/>
      <c r="AQ129" s="111"/>
      <c r="AR129" s="100"/>
      <c r="AS129" s="100"/>
      <c r="AT129" s="111"/>
    </row>
    <row r="130" spans="1:46" ht="16.3">
      <c r="A130" s="246" t="s">
        <v>362</v>
      </c>
      <c r="B130" s="240">
        <f t="shared" ref="B130" si="26">SUM(J130+K130+L130+M130+N130+S130+V130+W130+X130+AA130+AI130+AJ130+AI130+AM130+AP130+AQ130+AS130+AT130+AU130+AV130)</f>
        <v>0</v>
      </c>
      <c r="C130" s="215">
        <f t="shared" ref="C130" si="27">SUM(J130+K130+L130+M130+N130+S130+W130+X130+V130+AA130+AJ130+AI130+AJ130+AN130+AQ130+AM130+AT130+AU130+AV130+AW130+AP130+AS130)</f>
        <v>0</v>
      </c>
      <c r="D130" s="133"/>
      <c r="E130" s="134"/>
      <c r="F130" s="135"/>
      <c r="G130" s="136"/>
      <c r="H130" s="96"/>
      <c r="I130" s="96">
        <v>1</v>
      </c>
      <c r="J130" s="104"/>
      <c r="K130" s="75"/>
      <c r="L130" s="75"/>
      <c r="M130" s="75"/>
      <c r="N130" s="75"/>
      <c r="O130" s="96"/>
      <c r="P130" s="105"/>
      <c r="Q130" s="105"/>
      <c r="R130" s="96"/>
      <c r="S130" s="128"/>
      <c r="T130" s="137"/>
      <c r="U130" s="110"/>
      <c r="V130" s="100"/>
      <c r="W130" s="100"/>
      <c r="X130" s="100"/>
      <c r="Y130" s="110"/>
      <c r="Z130" s="110"/>
      <c r="AA130" s="100"/>
      <c r="AB130" s="109"/>
      <c r="AC130" s="109"/>
      <c r="AD130" s="109"/>
      <c r="AE130" s="108"/>
      <c r="AF130" s="109"/>
      <c r="AG130" s="108"/>
      <c r="AH130" s="111"/>
      <c r="AI130" s="100"/>
      <c r="AJ130" s="100"/>
      <c r="AK130" s="100"/>
      <c r="AL130" s="100"/>
      <c r="AM130" s="100"/>
      <c r="AN130" s="111"/>
      <c r="AO130" s="100"/>
      <c r="AP130" s="100"/>
      <c r="AQ130" s="111"/>
      <c r="AR130" s="100"/>
      <c r="AS130" s="100"/>
      <c r="AT130" s="111"/>
    </row>
    <row r="131" spans="1:46" ht="16.3">
      <c r="A131" s="91" t="s">
        <v>3</v>
      </c>
      <c r="B131" s="239">
        <f>SUM(J131+K131+L131+M131+N131+S131+V131+W131+X131+AA131+AI131+AJ131+AI131+AM131+AP131+AQ131+AS131+AT131+AU131+AV131)+1</f>
        <v>1</v>
      </c>
      <c r="C131" s="214">
        <f>SUM(J131+K131+L131+M131+N131+S131+W131+X131+V131+AA131+AJ131+AI131+AJ131+AN131+AQ131+AM131+AT131+AU131+AV131+AW131+AP131+AS131)+1</f>
        <v>1</v>
      </c>
      <c r="D131" s="133"/>
      <c r="E131" s="134"/>
      <c r="F131" s="135"/>
      <c r="G131" s="136"/>
      <c r="H131" s="96">
        <v>1</v>
      </c>
      <c r="I131" s="96"/>
      <c r="J131" s="104"/>
      <c r="K131" s="75"/>
      <c r="L131" s="75"/>
      <c r="M131" s="75"/>
      <c r="N131" s="75"/>
      <c r="O131" s="96"/>
      <c r="P131" s="105"/>
      <c r="Q131" s="105"/>
      <c r="R131" s="96"/>
      <c r="S131" s="128"/>
      <c r="T131" s="137"/>
      <c r="U131" s="110"/>
      <c r="V131" s="100"/>
      <c r="W131" s="100"/>
      <c r="X131" s="100"/>
      <c r="Y131" s="110"/>
      <c r="Z131" s="110"/>
      <c r="AA131" s="100"/>
      <c r="AB131" s="109"/>
      <c r="AC131" s="109"/>
      <c r="AD131" s="109"/>
      <c r="AE131" s="108"/>
      <c r="AF131" s="109"/>
      <c r="AG131" s="108"/>
      <c r="AH131" s="111"/>
      <c r="AI131" s="100"/>
      <c r="AJ131" s="100"/>
      <c r="AK131" s="100"/>
      <c r="AL131" s="100"/>
      <c r="AM131" s="100"/>
      <c r="AN131" s="111"/>
      <c r="AO131" s="100"/>
      <c r="AP131" s="100"/>
      <c r="AQ131" s="111"/>
      <c r="AR131" s="100"/>
      <c r="AS131" s="100"/>
      <c r="AT131" s="111"/>
    </row>
    <row r="132" spans="1:46" ht="17" thickBot="1">
      <c r="A132" s="92" t="s">
        <v>4</v>
      </c>
      <c r="B132" s="241">
        <f>SUM(J132+K132+L132+M132+N132+S132+V132+W132+X132+AA132+AI132+AJ132+AI132+AM132+AP132+AQ132+AS132+AT132+AU132+AV132)+5</f>
        <v>5</v>
      </c>
      <c r="C132" s="217">
        <f>SUM(J132+K132+L132+M132+N132+S132+W132+X132+V132+AA132+AJ132+AI132+AJ132+AN132+AQ132+AM132+AT132+AU132+AV132+AW132+AP132+AS132)+5</f>
        <v>5</v>
      </c>
      <c r="D132" s="144"/>
      <c r="E132" s="145"/>
      <c r="F132" s="146"/>
      <c r="G132" s="147"/>
      <c r="H132" s="114">
        <v>5</v>
      </c>
      <c r="I132" s="114"/>
      <c r="J132" s="113"/>
      <c r="K132" s="112"/>
      <c r="L132" s="112"/>
      <c r="M132" s="112"/>
      <c r="N132" s="112"/>
      <c r="O132" s="114"/>
      <c r="P132" s="127"/>
      <c r="Q132" s="127"/>
      <c r="R132" s="114"/>
      <c r="S132" s="129"/>
      <c r="T132" s="148"/>
      <c r="U132" s="120"/>
      <c r="V132" s="112"/>
      <c r="W132" s="100"/>
      <c r="X132" s="100"/>
      <c r="Y132" s="110"/>
      <c r="Z132" s="110"/>
      <c r="AA132" s="100"/>
      <c r="AB132" s="109"/>
      <c r="AC132" s="109"/>
      <c r="AD132" s="109"/>
      <c r="AE132" s="108"/>
      <c r="AF132" s="109"/>
      <c r="AG132" s="108"/>
      <c r="AH132" s="111"/>
      <c r="AI132" s="100"/>
      <c r="AJ132" s="100"/>
      <c r="AK132" s="100"/>
      <c r="AL132" s="116"/>
      <c r="AM132" s="116"/>
      <c r="AN132" s="121"/>
      <c r="AO132" s="116"/>
      <c r="AP132" s="112"/>
      <c r="AQ132" s="111"/>
      <c r="AR132" s="100"/>
      <c r="AS132" s="100"/>
      <c r="AT132" s="111"/>
    </row>
    <row r="133" spans="1:46" ht="21.1">
      <c r="A133" s="86" t="s">
        <v>238</v>
      </c>
      <c r="B133" s="239"/>
      <c r="C133" s="214"/>
      <c r="D133" s="133"/>
      <c r="E133" s="134"/>
      <c r="F133" s="135"/>
      <c r="G133" s="136"/>
      <c r="H133" s="124"/>
      <c r="I133" s="124">
        <v>12</v>
      </c>
      <c r="J133" s="123" t="s">
        <v>339</v>
      </c>
      <c r="K133" s="122" t="s">
        <v>339</v>
      </c>
      <c r="L133" s="122" t="s">
        <v>339</v>
      </c>
      <c r="M133" s="122" t="s">
        <v>339</v>
      </c>
      <c r="N133" s="122" t="s">
        <v>339</v>
      </c>
      <c r="O133" s="124" t="s">
        <v>339</v>
      </c>
      <c r="P133" s="180"/>
      <c r="Q133" s="180"/>
      <c r="R133" s="124" t="s">
        <v>339</v>
      </c>
      <c r="S133" s="165" t="s">
        <v>339</v>
      </c>
      <c r="T133" s="157" t="s">
        <v>339</v>
      </c>
      <c r="U133" s="101" t="s">
        <v>339</v>
      </c>
      <c r="V133" s="102" t="s">
        <v>339</v>
      </c>
      <c r="W133" s="102" t="s">
        <v>339</v>
      </c>
      <c r="X133" s="102" t="s">
        <v>339</v>
      </c>
      <c r="Y133" s="101" t="s">
        <v>339</v>
      </c>
      <c r="Z133" s="101" t="s">
        <v>339</v>
      </c>
      <c r="AA133" s="102" t="s">
        <v>339</v>
      </c>
      <c r="AB133" s="99" t="s">
        <v>339</v>
      </c>
      <c r="AC133" s="99" t="s">
        <v>339</v>
      </c>
      <c r="AD133" s="99" t="s">
        <v>339</v>
      </c>
      <c r="AE133" s="98"/>
      <c r="AF133" s="99"/>
      <c r="AG133" s="98"/>
      <c r="AH133" s="103"/>
      <c r="AI133" s="102"/>
      <c r="AJ133" s="102"/>
      <c r="AK133" s="122"/>
      <c r="AL133" s="100"/>
      <c r="AM133" s="100"/>
      <c r="AN133" s="111"/>
      <c r="AO133" s="100"/>
      <c r="AP133" s="100"/>
      <c r="AQ133" s="103"/>
      <c r="AR133" s="102"/>
      <c r="AS133" s="102"/>
      <c r="AT133" s="103"/>
    </row>
    <row r="134" spans="1:46" ht="16.3">
      <c r="A134" s="246" t="s">
        <v>1</v>
      </c>
      <c r="B134" s="240">
        <f>SUM(J134+K134+L134+M134+N134+S134+V134+W134+X134+AA134+AI134+AJ134+AI134+AM134+AP134+AQ134+AS134+AT134+AU134+AV134+AN134)</f>
        <v>0</v>
      </c>
      <c r="C134" s="215">
        <f>SUM(J134+K134+L134+M134+N134+S134+W134+X134+V134+AA134+AJ134+AI134+AJ134+AN134+AQ134+AM134+AT134+AU134+AV134+AW134+AP134+AS134)</f>
        <v>0</v>
      </c>
      <c r="D134" s="133"/>
      <c r="E134" s="134"/>
      <c r="F134" s="135"/>
      <c r="G134" s="136"/>
      <c r="H134" s="96"/>
      <c r="I134" s="96">
        <v>1</v>
      </c>
      <c r="J134" s="104"/>
      <c r="K134" s="75"/>
      <c r="L134" s="75"/>
      <c r="M134" s="75"/>
      <c r="N134" s="75"/>
      <c r="O134" s="96"/>
      <c r="P134" s="105"/>
      <c r="Q134" s="105"/>
      <c r="R134" s="96"/>
      <c r="S134" s="128"/>
      <c r="T134" s="137"/>
      <c r="U134" s="110"/>
      <c r="V134" s="100"/>
      <c r="W134" s="100"/>
      <c r="X134" s="100"/>
      <c r="Y134" s="110"/>
      <c r="Z134" s="110"/>
      <c r="AA134" s="100"/>
      <c r="AB134" s="109"/>
      <c r="AC134" s="109"/>
      <c r="AD134" s="109"/>
      <c r="AE134" s="108"/>
      <c r="AF134" s="109"/>
      <c r="AG134" s="108"/>
      <c r="AH134" s="111"/>
      <c r="AI134" s="100"/>
      <c r="AJ134" s="100"/>
      <c r="AK134" s="100"/>
      <c r="AL134" s="100"/>
      <c r="AM134" s="100"/>
      <c r="AN134" s="111"/>
      <c r="AO134" s="100"/>
      <c r="AP134" s="100"/>
      <c r="AQ134" s="111"/>
      <c r="AR134" s="100"/>
      <c r="AS134" s="100"/>
      <c r="AT134" s="111"/>
    </row>
    <row r="135" spans="1:46" ht="16.3">
      <c r="A135" s="246" t="s">
        <v>2</v>
      </c>
      <c r="B135" s="240">
        <f>SUM(J135+K135+L135+M135+N135+S135+V135+W135+X135+AA135+AI135+AJ135+AI135+AM135+AP135+AQ135+AS135+AT135+AU135+AV135)</f>
        <v>0</v>
      </c>
      <c r="C135" s="215">
        <f>SUM(J135+K135+L135+M135+N135+S135+W135+X135+V135+AA135+AJ135+AI135+AJ135+AN135+AQ135+AM135+AT135+AU135+AV135+AW135+AP135+AS135)</f>
        <v>0</v>
      </c>
      <c r="D135" s="133"/>
      <c r="E135" s="134"/>
      <c r="F135" s="135"/>
      <c r="G135" s="136"/>
      <c r="H135" s="96"/>
      <c r="I135" s="96"/>
      <c r="J135" s="104"/>
      <c r="K135" s="75"/>
      <c r="L135" s="75"/>
      <c r="M135" s="75"/>
      <c r="N135" s="75"/>
      <c r="O135" s="96"/>
      <c r="P135" s="105"/>
      <c r="Q135" s="105"/>
      <c r="R135" s="96"/>
      <c r="S135" s="128"/>
      <c r="T135" s="137"/>
      <c r="U135" s="110"/>
      <c r="V135" s="100"/>
      <c r="W135" s="100"/>
      <c r="X135" s="100"/>
      <c r="Y135" s="110"/>
      <c r="Z135" s="110"/>
      <c r="AA135" s="100"/>
      <c r="AB135" s="109"/>
      <c r="AC135" s="109"/>
      <c r="AD135" s="109"/>
      <c r="AE135" s="108"/>
      <c r="AF135" s="109"/>
      <c r="AG135" s="108"/>
      <c r="AH135" s="111"/>
      <c r="AI135" s="100"/>
      <c r="AJ135" s="100"/>
      <c r="AK135" s="100"/>
      <c r="AL135" s="100"/>
      <c r="AM135" s="100"/>
      <c r="AN135" s="111"/>
      <c r="AO135" s="100"/>
      <c r="AP135" s="100"/>
      <c r="AQ135" s="111"/>
      <c r="AR135" s="100"/>
      <c r="AS135" s="100"/>
      <c r="AT135" s="111"/>
    </row>
    <row r="136" spans="1:46" ht="16.3">
      <c r="A136" s="91" t="s">
        <v>363</v>
      </c>
      <c r="B136" s="239">
        <f>SUM(B134+B135)</f>
        <v>0</v>
      </c>
      <c r="C136" s="214">
        <f>SUM(C134+C135)</f>
        <v>0</v>
      </c>
      <c r="D136" s="133"/>
      <c r="E136" s="134"/>
      <c r="F136" s="135"/>
      <c r="G136" s="136"/>
      <c r="H136" s="96"/>
      <c r="I136" s="96"/>
      <c r="J136" s="104"/>
      <c r="K136" s="75"/>
      <c r="L136" s="75"/>
      <c r="M136" s="75"/>
      <c r="N136" s="75"/>
      <c r="O136" s="96"/>
      <c r="P136" s="105"/>
      <c r="Q136" s="105"/>
      <c r="R136" s="96"/>
      <c r="S136" s="128"/>
      <c r="T136" s="137"/>
      <c r="U136" s="110"/>
      <c r="V136" s="100"/>
      <c r="W136" s="100"/>
      <c r="X136" s="100"/>
      <c r="Y136" s="110"/>
      <c r="Z136" s="110"/>
      <c r="AA136" s="100"/>
      <c r="AB136" s="109"/>
      <c r="AC136" s="109"/>
      <c r="AD136" s="109"/>
      <c r="AE136" s="108"/>
      <c r="AF136" s="109"/>
      <c r="AG136" s="108"/>
      <c r="AH136" s="111"/>
      <c r="AI136" s="100"/>
      <c r="AJ136" s="100"/>
      <c r="AK136" s="100"/>
      <c r="AL136" s="100"/>
      <c r="AM136" s="100"/>
      <c r="AN136" s="111"/>
      <c r="AO136" s="100"/>
      <c r="AP136" s="100"/>
      <c r="AQ136" s="111"/>
      <c r="AR136" s="100"/>
      <c r="AS136" s="100"/>
      <c r="AT136" s="111"/>
    </row>
    <row r="137" spans="1:46" ht="16.3">
      <c r="A137" s="91" t="s">
        <v>3</v>
      </c>
      <c r="B137" s="239">
        <f>SUM(J137+K137+L137+M137+N137+S137+V137+W137+X137+AA137+AI137+AJ137+AI137+AM137+AP137+AQ137+AS137+AT137+AU137+AV137)</f>
        <v>0</v>
      </c>
      <c r="C137" s="214">
        <f>SUM(J137+K137+L137+M137+N137+S137+W137+X137+V137+AA137+AJ137+AI137+AJ137+AN137+AQ137+AM137+AT137+AU137+AV137+AW137+AP137+AS137)</f>
        <v>0</v>
      </c>
      <c r="D137" s="133"/>
      <c r="E137" s="134"/>
      <c r="F137" s="135"/>
      <c r="G137" s="136"/>
      <c r="H137" s="96"/>
      <c r="I137" s="96"/>
      <c r="J137" s="104"/>
      <c r="K137" s="75"/>
      <c r="L137" s="75"/>
      <c r="M137" s="75"/>
      <c r="N137" s="75"/>
      <c r="O137" s="96"/>
      <c r="P137" s="105"/>
      <c r="Q137" s="105"/>
      <c r="R137" s="96"/>
      <c r="S137" s="128"/>
      <c r="T137" s="137"/>
      <c r="U137" s="110"/>
      <c r="V137" s="100"/>
      <c r="W137" s="100"/>
      <c r="X137" s="100"/>
      <c r="Y137" s="110"/>
      <c r="Z137" s="110"/>
      <c r="AA137" s="100"/>
      <c r="AB137" s="109"/>
      <c r="AC137" s="109"/>
      <c r="AD137" s="109"/>
      <c r="AE137" s="108"/>
      <c r="AF137" s="109"/>
      <c r="AG137" s="108"/>
      <c r="AH137" s="111"/>
      <c r="AI137" s="100"/>
      <c r="AJ137" s="100"/>
      <c r="AK137" s="100"/>
      <c r="AL137" s="100"/>
      <c r="AM137" s="100"/>
      <c r="AN137" s="111"/>
      <c r="AO137" s="100"/>
      <c r="AP137" s="100"/>
      <c r="AQ137" s="111"/>
      <c r="AR137" s="100"/>
      <c r="AS137" s="100"/>
      <c r="AT137" s="111"/>
    </row>
    <row r="138" spans="1:46" ht="17" thickBot="1">
      <c r="A138" s="92" t="s">
        <v>4</v>
      </c>
      <c r="B138" s="241">
        <f>SUM(J138+K138+L138+M138+N138+S138+V138+W138+X138+AA138+AI138+AJ138+AI138+AM138+AP138+AQ138+AS138+AT138+AU138+AV138)</f>
        <v>0</v>
      </c>
      <c r="C138" s="217">
        <f>SUM(J138+K138+L138+M138+N138+S138+W138+X138+V138+AA138+AJ138+AI138+AJ138+AN138+AQ138+AM138+AT138+AU138+AV138+AW138+AP138+AS138)</f>
        <v>0</v>
      </c>
      <c r="D138" s="144"/>
      <c r="E138" s="145"/>
      <c r="F138" s="146"/>
      <c r="G138" s="147"/>
      <c r="H138" s="114"/>
      <c r="I138" s="114"/>
      <c r="J138" s="113"/>
      <c r="K138" s="112"/>
      <c r="L138" s="112"/>
      <c r="M138" s="112"/>
      <c r="N138" s="112"/>
      <c r="O138" s="114"/>
      <c r="P138" s="127"/>
      <c r="Q138" s="127"/>
      <c r="R138" s="114"/>
      <c r="S138" s="129"/>
      <c r="T138" s="148"/>
      <c r="U138" s="120"/>
      <c r="V138" s="112"/>
      <c r="W138" s="100"/>
      <c r="X138" s="100"/>
      <c r="Y138" s="110"/>
      <c r="Z138" s="110"/>
      <c r="AA138" s="100"/>
      <c r="AB138" s="109"/>
      <c r="AC138" s="109"/>
      <c r="AD138" s="109"/>
      <c r="AE138" s="108"/>
      <c r="AF138" s="109"/>
      <c r="AG138" s="108"/>
      <c r="AH138" s="111"/>
      <c r="AI138" s="100"/>
      <c r="AJ138" s="100"/>
      <c r="AK138" s="100"/>
      <c r="AL138" s="116"/>
      <c r="AM138" s="116"/>
      <c r="AN138" s="121"/>
      <c r="AO138" s="116"/>
      <c r="AP138" s="112"/>
      <c r="AQ138" s="111"/>
      <c r="AR138" s="100"/>
      <c r="AS138" s="100"/>
      <c r="AT138" s="111"/>
    </row>
    <row r="139" spans="1:46" ht="21.1">
      <c r="A139" s="82" t="s">
        <v>180</v>
      </c>
      <c r="B139" s="239"/>
      <c r="C139" s="214"/>
      <c r="D139" s="133"/>
      <c r="E139" s="134"/>
      <c r="F139" s="135"/>
      <c r="G139" s="136"/>
      <c r="H139" s="96" t="s">
        <v>375</v>
      </c>
      <c r="I139" s="96" t="s">
        <v>339</v>
      </c>
      <c r="J139" s="104" t="s">
        <v>339</v>
      </c>
      <c r="K139" s="75" t="s">
        <v>339</v>
      </c>
      <c r="L139" s="75" t="s">
        <v>339</v>
      </c>
      <c r="M139" s="75" t="s">
        <v>339</v>
      </c>
      <c r="N139" s="75" t="s">
        <v>339</v>
      </c>
      <c r="O139" s="96" t="s">
        <v>339</v>
      </c>
      <c r="P139" s="105"/>
      <c r="Q139" s="105"/>
      <c r="R139" s="96" t="s">
        <v>381</v>
      </c>
      <c r="S139" s="128">
        <v>12</v>
      </c>
      <c r="T139" s="137">
        <v>12</v>
      </c>
      <c r="U139" s="110">
        <v>12</v>
      </c>
      <c r="V139" s="100" t="s">
        <v>732</v>
      </c>
      <c r="W139" s="102">
        <v>12</v>
      </c>
      <c r="X139" s="102">
        <v>12</v>
      </c>
      <c r="Y139" s="101">
        <v>12</v>
      </c>
      <c r="Z139" s="101">
        <v>12</v>
      </c>
      <c r="AA139" s="102" t="s">
        <v>375</v>
      </c>
      <c r="AB139" s="99"/>
      <c r="AC139" s="99">
        <v>12</v>
      </c>
      <c r="AD139" s="99"/>
      <c r="AE139" s="98"/>
      <c r="AF139" s="99">
        <v>10</v>
      </c>
      <c r="AG139" s="98"/>
      <c r="AH139" s="103"/>
      <c r="AI139" s="102"/>
      <c r="AJ139" s="102"/>
      <c r="AK139" s="102"/>
      <c r="AL139" s="102"/>
      <c r="AM139" s="102"/>
      <c r="AN139" s="103"/>
      <c r="AO139" s="102"/>
      <c r="AP139" s="102"/>
      <c r="AQ139" s="103"/>
      <c r="AR139" s="102"/>
      <c r="AS139" s="102"/>
      <c r="AT139" s="103"/>
    </row>
    <row r="140" spans="1:46" ht="16.3">
      <c r="A140" s="246" t="s">
        <v>1</v>
      </c>
      <c r="B140" s="240">
        <f>SUM(J140+K140+L140+M140+N140+S140+V140+W140+X140+AA140+AI140+AJ140+AI140+AM140+AP140+AQ140+AS140+AT140+AU140+AV140+AN140)+28</f>
        <v>32</v>
      </c>
      <c r="C140" s="215">
        <f>SUM(J140+K140+L140+M140+N140+S140+W140+X140+V140+AA140+AJ140+AI140+AJ140+AN140+AQ140+AM140+AT140+AU140+AV140+AW140+AP140+AS140)+28</f>
        <v>32</v>
      </c>
      <c r="D140" s="139"/>
      <c r="E140" s="140"/>
      <c r="F140" s="135"/>
      <c r="G140" s="136"/>
      <c r="H140" s="96"/>
      <c r="I140" s="96"/>
      <c r="J140" s="104"/>
      <c r="K140" s="75"/>
      <c r="L140" s="75"/>
      <c r="M140" s="75"/>
      <c r="N140" s="75"/>
      <c r="O140" s="96"/>
      <c r="P140" s="105"/>
      <c r="Q140" s="105"/>
      <c r="R140" s="96">
        <v>1</v>
      </c>
      <c r="S140" s="128">
        <v>1</v>
      </c>
      <c r="T140" s="182">
        <v>1</v>
      </c>
      <c r="U140" s="106">
        <v>1</v>
      </c>
      <c r="V140" s="75">
        <v>1</v>
      </c>
      <c r="W140" s="75">
        <v>1</v>
      </c>
      <c r="X140" s="75">
        <v>1</v>
      </c>
      <c r="Y140" s="106">
        <v>1</v>
      </c>
      <c r="Z140" s="106">
        <v>1</v>
      </c>
      <c r="AA140" s="75"/>
      <c r="AB140" s="96"/>
      <c r="AC140" s="96">
        <v>1</v>
      </c>
      <c r="AD140" s="96"/>
      <c r="AE140" s="105"/>
      <c r="AF140" s="96">
        <v>1</v>
      </c>
      <c r="AG140" s="105"/>
      <c r="AH140" s="107"/>
      <c r="AI140" s="75"/>
      <c r="AJ140" s="75"/>
      <c r="AK140" s="75"/>
      <c r="AL140" s="75"/>
      <c r="AM140" s="75"/>
      <c r="AN140" s="107"/>
      <c r="AO140" s="75"/>
      <c r="AP140" s="75"/>
      <c r="AQ140" s="107"/>
      <c r="AR140" s="75"/>
      <c r="AS140" s="75"/>
      <c r="AT140" s="107"/>
    </row>
    <row r="141" spans="1:46" ht="16.3">
      <c r="A141" s="246" t="s">
        <v>2</v>
      </c>
      <c r="B141" s="240">
        <f>SUM(J141+K141+L141+M141+N141+S141+V141+W141+X141+AA141+AI141+AJ141+AI141+AM141+AP141+AQ141+AS141+AT141+AU141+AV141)+11</f>
        <v>12</v>
      </c>
      <c r="C141" s="215">
        <f>SUM(J141+K141+L141+M141+N141+S141+W141+X141+V141+AA141+AJ141+AI141+AJ141+AN141+AQ141+AM141+AT141+AU141+AV141+AW141+AP141+AS141)+11</f>
        <v>12</v>
      </c>
      <c r="D141" s="139"/>
      <c r="E141" s="140"/>
      <c r="F141" s="135"/>
      <c r="G141" s="136"/>
      <c r="H141" s="96">
        <v>1</v>
      </c>
      <c r="I141" s="96"/>
      <c r="J141" s="104"/>
      <c r="K141" s="75"/>
      <c r="L141" s="75"/>
      <c r="M141" s="75"/>
      <c r="N141" s="75"/>
      <c r="O141" s="96"/>
      <c r="P141" s="105"/>
      <c r="Q141" s="105"/>
      <c r="R141" s="96"/>
      <c r="S141" s="128"/>
      <c r="T141" s="137"/>
      <c r="U141" s="110"/>
      <c r="V141" s="100"/>
      <c r="W141" s="100"/>
      <c r="X141" s="100"/>
      <c r="Y141" s="110"/>
      <c r="Z141" s="110"/>
      <c r="AA141" s="100">
        <v>1</v>
      </c>
      <c r="AB141" s="109"/>
      <c r="AC141" s="109"/>
      <c r="AD141" s="109"/>
      <c r="AE141" s="108"/>
      <c r="AF141" s="109"/>
      <c r="AG141" s="108"/>
      <c r="AH141" s="111"/>
      <c r="AI141" s="100"/>
      <c r="AJ141" s="100"/>
      <c r="AK141" s="100"/>
      <c r="AL141" s="100"/>
      <c r="AM141" s="100"/>
      <c r="AN141" s="111"/>
      <c r="AO141" s="100"/>
      <c r="AP141" s="100"/>
      <c r="AQ141" s="111"/>
      <c r="AR141" s="100"/>
      <c r="AS141" s="100"/>
      <c r="AT141" s="111"/>
    </row>
    <row r="142" spans="1:46" ht="16.3">
      <c r="A142" s="91" t="s">
        <v>363</v>
      </c>
      <c r="B142" s="239">
        <f>SUM(B140+B141)</f>
        <v>44</v>
      </c>
      <c r="C142" s="214">
        <f>SUM(C140+C141)</f>
        <v>44</v>
      </c>
      <c r="D142" s="133"/>
      <c r="E142" s="134"/>
      <c r="F142" s="135"/>
      <c r="G142" s="136"/>
      <c r="H142" s="96"/>
      <c r="I142" s="96"/>
      <c r="J142" s="104"/>
      <c r="K142" s="75"/>
      <c r="L142" s="75"/>
      <c r="M142" s="75"/>
      <c r="N142" s="75"/>
      <c r="O142" s="96"/>
      <c r="P142" s="105"/>
      <c r="Q142" s="105"/>
      <c r="R142" s="96"/>
      <c r="S142" s="128"/>
      <c r="T142" s="137"/>
      <c r="U142" s="110"/>
      <c r="V142" s="100"/>
      <c r="W142" s="100"/>
      <c r="X142" s="100"/>
      <c r="Y142" s="110"/>
      <c r="Z142" s="110"/>
      <c r="AA142" s="100"/>
      <c r="AB142" s="109"/>
      <c r="AC142" s="109"/>
      <c r="AD142" s="109"/>
      <c r="AE142" s="108"/>
      <c r="AF142" s="109"/>
      <c r="AG142" s="108"/>
      <c r="AH142" s="111"/>
      <c r="AI142" s="100"/>
      <c r="AJ142" s="100"/>
      <c r="AK142" s="100"/>
      <c r="AL142" s="100"/>
      <c r="AM142" s="100"/>
      <c r="AN142" s="111"/>
      <c r="AO142" s="100"/>
      <c r="AP142" s="100"/>
      <c r="AQ142" s="111"/>
      <c r="AR142" s="100"/>
      <c r="AS142" s="100"/>
      <c r="AT142" s="111"/>
    </row>
    <row r="143" spans="1:46" ht="16.3">
      <c r="A143" s="246" t="s">
        <v>362</v>
      </c>
      <c r="B143" s="240">
        <f>SUM(J143+K143+L143+M143+N143+S143+V143+W143+X143+AA143+AI143+AJ143+AI143+AM143+AP143+AQ143+AS143+AT143+AU143+AV143)</f>
        <v>1</v>
      </c>
      <c r="C143" s="215">
        <f>SUM(J143+K143+L143+M143+N143+S143+W143+X143+V143+AA143+AJ143+AI143+AJ143+AN143+AQ143+AM143+AT143+AU143+AV143+AW143+AP143+AS143)</f>
        <v>1</v>
      </c>
      <c r="D143" s="133"/>
      <c r="E143" s="134"/>
      <c r="F143" s="135"/>
      <c r="G143" s="136"/>
      <c r="H143" s="96"/>
      <c r="I143" s="96"/>
      <c r="J143" s="104"/>
      <c r="K143" s="75"/>
      <c r="L143" s="75"/>
      <c r="M143" s="75"/>
      <c r="N143" s="75"/>
      <c r="O143" s="96"/>
      <c r="P143" s="105"/>
      <c r="Q143" s="105"/>
      <c r="R143" s="96"/>
      <c r="S143" s="128"/>
      <c r="T143" s="137"/>
      <c r="U143" s="110"/>
      <c r="V143" s="100">
        <v>1</v>
      </c>
      <c r="W143" s="100"/>
      <c r="X143" s="100"/>
      <c r="Y143" s="110"/>
      <c r="Z143" s="110"/>
      <c r="AA143" s="100"/>
      <c r="AB143" s="109"/>
      <c r="AC143" s="109"/>
      <c r="AD143" s="109"/>
      <c r="AE143" s="108"/>
      <c r="AF143" s="109"/>
      <c r="AG143" s="108"/>
      <c r="AH143" s="111"/>
      <c r="AI143" s="100"/>
      <c r="AJ143" s="100"/>
      <c r="AK143" s="100"/>
      <c r="AL143" s="100"/>
      <c r="AM143" s="100"/>
      <c r="AN143" s="111"/>
      <c r="AO143" s="100"/>
      <c r="AP143" s="100"/>
      <c r="AQ143" s="111"/>
      <c r="AR143" s="100"/>
      <c r="AS143" s="100"/>
      <c r="AT143" s="111"/>
    </row>
    <row r="144" spans="1:46" ht="16.3">
      <c r="A144" s="246" t="s">
        <v>5</v>
      </c>
      <c r="B144" s="240">
        <f>SUM(J144+K144+L144+M144+N144+S144+V144+W144+X144+AA144+AI144+AJ144+AI144+AM144+AP144+AQ144+AS144+AT144+AU144+AV144)+28</f>
        <v>32</v>
      </c>
      <c r="C144" s="215">
        <f>SUM(J144+K144+L144+M144+N144+S144+W144+X144+V144+AA144+AJ144+AI144+AJ144+AN144+AQ144+AM144+AT144+AU144+AV144+AW144+AP144+AS144)+28</f>
        <v>32</v>
      </c>
      <c r="D144" s="139"/>
      <c r="E144" s="140"/>
      <c r="F144" s="135"/>
      <c r="G144" s="136"/>
      <c r="H144" s="96"/>
      <c r="I144" s="96"/>
      <c r="J144" s="104"/>
      <c r="K144" s="75"/>
      <c r="L144" s="75"/>
      <c r="M144" s="75"/>
      <c r="N144" s="75"/>
      <c r="O144" s="96"/>
      <c r="P144" s="105"/>
      <c r="Q144" s="105"/>
      <c r="R144" s="96"/>
      <c r="S144" s="128"/>
      <c r="T144" s="137"/>
      <c r="U144" s="110"/>
      <c r="V144" s="100">
        <v>1</v>
      </c>
      <c r="W144" s="100">
        <v>1</v>
      </c>
      <c r="X144" s="100">
        <v>1</v>
      </c>
      <c r="Y144" s="110"/>
      <c r="Z144" s="110"/>
      <c r="AA144" s="100">
        <v>1</v>
      </c>
      <c r="AB144" s="109"/>
      <c r="AC144" s="109"/>
      <c r="AD144" s="109"/>
      <c r="AE144" s="108"/>
      <c r="AF144" s="109">
        <v>2</v>
      </c>
      <c r="AG144" s="108"/>
      <c r="AH144" s="111"/>
      <c r="AI144" s="100"/>
      <c r="AJ144" s="100"/>
      <c r="AK144" s="100"/>
      <c r="AL144" s="100"/>
      <c r="AM144" s="100"/>
      <c r="AN144" s="111"/>
      <c r="AO144" s="100"/>
      <c r="AP144" s="100"/>
      <c r="AQ144" s="111"/>
      <c r="AR144" s="100"/>
      <c r="AS144" s="100"/>
      <c r="AT144" s="111"/>
    </row>
    <row r="145" spans="1:46" ht="16.3">
      <c r="A145" s="246" t="s">
        <v>6</v>
      </c>
      <c r="B145" s="240">
        <f>SUM(J145+K145+L145+M145+N145+S145+V145+W145+X145+AA145+AI145+AJ145+AI145+AM145+AP145+AQ145+AS145+AT145+AU145+AV145)+39</f>
        <v>44</v>
      </c>
      <c r="C145" s="215">
        <f>SUM(J145+K145+L145+M145+N145+S145+W145+X145+V145+AA145+AJ145+AI145+AJ145+AN145+AQ145+AM145+AT145+AU145+AV145+AW145+AP145+AS145)+39</f>
        <v>44</v>
      </c>
      <c r="D145" s="139"/>
      <c r="E145" s="140"/>
      <c r="F145" s="135"/>
      <c r="G145" s="136"/>
      <c r="H145" s="96"/>
      <c r="I145" s="96"/>
      <c r="J145" s="104"/>
      <c r="K145" s="75"/>
      <c r="L145" s="75"/>
      <c r="M145" s="75"/>
      <c r="N145" s="75"/>
      <c r="O145" s="96"/>
      <c r="P145" s="105"/>
      <c r="Q145" s="105"/>
      <c r="R145" s="96"/>
      <c r="S145" s="128"/>
      <c r="T145" s="137"/>
      <c r="U145" s="110"/>
      <c r="V145" s="100">
        <v>2</v>
      </c>
      <c r="W145" s="100">
        <v>1</v>
      </c>
      <c r="X145" s="100">
        <v>1</v>
      </c>
      <c r="Y145" s="110"/>
      <c r="Z145" s="110"/>
      <c r="AA145" s="100">
        <v>1</v>
      </c>
      <c r="AB145" s="109"/>
      <c r="AC145" s="109"/>
      <c r="AD145" s="109"/>
      <c r="AE145" s="108"/>
      <c r="AF145" s="109">
        <v>3</v>
      </c>
      <c r="AG145" s="108"/>
      <c r="AH145" s="111"/>
      <c r="AI145" s="100"/>
      <c r="AJ145" s="100"/>
      <c r="AK145" s="100"/>
      <c r="AL145" s="100"/>
      <c r="AM145" s="100"/>
      <c r="AN145" s="111"/>
      <c r="AO145" s="100"/>
      <c r="AP145" s="100"/>
      <c r="AQ145" s="111"/>
      <c r="AR145" s="100"/>
      <c r="AS145" s="100"/>
      <c r="AT145" s="111"/>
    </row>
    <row r="146" spans="1:46" ht="16.3">
      <c r="A146" s="246" t="s">
        <v>365</v>
      </c>
      <c r="B146" s="242">
        <f>SUM(B144/B145)*100</f>
        <v>72.727272727272734</v>
      </c>
      <c r="C146" s="216">
        <f>SUM(C144/C145)*100</f>
        <v>72.727272727272734</v>
      </c>
      <c r="D146" s="139"/>
      <c r="E146" s="140"/>
      <c r="F146" s="135"/>
      <c r="G146" s="136"/>
      <c r="H146" s="96"/>
      <c r="I146" s="96"/>
      <c r="J146" s="104"/>
      <c r="K146" s="75"/>
      <c r="L146" s="75"/>
      <c r="M146" s="75"/>
      <c r="N146" s="75"/>
      <c r="O146" s="96"/>
      <c r="P146" s="105"/>
      <c r="Q146" s="105"/>
      <c r="R146" s="96"/>
      <c r="S146" s="128"/>
      <c r="T146" s="137"/>
      <c r="U146" s="110"/>
      <c r="V146" s="100">
        <v>50</v>
      </c>
      <c r="W146" s="100">
        <v>100</v>
      </c>
      <c r="X146" s="100">
        <v>100</v>
      </c>
      <c r="Y146" s="110"/>
      <c r="Z146" s="110"/>
      <c r="AA146" s="100">
        <v>100</v>
      </c>
      <c r="AB146" s="109"/>
      <c r="AC146" s="109"/>
      <c r="AD146" s="109"/>
      <c r="AE146" s="108"/>
      <c r="AF146" s="109">
        <v>67</v>
      </c>
      <c r="AG146" s="108"/>
      <c r="AH146" s="111"/>
      <c r="AI146" s="100"/>
      <c r="AJ146" s="100"/>
      <c r="AK146" s="100"/>
      <c r="AL146" s="100"/>
      <c r="AM146" s="100"/>
      <c r="AN146" s="111"/>
      <c r="AO146" s="100"/>
      <c r="AP146" s="100"/>
      <c r="AQ146" s="111"/>
      <c r="AR146" s="100"/>
      <c r="AS146" s="100"/>
      <c r="AT146" s="111"/>
    </row>
    <row r="147" spans="1:46" ht="16.3">
      <c r="A147" s="91" t="s">
        <v>3</v>
      </c>
      <c r="B147" s="239">
        <f>SUM(J147+K147+L147+M147+N147+S147+V147+W147+X147+AA147+AI147+AJ147+AI147+AM147+AP147+AQ147+AS147+AT147+AU147+AV147)+10</f>
        <v>10</v>
      </c>
      <c r="C147" s="214">
        <f>SUM(J147+K147+L147+M147+N147+S147+W147+X147+V147+AA147+AJ147+AI147+AJ147+AN147+AQ147+AM147+AT147+AU147+AV147+AW147+AP147+AS147)+10</f>
        <v>10</v>
      </c>
      <c r="D147" s="133"/>
      <c r="E147" s="134"/>
      <c r="F147" s="135"/>
      <c r="G147" s="136"/>
      <c r="H147" s="96"/>
      <c r="I147" s="96"/>
      <c r="J147" s="104"/>
      <c r="K147" s="75"/>
      <c r="L147" s="75"/>
      <c r="M147" s="75"/>
      <c r="N147" s="75"/>
      <c r="O147" s="96"/>
      <c r="P147" s="105"/>
      <c r="Q147" s="105"/>
      <c r="R147" s="96"/>
      <c r="S147" s="128"/>
      <c r="T147" s="137"/>
      <c r="U147" s="110"/>
      <c r="V147" s="100"/>
      <c r="W147" s="100"/>
      <c r="X147" s="100"/>
      <c r="Y147" s="110"/>
      <c r="Z147" s="110"/>
      <c r="AA147" s="100"/>
      <c r="AB147" s="109"/>
      <c r="AC147" s="109"/>
      <c r="AD147" s="109"/>
      <c r="AE147" s="108"/>
      <c r="AF147" s="109"/>
      <c r="AG147" s="108"/>
      <c r="AH147" s="111"/>
      <c r="AI147" s="100"/>
      <c r="AJ147" s="100"/>
      <c r="AK147" s="100"/>
      <c r="AL147" s="100"/>
      <c r="AM147" s="100"/>
      <c r="AN147" s="111"/>
      <c r="AO147" s="100"/>
      <c r="AP147" s="100"/>
      <c r="AQ147" s="111"/>
      <c r="AR147" s="100"/>
      <c r="AS147" s="100"/>
      <c r="AT147" s="111"/>
    </row>
    <row r="148" spans="1:46" ht="17" thickBot="1">
      <c r="A148" s="92" t="s">
        <v>4</v>
      </c>
      <c r="B148" s="241">
        <f>SUM(J148+K148+L148+M148+N148+S148+V148+W148+X148+AA148+AI148+AJ148+AI148+AM148+AP148+AQ148+AS148+AT148+AU148+AV148)+117</f>
        <v>126</v>
      </c>
      <c r="C148" s="217">
        <f>SUM(J148+K148+L148+M148+N148+S148+W148+X148+V148+AA148+AJ148+AI148+AJ148+AN148+AQ148+AM148+AT148+AU148+AV148+AW148+AP148+AS148)+117</f>
        <v>126</v>
      </c>
      <c r="D148" s="144"/>
      <c r="E148" s="145"/>
      <c r="F148" s="146"/>
      <c r="G148" s="147"/>
      <c r="H148" s="114"/>
      <c r="I148" s="114"/>
      <c r="J148" s="113"/>
      <c r="K148" s="112"/>
      <c r="L148" s="112"/>
      <c r="M148" s="112"/>
      <c r="N148" s="112"/>
      <c r="O148" s="114"/>
      <c r="P148" s="127"/>
      <c r="Q148" s="127"/>
      <c r="R148" s="114"/>
      <c r="S148" s="129"/>
      <c r="T148" s="148"/>
      <c r="U148" s="120"/>
      <c r="V148" s="112">
        <v>2</v>
      </c>
      <c r="W148" s="116">
        <v>2</v>
      </c>
      <c r="X148" s="116">
        <v>2</v>
      </c>
      <c r="Y148" s="120"/>
      <c r="Z148" s="120"/>
      <c r="AA148" s="116">
        <v>3</v>
      </c>
      <c r="AB148" s="118"/>
      <c r="AC148" s="118"/>
      <c r="AD148" s="118"/>
      <c r="AE148" s="117"/>
      <c r="AF148" s="118">
        <v>4</v>
      </c>
      <c r="AG148" s="117"/>
      <c r="AH148" s="121"/>
      <c r="AI148" s="116"/>
      <c r="AJ148" s="116"/>
      <c r="AK148" s="116"/>
      <c r="AL148" s="116"/>
      <c r="AM148" s="116"/>
      <c r="AN148" s="121"/>
      <c r="AO148" s="116"/>
      <c r="AP148" s="116"/>
      <c r="AQ148" s="121"/>
      <c r="AR148" s="116"/>
      <c r="AS148" s="116"/>
      <c r="AT148" s="121"/>
    </row>
    <row r="149" spans="1:46" ht="21.1">
      <c r="A149" s="82" t="s">
        <v>678</v>
      </c>
      <c r="B149" s="239"/>
      <c r="C149" s="214"/>
      <c r="D149" s="133"/>
      <c r="E149" s="134"/>
      <c r="F149" s="135"/>
      <c r="G149" s="136"/>
      <c r="H149" s="96"/>
      <c r="I149" s="96"/>
      <c r="J149" s="104"/>
      <c r="K149" s="75"/>
      <c r="L149" s="75"/>
      <c r="M149" s="75"/>
      <c r="N149" s="75"/>
      <c r="O149" s="96">
        <v>12</v>
      </c>
      <c r="P149" s="105"/>
      <c r="Q149" s="105"/>
      <c r="R149" s="96">
        <v>13</v>
      </c>
      <c r="S149" s="128"/>
      <c r="T149" s="137"/>
      <c r="U149" s="110"/>
      <c r="V149" s="100"/>
      <c r="W149" s="100"/>
      <c r="X149" s="100"/>
      <c r="Y149" s="110"/>
      <c r="Z149" s="110" t="s">
        <v>984</v>
      </c>
      <c r="AA149" s="100" t="s">
        <v>984</v>
      </c>
      <c r="AB149" s="109" t="s">
        <v>984</v>
      </c>
      <c r="AC149" s="109" t="s">
        <v>984</v>
      </c>
      <c r="AD149" s="109" t="s">
        <v>984</v>
      </c>
      <c r="AE149" s="108"/>
      <c r="AF149" s="109"/>
      <c r="AG149" s="108"/>
      <c r="AH149" s="111"/>
      <c r="AI149" s="100"/>
      <c r="AJ149" s="100"/>
      <c r="AK149" s="100"/>
      <c r="AL149" s="100"/>
      <c r="AM149" s="100"/>
      <c r="AN149" s="111"/>
      <c r="AO149" s="100"/>
      <c r="AP149" s="100"/>
      <c r="AQ149" s="111"/>
      <c r="AR149" s="100"/>
      <c r="AS149" s="100"/>
      <c r="AT149" s="111"/>
    </row>
    <row r="150" spans="1:46" ht="16.3">
      <c r="A150" s="246" t="s">
        <v>1</v>
      </c>
      <c r="B150" s="240">
        <f>SUM(J150+K150+L150+M150+N150+S150+V150+W150+X150+AA150+AI150+AJ150+AI150+AM150+AP150+AQ150+AS150+AT150+AU150+AV150+AN150)</f>
        <v>0</v>
      </c>
      <c r="C150" s="215">
        <f>SUM(J150+K150+L150+M150+N150+S150+W150+X150+V150+AA150+AJ150+AI150+AJ150+AN150+AQ150+AM150+AT150+AU150+AV150+AW150+AP150+AS150)</f>
        <v>0</v>
      </c>
      <c r="D150" s="133"/>
      <c r="E150" s="134"/>
      <c r="F150" s="135"/>
      <c r="G150" s="136"/>
      <c r="H150" s="96"/>
      <c r="I150" s="96"/>
      <c r="J150" s="104"/>
      <c r="K150" s="75"/>
      <c r="L150" s="75"/>
      <c r="M150" s="75"/>
      <c r="N150" s="75"/>
      <c r="O150" s="96">
        <v>1</v>
      </c>
      <c r="P150" s="105"/>
      <c r="Q150" s="105"/>
      <c r="R150" s="96">
        <v>1</v>
      </c>
      <c r="S150" s="128"/>
      <c r="T150" s="137"/>
      <c r="U150" s="110"/>
      <c r="V150" s="100"/>
      <c r="W150" s="100"/>
      <c r="X150" s="100"/>
      <c r="Y150" s="110"/>
      <c r="Z150" s="110"/>
      <c r="AA150" s="100"/>
      <c r="AB150" s="109"/>
      <c r="AC150" s="109"/>
      <c r="AD150" s="109"/>
      <c r="AE150" s="108"/>
      <c r="AF150" s="109"/>
      <c r="AG150" s="108"/>
      <c r="AH150" s="111"/>
      <c r="AI150" s="100"/>
      <c r="AJ150" s="100"/>
      <c r="AK150" s="100"/>
      <c r="AL150" s="100"/>
      <c r="AM150" s="100"/>
      <c r="AN150" s="111"/>
      <c r="AO150" s="100"/>
      <c r="AP150" s="100"/>
      <c r="AQ150" s="111"/>
      <c r="AR150" s="100"/>
      <c r="AS150" s="100"/>
      <c r="AT150" s="111"/>
    </row>
    <row r="151" spans="1:46" ht="16.3">
      <c r="A151" s="246" t="s">
        <v>2</v>
      </c>
      <c r="B151" s="240">
        <f>SUM(J151+K151+L151+M151+N151+S151+V151+W151+X151+AA151+AI151+AJ151+AI151+AM151+AP151+AQ151+AS151+AT151+AU151+AV151)</f>
        <v>0</v>
      </c>
      <c r="C151" s="215">
        <f>SUM(J151+K151+L151+M151+N151+S151+W151+X151+V151+AA151+AJ151+AI151+AJ151+AN151+AQ151+AM151+AT151+AU151+AV151+AW151+AP151+AS151)</f>
        <v>0</v>
      </c>
      <c r="D151" s="133"/>
      <c r="E151" s="134"/>
      <c r="F151" s="135"/>
      <c r="G151" s="136"/>
      <c r="H151" s="96"/>
      <c r="I151" s="96"/>
      <c r="J151" s="104"/>
      <c r="K151" s="75"/>
      <c r="L151" s="75"/>
      <c r="M151" s="75"/>
      <c r="N151" s="75"/>
      <c r="O151" s="96"/>
      <c r="P151" s="105"/>
      <c r="Q151" s="105"/>
      <c r="R151" s="96"/>
      <c r="S151" s="128"/>
      <c r="T151" s="137"/>
      <c r="U151" s="110"/>
      <c r="V151" s="100"/>
      <c r="W151" s="100"/>
      <c r="X151" s="100"/>
      <c r="Y151" s="110"/>
      <c r="Z151" s="110"/>
      <c r="AA151" s="100"/>
      <c r="AB151" s="109"/>
      <c r="AC151" s="109"/>
      <c r="AD151" s="109"/>
      <c r="AE151" s="108"/>
      <c r="AF151" s="109"/>
      <c r="AG151" s="108"/>
      <c r="AH151" s="111"/>
      <c r="AI151" s="100"/>
      <c r="AJ151" s="100"/>
      <c r="AK151" s="100"/>
      <c r="AL151" s="100"/>
      <c r="AM151" s="100"/>
      <c r="AN151" s="111"/>
      <c r="AO151" s="100"/>
      <c r="AP151" s="100"/>
      <c r="AQ151" s="111"/>
      <c r="AR151" s="100"/>
      <c r="AS151" s="100"/>
      <c r="AT151" s="111"/>
    </row>
    <row r="152" spans="1:46" ht="16.3">
      <c r="A152" s="91" t="s">
        <v>363</v>
      </c>
      <c r="B152" s="239">
        <f>SUM(B150+B151)</f>
        <v>0</v>
      </c>
      <c r="C152" s="214">
        <f>SUM(C150+C151)</f>
        <v>0</v>
      </c>
      <c r="D152" s="133"/>
      <c r="E152" s="134"/>
      <c r="F152" s="135"/>
      <c r="G152" s="136"/>
      <c r="H152" s="96"/>
      <c r="I152" s="96"/>
      <c r="J152" s="104"/>
      <c r="K152" s="75"/>
      <c r="L152" s="75"/>
      <c r="M152" s="75"/>
      <c r="N152" s="75"/>
      <c r="O152" s="96"/>
      <c r="P152" s="105"/>
      <c r="Q152" s="105"/>
      <c r="R152" s="96"/>
      <c r="S152" s="128"/>
      <c r="T152" s="137"/>
      <c r="U152" s="110"/>
      <c r="V152" s="100"/>
      <c r="W152" s="100"/>
      <c r="X152" s="100"/>
      <c r="Y152" s="110"/>
      <c r="Z152" s="110"/>
      <c r="AA152" s="100"/>
      <c r="AB152" s="109"/>
      <c r="AC152" s="109"/>
      <c r="AD152" s="109"/>
      <c r="AE152" s="108"/>
      <c r="AF152" s="109"/>
      <c r="AG152" s="108"/>
      <c r="AH152" s="111"/>
      <c r="AI152" s="100"/>
      <c r="AJ152" s="100"/>
      <c r="AK152" s="100"/>
      <c r="AL152" s="100"/>
      <c r="AM152" s="100"/>
      <c r="AN152" s="111"/>
      <c r="AO152" s="100"/>
      <c r="AP152" s="100"/>
      <c r="AQ152" s="111"/>
      <c r="AR152" s="100"/>
      <c r="AS152" s="100"/>
      <c r="AT152" s="111"/>
    </row>
    <row r="153" spans="1:46" ht="16.3">
      <c r="A153" s="91" t="s">
        <v>3</v>
      </c>
      <c r="B153" s="239">
        <f>SUM(J153+K153+L153+M153+N153+S153+V153+W153+X153+AA153+AI153+AJ153+AI153+AM153+AP153+AQ153+AS153+AT153+AU153+AV153)</f>
        <v>0</v>
      </c>
      <c r="C153" s="214">
        <f>SUM(J153+K153+L153+M153+N153+S153+W153+X153+V153+AA153+AJ153+AI153+AJ153+AN153+AQ153+AM153+AT153+AU153+AV153+AW153+AP153+AS153)</f>
        <v>0</v>
      </c>
      <c r="D153" s="133"/>
      <c r="E153" s="134"/>
      <c r="F153" s="135"/>
      <c r="G153" s="136"/>
      <c r="H153" s="96"/>
      <c r="I153" s="96"/>
      <c r="J153" s="104"/>
      <c r="K153" s="75"/>
      <c r="L153" s="75"/>
      <c r="M153" s="75"/>
      <c r="N153" s="75"/>
      <c r="O153" s="96"/>
      <c r="P153" s="105"/>
      <c r="Q153" s="105"/>
      <c r="R153" s="96"/>
      <c r="S153" s="128"/>
      <c r="T153" s="137"/>
      <c r="U153" s="110"/>
      <c r="V153" s="100"/>
      <c r="W153" s="100"/>
      <c r="X153" s="100"/>
      <c r="Y153" s="110"/>
      <c r="Z153" s="110"/>
      <c r="AA153" s="100"/>
      <c r="AB153" s="109"/>
      <c r="AC153" s="109"/>
      <c r="AD153" s="109"/>
      <c r="AE153" s="108"/>
      <c r="AF153" s="109"/>
      <c r="AG153" s="108"/>
      <c r="AH153" s="111"/>
      <c r="AI153" s="100"/>
      <c r="AJ153" s="100"/>
      <c r="AK153" s="100"/>
      <c r="AL153" s="100"/>
      <c r="AM153" s="100"/>
      <c r="AN153" s="111"/>
      <c r="AO153" s="100"/>
      <c r="AP153" s="100"/>
      <c r="AQ153" s="111"/>
      <c r="AR153" s="100"/>
      <c r="AS153" s="100"/>
      <c r="AT153" s="111"/>
    </row>
    <row r="154" spans="1:46" ht="17" thickBot="1">
      <c r="A154" s="92" t="s">
        <v>4</v>
      </c>
      <c r="B154" s="241">
        <f>SUM(J154+K154+L154+M154+N154+S154+V154+W154+X154+AA154+AI154+AJ154+AI154+AM154+AP154+AQ154+AS154+AT154+AU154+AV154)</f>
        <v>0</v>
      </c>
      <c r="C154" s="217">
        <f>SUM(J154+K154+L154+M154+N154+S154+W154+X154+V154+AA154+AJ154+AI154+AJ154+AN154+AQ154+AM154+AT154+AU154+AV154+AW154+AP154+AS154)</f>
        <v>0</v>
      </c>
      <c r="D154" s="144"/>
      <c r="E154" s="145"/>
      <c r="F154" s="146"/>
      <c r="G154" s="147"/>
      <c r="H154" s="114"/>
      <c r="I154" s="114"/>
      <c r="J154" s="113"/>
      <c r="K154" s="112"/>
      <c r="L154" s="112"/>
      <c r="M154" s="112"/>
      <c r="N154" s="112"/>
      <c r="O154" s="114"/>
      <c r="P154" s="127"/>
      <c r="Q154" s="127"/>
      <c r="R154" s="114"/>
      <c r="S154" s="129"/>
      <c r="T154" s="148"/>
      <c r="U154" s="120"/>
      <c r="V154" s="116"/>
      <c r="W154" s="116"/>
      <c r="X154" s="116"/>
      <c r="Y154" s="120"/>
      <c r="Z154" s="120"/>
      <c r="AA154" s="116"/>
      <c r="AB154" s="118"/>
      <c r="AC154" s="118"/>
      <c r="AD154" s="118"/>
      <c r="AE154" s="117"/>
      <c r="AF154" s="118"/>
      <c r="AG154" s="117"/>
      <c r="AH154" s="121"/>
      <c r="AI154" s="116"/>
      <c r="AJ154" s="116"/>
      <c r="AK154" s="116"/>
      <c r="AL154" s="116"/>
      <c r="AM154" s="116"/>
      <c r="AN154" s="121"/>
      <c r="AO154" s="116"/>
      <c r="AP154" s="116"/>
      <c r="AQ154" s="121"/>
      <c r="AR154" s="116"/>
      <c r="AS154" s="116"/>
      <c r="AT154" s="121"/>
    </row>
    <row r="155" spans="1:46" ht="21.1">
      <c r="A155" s="82" t="s">
        <v>53</v>
      </c>
      <c r="B155" s="239"/>
      <c r="C155" s="214"/>
      <c r="D155" s="133"/>
      <c r="E155" s="134"/>
      <c r="F155" s="135"/>
      <c r="G155" s="136"/>
      <c r="H155" s="96">
        <v>10</v>
      </c>
      <c r="I155" s="96" t="s">
        <v>384</v>
      </c>
      <c r="J155" s="104" t="s">
        <v>384</v>
      </c>
      <c r="K155" s="75" t="s">
        <v>339</v>
      </c>
      <c r="L155" s="75" t="s">
        <v>339</v>
      </c>
      <c r="M155" s="75" t="s">
        <v>339</v>
      </c>
      <c r="N155" s="75" t="s">
        <v>339</v>
      </c>
      <c r="O155" s="96" t="s">
        <v>339</v>
      </c>
      <c r="P155" s="105"/>
      <c r="Q155" s="105"/>
      <c r="R155" s="96" t="s">
        <v>339</v>
      </c>
      <c r="S155" s="128" t="s">
        <v>339</v>
      </c>
      <c r="T155" s="137" t="s">
        <v>339</v>
      </c>
      <c r="U155" s="110" t="s">
        <v>339</v>
      </c>
      <c r="V155" s="100" t="s">
        <v>339</v>
      </c>
      <c r="W155" s="102" t="s">
        <v>339</v>
      </c>
      <c r="X155" s="102" t="s">
        <v>339</v>
      </c>
      <c r="Y155" s="101" t="s">
        <v>339</v>
      </c>
      <c r="Z155" s="101" t="s">
        <v>339</v>
      </c>
      <c r="AA155" s="102" t="s">
        <v>339</v>
      </c>
      <c r="AB155" s="99" t="s">
        <v>339</v>
      </c>
      <c r="AC155" s="99" t="s">
        <v>339</v>
      </c>
      <c r="AD155" s="99" t="s">
        <v>339</v>
      </c>
      <c r="AE155" s="98"/>
      <c r="AF155" s="99" t="s">
        <v>339</v>
      </c>
      <c r="AG155" s="98"/>
      <c r="AH155" s="103"/>
      <c r="AI155" s="102"/>
      <c r="AJ155" s="102"/>
      <c r="AK155" s="102"/>
      <c r="AL155" s="102"/>
      <c r="AM155" s="102"/>
      <c r="AN155" s="103"/>
      <c r="AO155" s="102"/>
      <c r="AP155" s="102"/>
      <c r="AQ155" s="103"/>
      <c r="AR155" s="102"/>
      <c r="AS155" s="102"/>
      <c r="AT155" s="103"/>
    </row>
    <row r="156" spans="1:46" ht="16.3">
      <c r="A156" s="246" t="s">
        <v>1</v>
      </c>
      <c r="B156" s="240">
        <f>SUM(J156+K156+L156+M156+N156+S156+V156+W156+X156+AA156+AI156+AJ156+AI156+AM156+AP156+AQ156+AS156+AT156+AU156+AV156+AN156)+34</f>
        <v>35</v>
      </c>
      <c r="C156" s="215">
        <f>SUM(J156+K156+L156+M156+N156+S156+W156+X156+V156+AA156+AJ156+AI156+AJ156+AN156+AQ156+AM156+AT156+AU156+AV156+AW156+AP156+AS156)+107</f>
        <v>108</v>
      </c>
      <c r="D156" s="139"/>
      <c r="E156" s="140"/>
      <c r="F156" s="135"/>
      <c r="G156" s="136"/>
      <c r="H156" s="96">
        <v>1</v>
      </c>
      <c r="I156" s="96">
        <v>1</v>
      </c>
      <c r="J156" s="104">
        <v>1</v>
      </c>
      <c r="K156" s="75"/>
      <c r="L156" s="75"/>
      <c r="M156" s="75"/>
      <c r="N156" s="75"/>
      <c r="O156" s="96"/>
      <c r="P156" s="105"/>
      <c r="Q156" s="105"/>
      <c r="R156" s="96"/>
      <c r="S156" s="128"/>
      <c r="T156" s="182"/>
      <c r="U156" s="106"/>
      <c r="V156" s="75"/>
      <c r="W156" s="75"/>
      <c r="X156" s="75"/>
      <c r="Y156" s="106"/>
      <c r="Z156" s="106"/>
      <c r="AA156" s="75"/>
      <c r="AB156" s="96"/>
      <c r="AC156" s="96"/>
      <c r="AD156" s="96"/>
      <c r="AE156" s="105"/>
      <c r="AF156" s="96"/>
      <c r="AG156" s="105"/>
      <c r="AH156" s="107"/>
      <c r="AI156" s="75"/>
      <c r="AJ156" s="75"/>
      <c r="AK156" s="75"/>
      <c r="AL156" s="75"/>
      <c r="AM156" s="75"/>
      <c r="AN156" s="107"/>
      <c r="AO156" s="75"/>
      <c r="AP156" s="75"/>
      <c r="AQ156" s="107"/>
      <c r="AR156" s="75"/>
      <c r="AS156" s="75"/>
      <c r="AT156" s="107"/>
    </row>
    <row r="157" spans="1:46" ht="16.3">
      <c r="A157" s="246" t="s">
        <v>2</v>
      </c>
      <c r="B157" s="240">
        <f>SUM(J157+K157+L157+M157+N157+S157+V157+W157+X157+AA157+AI157+AJ157+AI157+AM157+AP157+AQ157+AS157+AT157+AU157+AV157)+8</f>
        <v>8</v>
      </c>
      <c r="C157" s="215">
        <f>SUM(J157+K157+L157+M157+N157+S157+W157+X157+V157+AA157+AJ157+AI157+AJ157+AN157+AQ157+AM157+AT157+AU157+AV157+AW157+AP157+AS157)+22</f>
        <v>22</v>
      </c>
      <c r="D157" s="139"/>
      <c r="E157" s="140"/>
      <c r="F157" s="135"/>
      <c r="G157" s="136"/>
      <c r="H157" s="96"/>
      <c r="I157" s="96"/>
      <c r="J157" s="104"/>
      <c r="K157" s="75"/>
      <c r="L157" s="75"/>
      <c r="M157" s="75"/>
      <c r="N157" s="75"/>
      <c r="O157" s="96"/>
      <c r="P157" s="105"/>
      <c r="Q157" s="105"/>
      <c r="R157" s="96"/>
      <c r="S157" s="128"/>
      <c r="T157" s="137"/>
      <c r="U157" s="110"/>
      <c r="V157" s="100"/>
      <c r="W157" s="100"/>
      <c r="X157" s="100"/>
      <c r="Y157" s="110"/>
      <c r="Z157" s="110"/>
      <c r="AA157" s="100"/>
      <c r="AB157" s="109"/>
      <c r="AC157" s="109"/>
      <c r="AD157" s="109"/>
      <c r="AE157" s="108"/>
      <c r="AF157" s="109"/>
      <c r="AG157" s="108"/>
      <c r="AH157" s="111"/>
      <c r="AI157" s="100"/>
      <c r="AJ157" s="100"/>
      <c r="AK157" s="100"/>
      <c r="AL157" s="100"/>
      <c r="AM157" s="100"/>
      <c r="AN157" s="111"/>
      <c r="AO157" s="100"/>
      <c r="AP157" s="100"/>
      <c r="AQ157" s="111"/>
      <c r="AR157" s="100"/>
      <c r="AS157" s="100"/>
      <c r="AT157" s="111"/>
    </row>
    <row r="158" spans="1:46" ht="16.3">
      <c r="A158" s="91" t="s">
        <v>363</v>
      </c>
      <c r="B158" s="239">
        <f>SUM(B156+B157)</f>
        <v>43</v>
      </c>
      <c r="C158" s="214">
        <f>SUM(C156+C157)</f>
        <v>130</v>
      </c>
      <c r="D158" s="133"/>
      <c r="E158" s="134"/>
      <c r="F158" s="135"/>
      <c r="G158" s="136"/>
      <c r="H158" s="96"/>
      <c r="I158" s="96"/>
      <c r="J158" s="104"/>
      <c r="K158" s="75"/>
      <c r="L158" s="75"/>
      <c r="M158" s="75"/>
      <c r="N158" s="75"/>
      <c r="O158" s="96"/>
      <c r="P158" s="105"/>
      <c r="Q158" s="105"/>
      <c r="R158" s="96"/>
      <c r="S158" s="128"/>
      <c r="T158" s="137"/>
      <c r="U158" s="110"/>
      <c r="V158" s="100"/>
      <c r="W158" s="100"/>
      <c r="X158" s="100"/>
      <c r="Y158" s="110"/>
      <c r="Z158" s="110"/>
      <c r="AA158" s="100"/>
      <c r="AB158" s="109"/>
      <c r="AC158" s="109"/>
      <c r="AD158" s="109"/>
      <c r="AE158" s="108"/>
      <c r="AF158" s="109"/>
      <c r="AG158" s="108"/>
      <c r="AH158" s="111"/>
      <c r="AI158" s="100"/>
      <c r="AJ158" s="100"/>
      <c r="AK158" s="100"/>
      <c r="AL158" s="100"/>
      <c r="AM158" s="100"/>
      <c r="AN158" s="111"/>
      <c r="AO158" s="100"/>
      <c r="AP158" s="100"/>
      <c r="AQ158" s="111"/>
      <c r="AR158" s="100"/>
      <c r="AS158" s="100"/>
      <c r="AT158" s="111"/>
    </row>
    <row r="159" spans="1:46" ht="16.3">
      <c r="A159" s="246" t="s">
        <v>362</v>
      </c>
      <c r="B159" s="240">
        <f>SUM(J159+K159+L159+M159+N159+S159+V159+W159+X159+AA159+AI159+AJ159+AI159+AM159+AP159+AQ159+AS159+AT159+AU159+AV159)+1</f>
        <v>1</v>
      </c>
      <c r="C159" s="215">
        <f>SUM(J159+K159+L159+M159+N159+S159+W159+X159+V159+AA159+AJ159+AI159+AJ159+AN159+AQ159+AM159+AT159+AU159+AV159+AW159+AP159+AS159)+2</f>
        <v>2</v>
      </c>
      <c r="D159" s="139"/>
      <c r="E159" s="140"/>
      <c r="F159" s="135"/>
      <c r="G159" s="136"/>
      <c r="H159" s="96"/>
      <c r="I159" s="96"/>
      <c r="J159" s="104"/>
      <c r="K159" s="75"/>
      <c r="L159" s="75"/>
      <c r="M159" s="75"/>
      <c r="N159" s="75"/>
      <c r="O159" s="96"/>
      <c r="P159" s="105"/>
      <c r="Q159" s="105"/>
      <c r="R159" s="96"/>
      <c r="S159" s="128"/>
      <c r="T159" s="137"/>
      <c r="U159" s="110"/>
      <c r="V159" s="100"/>
      <c r="W159" s="100"/>
      <c r="X159" s="100"/>
      <c r="Y159" s="110"/>
      <c r="Z159" s="110"/>
      <c r="AA159" s="100"/>
      <c r="AB159" s="109"/>
      <c r="AC159" s="109"/>
      <c r="AD159" s="109"/>
      <c r="AE159" s="108"/>
      <c r="AF159" s="109"/>
      <c r="AG159" s="108"/>
      <c r="AH159" s="111"/>
      <c r="AI159" s="100"/>
      <c r="AJ159" s="100"/>
      <c r="AK159" s="100"/>
      <c r="AL159" s="100"/>
      <c r="AM159" s="100"/>
      <c r="AN159" s="111"/>
      <c r="AO159" s="100"/>
      <c r="AP159" s="100"/>
      <c r="AQ159" s="111"/>
      <c r="AR159" s="100"/>
      <c r="AS159" s="100"/>
      <c r="AT159" s="111"/>
    </row>
    <row r="160" spans="1:46" ht="16.3">
      <c r="A160" s="246" t="s">
        <v>5</v>
      </c>
      <c r="B160" s="240">
        <f>SUM(J160+K160+L160+M160+N160+S160+V160+W160+X160+AA160+AI160+AJ160+AI160+AM160+AP160+AQ160+AS160+AT160+AU160+AV160)+131</f>
        <v>132</v>
      </c>
      <c r="C160" s="215">
        <f>SUM(J160+K160+L160+M160+N160+S160+W160+X160+V160+AA160+AJ160+AI160+AJ160+AN160+AQ160+AM160+AT160+AU160+AV160+AW160+AP160+AS160)+405</f>
        <v>406</v>
      </c>
      <c r="D160" s="139"/>
      <c r="E160" s="140"/>
      <c r="F160" s="135"/>
      <c r="G160" s="136"/>
      <c r="H160" s="96">
        <v>2</v>
      </c>
      <c r="I160" s="96">
        <v>3</v>
      </c>
      <c r="J160" s="104">
        <v>1</v>
      </c>
      <c r="K160" s="75"/>
      <c r="L160" s="75"/>
      <c r="M160" s="75"/>
      <c r="N160" s="75"/>
      <c r="O160" s="96"/>
      <c r="P160" s="105"/>
      <c r="Q160" s="105"/>
      <c r="R160" s="96"/>
      <c r="S160" s="128"/>
      <c r="T160" s="137"/>
      <c r="U160" s="110"/>
      <c r="V160" s="100"/>
      <c r="W160" s="100"/>
      <c r="X160" s="100"/>
      <c r="Y160" s="110"/>
      <c r="Z160" s="110"/>
      <c r="AA160" s="100"/>
      <c r="AB160" s="109"/>
      <c r="AC160" s="109"/>
      <c r="AD160" s="109"/>
      <c r="AE160" s="108"/>
      <c r="AF160" s="109"/>
      <c r="AG160" s="108"/>
      <c r="AH160" s="111"/>
      <c r="AI160" s="100"/>
      <c r="AJ160" s="100"/>
      <c r="AK160" s="100"/>
      <c r="AL160" s="100"/>
      <c r="AM160" s="100"/>
      <c r="AN160" s="111"/>
      <c r="AO160" s="100"/>
      <c r="AP160" s="100"/>
      <c r="AQ160" s="111"/>
      <c r="AR160" s="100"/>
      <c r="AS160" s="100"/>
      <c r="AT160" s="111"/>
    </row>
    <row r="161" spans="1:46" ht="16.3">
      <c r="A161" s="246" t="s">
        <v>6</v>
      </c>
      <c r="B161" s="240">
        <f>SUM(J161+K161+L161+M161+N161+S161+V161+W161+X161+AA161+AI161+AJ161+AI161+AM161+AP161+AQ161+AS161+AT161+AU161+AV161)+169</f>
        <v>170</v>
      </c>
      <c r="C161" s="215">
        <f>SUM(J161+K161+L161+M161+N161+S161+W161+X161+V161+AA161+AJ161+AI161+AJ161+AN161+AQ161+AM161+AT161+AU161+AV161+AW161+AP161+AS161)+511</f>
        <v>512</v>
      </c>
      <c r="D161" s="139"/>
      <c r="E161" s="140"/>
      <c r="F161" s="135"/>
      <c r="G161" s="136"/>
      <c r="H161" s="96">
        <v>3</v>
      </c>
      <c r="I161" s="96">
        <v>4</v>
      </c>
      <c r="J161" s="104">
        <v>1</v>
      </c>
      <c r="K161" s="75"/>
      <c r="L161" s="75"/>
      <c r="M161" s="75"/>
      <c r="N161" s="75"/>
      <c r="O161" s="96"/>
      <c r="P161" s="105"/>
      <c r="Q161" s="105"/>
      <c r="R161" s="96"/>
      <c r="S161" s="128"/>
      <c r="T161" s="137"/>
      <c r="U161" s="110"/>
      <c r="V161" s="100"/>
      <c r="W161" s="100"/>
      <c r="X161" s="100"/>
      <c r="Y161" s="110"/>
      <c r="Z161" s="110"/>
      <c r="AA161" s="100"/>
      <c r="AB161" s="109"/>
      <c r="AC161" s="109"/>
      <c r="AD161" s="109"/>
      <c r="AE161" s="108"/>
      <c r="AF161" s="109"/>
      <c r="AG161" s="108"/>
      <c r="AH161" s="111"/>
      <c r="AI161" s="100"/>
      <c r="AJ161" s="100"/>
      <c r="AK161" s="100"/>
      <c r="AL161" s="100"/>
      <c r="AM161" s="100"/>
      <c r="AN161" s="111"/>
      <c r="AO161" s="100"/>
      <c r="AP161" s="100"/>
      <c r="AQ161" s="111"/>
      <c r="AR161" s="100"/>
      <c r="AS161" s="100"/>
      <c r="AT161" s="111"/>
    </row>
    <row r="162" spans="1:46" ht="16.3">
      <c r="A162" s="246" t="s">
        <v>365</v>
      </c>
      <c r="B162" s="242">
        <f>SUM(B160/B161)*100</f>
        <v>77.64705882352942</v>
      </c>
      <c r="C162" s="216">
        <f>SUM(C160/C161)*100</f>
        <v>79.296875</v>
      </c>
      <c r="D162" s="235"/>
      <c r="E162" s="236"/>
      <c r="F162" s="135"/>
      <c r="G162" s="136"/>
      <c r="H162" s="96">
        <v>67</v>
      </c>
      <c r="I162" s="529">
        <v>75</v>
      </c>
      <c r="J162" s="104">
        <v>100</v>
      </c>
      <c r="K162" s="75"/>
      <c r="L162" s="75"/>
      <c r="M162" s="75"/>
      <c r="N162" s="75"/>
      <c r="O162" s="96"/>
      <c r="P162" s="105"/>
      <c r="Q162" s="105"/>
      <c r="R162" s="96"/>
      <c r="S162" s="128"/>
      <c r="T162" s="137"/>
      <c r="U162" s="110"/>
      <c r="V162" s="100"/>
      <c r="W162" s="100"/>
      <c r="X162" s="100"/>
      <c r="Y162" s="110"/>
      <c r="Z162" s="110"/>
      <c r="AA162" s="100"/>
      <c r="AB162" s="109"/>
      <c r="AC162" s="109"/>
      <c r="AD162" s="109"/>
      <c r="AE162" s="108"/>
      <c r="AF162" s="109"/>
      <c r="AG162" s="108"/>
      <c r="AH162" s="111"/>
      <c r="AI162" s="100"/>
      <c r="AJ162" s="100"/>
      <c r="AK162" s="100"/>
      <c r="AL162" s="100"/>
      <c r="AM162" s="100"/>
      <c r="AN162" s="111"/>
      <c r="AO162" s="100"/>
      <c r="AP162" s="100"/>
      <c r="AQ162" s="111"/>
      <c r="AR162" s="100"/>
      <c r="AS162" s="100"/>
      <c r="AT162" s="111"/>
    </row>
    <row r="163" spans="1:46" ht="16.3">
      <c r="A163" s="91" t="s">
        <v>3</v>
      </c>
      <c r="B163" s="239">
        <f>SUM(J163+K163+L163+M163+N163+S163+V163+W163+X163+AA163+AI163+AJ163+AI163+AM163+AP163+AQ163+AS163+AT163+AU163+AV163)+2</f>
        <v>2</v>
      </c>
      <c r="C163" s="214">
        <f>SUM(J163+K163+L163+M163+N163+S163+W163+X163+V163+AA163+AJ163+AI163+AJ163+AN163+AQ163+AM163+AT163+AU163+AV163+AW163+AP163+AS163)+10</f>
        <v>10</v>
      </c>
      <c r="D163" s="133"/>
      <c r="E163" s="134"/>
      <c r="F163" s="135"/>
      <c r="G163" s="136"/>
      <c r="H163" s="96"/>
      <c r="I163" s="96"/>
      <c r="J163" s="104"/>
      <c r="K163" s="75"/>
      <c r="L163" s="75"/>
      <c r="M163" s="75"/>
      <c r="N163" s="75"/>
      <c r="O163" s="96"/>
      <c r="P163" s="105"/>
      <c r="Q163" s="105"/>
      <c r="R163" s="96"/>
      <c r="S163" s="128"/>
      <c r="T163" s="137"/>
      <c r="U163" s="110"/>
      <c r="V163" s="100"/>
      <c r="W163" s="100"/>
      <c r="X163" s="100"/>
      <c r="Y163" s="110"/>
      <c r="Z163" s="110"/>
      <c r="AA163" s="100"/>
      <c r="AB163" s="109"/>
      <c r="AC163" s="109"/>
      <c r="AD163" s="109"/>
      <c r="AE163" s="108"/>
      <c r="AF163" s="109"/>
      <c r="AG163" s="108"/>
      <c r="AH163" s="111"/>
      <c r="AI163" s="100"/>
      <c r="AJ163" s="100"/>
      <c r="AK163" s="100"/>
      <c r="AL163" s="100"/>
      <c r="AM163" s="100"/>
      <c r="AN163" s="111"/>
      <c r="AO163" s="100"/>
      <c r="AP163" s="100"/>
      <c r="AQ163" s="111"/>
      <c r="AR163" s="100"/>
      <c r="AS163" s="100"/>
      <c r="AT163" s="111"/>
    </row>
    <row r="164" spans="1:46" ht="17" thickBot="1">
      <c r="A164" s="92" t="s">
        <v>4</v>
      </c>
      <c r="B164" s="241">
        <f>SUM(J164+K164+L164+M164+N164+S164+V164+W164+X164+AA164+AI164+AJ164+AI164+AM164+AP164+AQ164+AS164+AT164+AU164+AV164)+297</f>
        <v>300</v>
      </c>
      <c r="C164" s="217">
        <f>SUM(J164+K164+L164+M164+N164+S164+W164+X164+V164+AA164+AJ164+AI164+AJ164+AN164+AQ164+AM164+AT164+AU164+AV164+AW164+AP164+AS164)+1012</f>
        <v>1015</v>
      </c>
      <c r="D164" s="144"/>
      <c r="E164" s="145"/>
      <c r="F164" s="146"/>
      <c r="G164" s="147"/>
      <c r="H164" s="114">
        <v>5</v>
      </c>
      <c r="I164" s="114">
        <v>6</v>
      </c>
      <c r="J164" s="113">
        <v>3</v>
      </c>
      <c r="K164" s="112"/>
      <c r="L164" s="112"/>
      <c r="M164" s="112"/>
      <c r="N164" s="112"/>
      <c r="O164" s="114"/>
      <c r="P164" s="127"/>
      <c r="Q164" s="127"/>
      <c r="R164" s="114"/>
      <c r="S164" s="129"/>
      <c r="T164" s="148"/>
      <c r="U164" s="120"/>
      <c r="V164" s="112"/>
      <c r="W164" s="116"/>
      <c r="X164" s="116"/>
      <c r="Y164" s="120"/>
      <c r="Z164" s="120"/>
      <c r="AA164" s="116"/>
      <c r="AB164" s="118"/>
      <c r="AC164" s="118"/>
      <c r="AD164" s="118"/>
      <c r="AE164" s="117"/>
      <c r="AF164" s="118"/>
      <c r="AG164" s="117"/>
      <c r="AH164" s="121"/>
      <c r="AI164" s="116"/>
      <c r="AJ164" s="116"/>
      <c r="AK164" s="116"/>
      <c r="AL164" s="116"/>
      <c r="AM164" s="112"/>
      <c r="AN164" s="121"/>
      <c r="AO164" s="116"/>
      <c r="AP164" s="116"/>
      <c r="AQ164" s="121"/>
      <c r="AR164" s="116"/>
      <c r="AS164" s="116"/>
      <c r="AT164" s="121"/>
    </row>
    <row r="165" spans="1:46" ht="21.1">
      <c r="A165" s="82" t="s">
        <v>637</v>
      </c>
      <c r="B165" s="239"/>
      <c r="C165" s="214"/>
      <c r="D165" s="133"/>
      <c r="E165" s="134"/>
      <c r="F165" s="135"/>
      <c r="G165" s="136"/>
      <c r="H165" s="96"/>
      <c r="I165" s="96" t="s">
        <v>375</v>
      </c>
      <c r="J165" s="104"/>
      <c r="K165" s="75" t="s">
        <v>375</v>
      </c>
      <c r="L165" s="75" t="s">
        <v>375</v>
      </c>
      <c r="M165" s="75" t="s">
        <v>682</v>
      </c>
      <c r="N165" s="75">
        <v>10</v>
      </c>
      <c r="O165" s="96"/>
      <c r="P165" s="105"/>
      <c r="Q165" s="105"/>
      <c r="R165" s="96">
        <v>10</v>
      </c>
      <c r="S165" s="128">
        <v>10</v>
      </c>
      <c r="T165" s="137" t="s">
        <v>384</v>
      </c>
      <c r="U165" s="110" t="s">
        <v>375</v>
      </c>
      <c r="V165" s="100" t="s">
        <v>375</v>
      </c>
      <c r="W165" s="100" t="s">
        <v>375</v>
      </c>
      <c r="X165" s="100" t="s">
        <v>375</v>
      </c>
      <c r="Y165" s="110" t="s">
        <v>375</v>
      </c>
      <c r="Z165" s="110" t="s">
        <v>375</v>
      </c>
      <c r="AA165" s="100"/>
      <c r="AB165" s="109">
        <v>10</v>
      </c>
      <c r="AC165" s="109">
        <v>10</v>
      </c>
      <c r="AD165" s="109">
        <v>10</v>
      </c>
      <c r="AE165" s="108"/>
      <c r="AF165" s="109" t="s">
        <v>375</v>
      </c>
      <c r="AG165" s="108"/>
      <c r="AH165" s="111"/>
      <c r="AI165" s="100"/>
      <c r="AJ165" s="100"/>
      <c r="AK165" s="100"/>
      <c r="AL165" s="100"/>
      <c r="AM165" s="100"/>
      <c r="AN165" s="111"/>
      <c r="AO165" s="100"/>
      <c r="AP165" s="100"/>
      <c r="AQ165" s="111"/>
      <c r="AR165" s="100"/>
      <c r="AS165" s="100"/>
      <c r="AT165" s="111"/>
    </row>
    <row r="166" spans="1:46" ht="16.3">
      <c r="A166" s="246" t="s">
        <v>1</v>
      </c>
      <c r="B166" s="240">
        <f>SUM(J166+K166+L166+M166+N166+S166+V166+W166+X166+AA166+AI166+AJ166+AI166+AM166+AP166+AQ166+AS166+AT166+AU166+AV166+AN166)+2</f>
        <v>5</v>
      </c>
      <c r="C166" s="215">
        <f>SUM(J166+K166+L166+M166+N166+S166+W166+X166+V166+AA166+AJ166+AI166+AJ166+AN166+AQ166+AM166+AT166+AU166+AV166+AW166+AP166+AS166)+2</f>
        <v>5</v>
      </c>
      <c r="D166" s="133"/>
      <c r="E166" s="134"/>
      <c r="F166" s="135"/>
      <c r="G166" s="136"/>
      <c r="H166" s="96"/>
      <c r="I166" s="96"/>
      <c r="J166" s="104"/>
      <c r="K166" s="75"/>
      <c r="L166" s="75"/>
      <c r="M166" s="75">
        <v>1</v>
      </c>
      <c r="N166" s="75">
        <v>1</v>
      </c>
      <c r="O166" s="96"/>
      <c r="P166" s="105"/>
      <c r="Q166" s="105"/>
      <c r="R166" s="96">
        <v>1</v>
      </c>
      <c r="S166" s="128">
        <v>1</v>
      </c>
      <c r="T166" s="137">
        <v>1</v>
      </c>
      <c r="U166" s="110"/>
      <c r="V166" s="100"/>
      <c r="W166" s="100"/>
      <c r="X166" s="100"/>
      <c r="Y166" s="110"/>
      <c r="Z166" s="110"/>
      <c r="AA166" s="100"/>
      <c r="AB166" s="109">
        <v>1</v>
      </c>
      <c r="AC166" s="109">
        <v>1</v>
      </c>
      <c r="AD166" s="109">
        <v>1</v>
      </c>
      <c r="AE166" s="108"/>
      <c r="AF166" s="109"/>
      <c r="AG166" s="108"/>
      <c r="AH166" s="111"/>
      <c r="AI166" s="100"/>
      <c r="AJ166" s="100"/>
      <c r="AK166" s="100"/>
      <c r="AL166" s="100"/>
      <c r="AM166" s="100"/>
      <c r="AN166" s="111"/>
      <c r="AO166" s="100"/>
      <c r="AP166" s="100"/>
      <c r="AQ166" s="111"/>
      <c r="AR166" s="100"/>
      <c r="AS166" s="100"/>
      <c r="AT166" s="111"/>
    </row>
    <row r="167" spans="1:46" ht="16.3">
      <c r="A167" s="246" t="s">
        <v>2</v>
      </c>
      <c r="B167" s="240">
        <f>SUM(J167+K167+L167+M167+N167+S167+V167+W167+X167+AA167+AI167+AJ167+AI167+AM167+AP167+AQ167+AS167+AT167+AU167+AV167)+3</f>
        <v>8</v>
      </c>
      <c r="C167" s="215">
        <f>SUM(J167+K167+L167+M167+N167+S167+W167+X167+V167+AA167+AJ167+AI167+AJ167+AN167+AQ167+AM167+AT167+AU167+AV167+AW167+AP167+AS167)+3</f>
        <v>8</v>
      </c>
      <c r="D167" s="133"/>
      <c r="E167" s="134"/>
      <c r="F167" s="135"/>
      <c r="G167" s="136"/>
      <c r="H167" s="96"/>
      <c r="I167" s="96">
        <v>1</v>
      </c>
      <c r="J167" s="104"/>
      <c r="K167" s="75">
        <v>1</v>
      </c>
      <c r="L167" s="75">
        <v>1</v>
      </c>
      <c r="M167" s="75"/>
      <c r="N167" s="75"/>
      <c r="O167" s="96"/>
      <c r="P167" s="105"/>
      <c r="Q167" s="105"/>
      <c r="R167" s="96"/>
      <c r="S167" s="128"/>
      <c r="T167" s="137"/>
      <c r="U167" s="110">
        <v>1</v>
      </c>
      <c r="V167" s="100">
        <v>1</v>
      </c>
      <c r="W167" s="100">
        <v>1</v>
      </c>
      <c r="X167" s="100">
        <v>1</v>
      </c>
      <c r="Y167" s="110">
        <v>1</v>
      </c>
      <c r="Z167" s="110">
        <v>1</v>
      </c>
      <c r="AA167" s="100"/>
      <c r="AB167" s="109"/>
      <c r="AC167" s="109"/>
      <c r="AD167" s="109"/>
      <c r="AE167" s="108"/>
      <c r="AF167" s="109">
        <v>1</v>
      </c>
      <c r="AG167" s="108"/>
      <c r="AH167" s="111"/>
      <c r="AI167" s="100"/>
      <c r="AJ167" s="100"/>
      <c r="AK167" s="100"/>
      <c r="AL167" s="100"/>
      <c r="AM167" s="100"/>
      <c r="AN167" s="111"/>
      <c r="AO167" s="100"/>
      <c r="AP167" s="100"/>
      <c r="AQ167" s="111"/>
      <c r="AR167" s="100"/>
      <c r="AS167" s="100"/>
      <c r="AT167" s="111"/>
    </row>
    <row r="168" spans="1:46" ht="16.3">
      <c r="A168" s="91" t="s">
        <v>363</v>
      </c>
      <c r="B168" s="239">
        <f>SUM(B166+B167)</f>
        <v>13</v>
      </c>
      <c r="C168" s="214">
        <f>SUM(C166+C167)</f>
        <v>13</v>
      </c>
      <c r="D168" s="133"/>
      <c r="E168" s="134"/>
      <c r="F168" s="135"/>
      <c r="G168" s="136"/>
      <c r="H168" s="96"/>
      <c r="I168" s="96"/>
      <c r="J168" s="104"/>
      <c r="K168" s="75"/>
      <c r="L168" s="75"/>
      <c r="M168" s="75"/>
      <c r="N168" s="75"/>
      <c r="O168" s="96"/>
      <c r="P168" s="105"/>
      <c r="Q168" s="105"/>
      <c r="R168" s="96"/>
      <c r="S168" s="128"/>
      <c r="T168" s="137"/>
      <c r="U168" s="110"/>
      <c r="V168" s="100"/>
      <c r="W168" s="100"/>
      <c r="X168" s="100"/>
      <c r="Y168" s="110"/>
      <c r="Z168" s="110"/>
      <c r="AA168" s="100"/>
      <c r="AB168" s="109"/>
      <c r="AC168" s="109"/>
      <c r="AD168" s="109"/>
      <c r="AE168" s="108"/>
      <c r="AF168" s="109"/>
      <c r="AG168" s="108"/>
      <c r="AH168" s="111"/>
      <c r="AI168" s="100"/>
      <c r="AJ168" s="100"/>
      <c r="AK168" s="100"/>
      <c r="AL168" s="100"/>
      <c r="AM168" s="100"/>
      <c r="AN168" s="111"/>
      <c r="AO168" s="100"/>
      <c r="AP168" s="100"/>
      <c r="AQ168" s="111"/>
      <c r="AR168" s="100"/>
      <c r="AS168" s="100"/>
      <c r="AT168" s="111"/>
    </row>
    <row r="169" spans="1:46" ht="16.3">
      <c r="A169" s="246" t="s">
        <v>5</v>
      </c>
      <c r="B169" s="240">
        <f>SUM(J169+K169+L169+M169+N169+S169+V169+W169+X169+AA169+AI169+AJ169+AI169+AM169+AP169+AQ169+AS169+AT169+AU169+AV169)+5</f>
        <v>24</v>
      </c>
      <c r="C169" s="215">
        <f>SUM(J169+K169+L169+M169+N169+S169+W169+X169+V169+AA169+AJ169+AI169+AJ169+AN169+AQ169+AM169+AT169+AU169+AV169+AW169+AP169+AS169)+5</f>
        <v>24</v>
      </c>
      <c r="D169" s="133"/>
      <c r="E169" s="134"/>
      <c r="F169" s="135"/>
      <c r="G169" s="136"/>
      <c r="H169" s="96"/>
      <c r="I169" s="96">
        <v>2</v>
      </c>
      <c r="J169" s="104"/>
      <c r="K169" s="75">
        <v>1</v>
      </c>
      <c r="L169" s="75">
        <v>2</v>
      </c>
      <c r="M169" s="75">
        <v>7</v>
      </c>
      <c r="N169" s="75">
        <v>2</v>
      </c>
      <c r="O169" s="96"/>
      <c r="P169" s="105"/>
      <c r="Q169" s="105"/>
      <c r="R169" s="96">
        <v>3</v>
      </c>
      <c r="S169" s="128">
        <v>7</v>
      </c>
      <c r="T169" s="137">
        <v>1</v>
      </c>
      <c r="U169" s="110"/>
      <c r="V169" s="100"/>
      <c r="W169" s="100"/>
      <c r="X169" s="100"/>
      <c r="Y169" s="110"/>
      <c r="Z169" s="110">
        <v>2</v>
      </c>
      <c r="AA169" s="100"/>
      <c r="AB169" s="109">
        <v>1</v>
      </c>
      <c r="AC169" s="109">
        <v>5</v>
      </c>
      <c r="AD169" s="109">
        <v>4</v>
      </c>
      <c r="AE169" s="108"/>
      <c r="AF169" s="109">
        <v>1</v>
      </c>
      <c r="AG169" s="108"/>
      <c r="AH169" s="111"/>
      <c r="AI169" s="100"/>
      <c r="AJ169" s="100"/>
      <c r="AK169" s="100"/>
      <c r="AL169" s="100"/>
      <c r="AM169" s="100"/>
      <c r="AN169" s="111"/>
      <c r="AO169" s="100"/>
      <c r="AP169" s="100"/>
      <c r="AQ169" s="111"/>
      <c r="AR169" s="100"/>
      <c r="AS169" s="100"/>
      <c r="AT169" s="111"/>
    </row>
    <row r="170" spans="1:46" ht="16.3">
      <c r="A170" s="246" t="s">
        <v>6</v>
      </c>
      <c r="B170" s="240">
        <f>SUM(J170+K170+L170+M170+N170+S170+V170+W170+X170+AA170+AI170+AJ170+AI170+AM170+AP170+AQ170+AS170+AT170+AU170+AV170)+6</f>
        <v>28</v>
      </c>
      <c r="C170" s="215">
        <f>SUM(J170+K170+L170+M170+N170+S170+W170+X170+V170+AA170+AJ170+AI170+AJ170+AN170+AQ170+AM170+AT170+AU170+AV170+AW170+AP170+AS170)+6</f>
        <v>28</v>
      </c>
      <c r="D170" s="133"/>
      <c r="E170" s="134"/>
      <c r="F170" s="135"/>
      <c r="G170" s="136"/>
      <c r="H170" s="96"/>
      <c r="I170" s="96">
        <v>2</v>
      </c>
      <c r="J170" s="104"/>
      <c r="K170" s="75">
        <v>2</v>
      </c>
      <c r="L170" s="75">
        <v>2</v>
      </c>
      <c r="M170" s="75">
        <v>7</v>
      </c>
      <c r="N170" s="75">
        <v>3</v>
      </c>
      <c r="O170" s="96"/>
      <c r="P170" s="105"/>
      <c r="Q170" s="105"/>
      <c r="R170" s="96">
        <v>3</v>
      </c>
      <c r="S170" s="128">
        <v>8</v>
      </c>
      <c r="T170" s="137">
        <v>3</v>
      </c>
      <c r="U170" s="110"/>
      <c r="V170" s="100"/>
      <c r="W170" s="100"/>
      <c r="X170" s="100"/>
      <c r="Y170" s="110"/>
      <c r="Z170" s="110">
        <v>2</v>
      </c>
      <c r="AA170" s="100"/>
      <c r="AB170" s="109">
        <v>2</v>
      </c>
      <c r="AC170" s="109">
        <v>5</v>
      </c>
      <c r="AD170" s="109">
        <v>4</v>
      </c>
      <c r="AE170" s="108"/>
      <c r="AF170" s="109">
        <v>3</v>
      </c>
      <c r="AG170" s="108"/>
      <c r="AH170" s="111"/>
      <c r="AI170" s="100"/>
      <c r="AJ170" s="100"/>
      <c r="AK170" s="100"/>
      <c r="AL170" s="100"/>
      <c r="AM170" s="100"/>
      <c r="AN170" s="111"/>
      <c r="AO170" s="100"/>
      <c r="AP170" s="100"/>
      <c r="AQ170" s="111"/>
      <c r="AR170" s="100"/>
      <c r="AS170" s="100"/>
      <c r="AT170" s="111"/>
    </row>
    <row r="171" spans="1:46" ht="16.3">
      <c r="A171" s="246" t="s">
        <v>365</v>
      </c>
      <c r="B171" s="242">
        <f>SUM(B169/B170)*100</f>
        <v>85.714285714285708</v>
      </c>
      <c r="C171" s="216">
        <f>SUM(C169/C170)*100</f>
        <v>85.714285714285708</v>
      </c>
      <c r="D171" s="133"/>
      <c r="E171" s="134"/>
      <c r="F171" s="135"/>
      <c r="G171" s="136"/>
      <c r="H171" s="96"/>
      <c r="I171" s="96">
        <v>100</v>
      </c>
      <c r="J171" s="104"/>
      <c r="K171" s="75">
        <v>50</v>
      </c>
      <c r="L171" s="75">
        <v>100</v>
      </c>
      <c r="M171" s="75">
        <v>100</v>
      </c>
      <c r="N171" s="75">
        <v>67</v>
      </c>
      <c r="O171" s="96"/>
      <c r="P171" s="105"/>
      <c r="Q171" s="105"/>
      <c r="R171" s="96">
        <v>100</v>
      </c>
      <c r="S171" s="128">
        <v>88</v>
      </c>
      <c r="T171" s="137">
        <v>33</v>
      </c>
      <c r="U171" s="110"/>
      <c r="V171" s="100"/>
      <c r="W171" s="100"/>
      <c r="X171" s="100"/>
      <c r="Y171" s="110"/>
      <c r="Z171" s="110">
        <v>100</v>
      </c>
      <c r="AA171" s="100"/>
      <c r="AB171" s="109">
        <v>50</v>
      </c>
      <c r="AC171" s="109">
        <v>100</v>
      </c>
      <c r="AD171" s="109">
        <v>100</v>
      </c>
      <c r="AE171" s="108"/>
      <c r="AF171" s="109">
        <v>33</v>
      </c>
      <c r="AG171" s="108"/>
      <c r="AH171" s="111"/>
      <c r="AI171" s="100"/>
      <c r="AJ171" s="100"/>
      <c r="AK171" s="100"/>
      <c r="AL171" s="100"/>
      <c r="AM171" s="100"/>
      <c r="AN171" s="111"/>
      <c r="AO171" s="100"/>
      <c r="AP171" s="100"/>
      <c r="AQ171" s="111"/>
      <c r="AR171" s="100"/>
      <c r="AS171" s="100"/>
      <c r="AT171" s="111"/>
    </row>
    <row r="172" spans="1:46" ht="16.3">
      <c r="A172" s="91" t="s">
        <v>3</v>
      </c>
      <c r="B172" s="239">
        <f>SUM(J172+K172+L172+M172+N172+S172+V172+W172+X172+AA172+AI172+AJ172+AI172+AM172+AP172+AQ172+AS172+AT172+AU172+AV172)</f>
        <v>1</v>
      </c>
      <c r="C172" s="214">
        <f>SUM(J172+K172+L172+M172+N172+S172+W172+X172+V172+AA172+AJ172+AI172+AJ172+AN172+AQ172+AM172+AT172+AU172+AV172+AW172+AP172+AS172)</f>
        <v>1</v>
      </c>
      <c r="D172" s="133"/>
      <c r="E172" s="134"/>
      <c r="F172" s="135"/>
      <c r="G172" s="136"/>
      <c r="H172" s="96"/>
      <c r="I172" s="96"/>
      <c r="J172" s="104"/>
      <c r="K172" s="75"/>
      <c r="L172" s="75"/>
      <c r="M172" s="75">
        <v>1</v>
      </c>
      <c r="N172" s="75"/>
      <c r="O172" s="96"/>
      <c r="P172" s="105"/>
      <c r="Q172" s="105"/>
      <c r="R172" s="96"/>
      <c r="S172" s="128"/>
      <c r="T172" s="137"/>
      <c r="U172" s="110"/>
      <c r="V172" s="100"/>
      <c r="W172" s="100"/>
      <c r="X172" s="100"/>
      <c r="Y172" s="110"/>
      <c r="Z172" s="110"/>
      <c r="AA172" s="100"/>
      <c r="AB172" s="109"/>
      <c r="AC172" s="109">
        <v>1</v>
      </c>
      <c r="AD172" s="109"/>
      <c r="AE172" s="108"/>
      <c r="AF172" s="109"/>
      <c r="AG172" s="108"/>
      <c r="AH172" s="111"/>
      <c r="AI172" s="100"/>
      <c r="AJ172" s="100"/>
      <c r="AK172" s="100"/>
      <c r="AL172" s="100"/>
      <c r="AM172" s="100"/>
      <c r="AN172" s="111"/>
      <c r="AO172" s="100"/>
      <c r="AP172" s="100"/>
      <c r="AQ172" s="111"/>
      <c r="AR172" s="100"/>
      <c r="AS172" s="100"/>
      <c r="AT172" s="111"/>
    </row>
    <row r="173" spans="1:46" ht="17" thickBot="1">
      <c r="A173" s="92" t="s">
        <v>4</v>
      </c>
      <c r="B173" s="241">
        <f>SUM(J173+K173+L173+M173+N173+S173+V173+W173+X173+AA173+AI173+AJ173+AI173+AM173+AP173+AQ173+AS173+AT173+AU173+AV173)+10</f>
        <v>57</v>
      </c>
      <c r="C173" s="217">
        <f>SUM(J173+K173+L173+M173+N173+S173+W173+X173+V173+AA173+AJ173+AI173+AJ173+AN173+AQ173+AM173+AT173+AU173+AV173+AW173+AP173+AS173)+10</f>
        <v>57</v>
      </c>
      <c r="D173" s="144"/>
      <c r="E173" s="145"/>
      <c r="F173" s="146"/>
      <c r="G173" s="147"/>
      <c r="H173" s="114"/>
      <c r="I173" s="114">
        <v>4</v>
      </c>
      <c r="J173" s="113"/>
      <c r="K173" s="112">
        <v>2</v>
      </c>
      <c r="L173" s="112">
        <v>5</v>
      </c>
      <c r="M173" s="183">
        <v>19</v>
      </c>
      <c r="N173" s="112">
        <v>5</v>
      </c>
      <c r="O173" s="114"/>
      <c r="P173" s="127"/>
      <c r="Q173" s="127"/>
      <c r="R173" s="114">
        <v>7</v>
      </c>
      <c r="S173" s="129">
        <v>16</v>
      </c>
      <c r="T173" s="148">
        <v>2</v>
      </c>
      <c r="U173" s="120"/>
      <c r="V173" s="116"/>
      <c r="W173" s="116"/>
      <c r="X173" s="116"/>
      <c r="Y173" s="120"/>
      <c r="Z173" s="120">
        <v>5</v>
      </c>
      <c r="AA173" s="116"/>
      <c r="AB173" s="118">
        <v>3</v>
      </c>
      <c r="AC173" s="118">
        <v>15</v>
      </c>
      <c r="AD173" s="118">
        <v>9</v>
      </c>
      <c r="AE173" s="117"/>
      <c r="AF173" s="118">
        <v>2</v>
      </c>
      <c r="AG173" s="117"/>
      <c r="AH173" s="121"/>
      <c r="AI173" s="116"/>
      <c r="AJ173" s="116"/>
      <c r="AK173" s="116"/>
      <c r="AL173" s="116"/>
      <c r="AM173" s="116"/>
      <c r="AN173" s="121"/>
      <c r="AO173" s="116"/>
      <c r="AP173" s="116"/>
      <c r="AQ173" s="121"/>
      <c r="AR173" s="116"/>
      <c r="AS173" s="116"/>
      <c r="AT173" s="121"/>
    </row>
    <row r="174" spans="1:46" ht="21.1">
      <c r="A174" s="82" t="s">
        <v>1031</v>
      </c>
      <c r="B174" s="239"/>
      <c r="C174" s="214"/>
      <c r="D174" s="133"/>
      <c r="E174" s="134"/>
      <c r="F174" s="135"/>
      <c r="G174" s="136"/>
      <c r="H174" s="96"/>
      <c r="I174" s="96"/>
      <c r="J174" s="104"/>
      <c r="K174" s="75"/>
      <c r="L174" s="75"/>
      <c r="M174" s="168"/>
      <c r="N174" s="75"/>
      <c r="O174" s="96" t="s">
        <v>384</v>
      </c>
      <c r="P174" s="105"/>
      <c r="Q174" s="105"/>
      <c r="R174" s="96"/>
      <c r="S174" s="128"/>
      <c r="T174" s="137"/>
      <c r="U174" s="110"/>
      <c r="V174" s="100"/>
      <c r="W174" s="100"/>
      <c r="X174" s="100"/>
      <c r="Y174" s="110"/>
      <c r="Z174" s="110"/>
      <c r="AA174" s="100"/>
      <c r="AB174" s="109" t="s">
        <v>393</v>
      </c>
      <c r="AC174" s="109"/>
      <c r="AD174" s="109" t="s">
        <v>393</v>
      </c>
      <c r="AE174" s="108"/>
      <c r="AF174" s="109"/>
      <c r="AG174" s="108"/>
      <c r="AH174" s="111"/>
      <c r="AI174" s="100"/>
      <c r="AJ174" s="100"/>
      <c r="AK174" s="100"/>
      <c r="AL174" s="100"/>
      <c r="AM174" s="100"/>
      <c r="AN174" s="111"/>
      <c r="AO174" s="100"/>
      <c r="AP174" s="100"/>
      <c r="AQ174" s="111"/>
      <c r="AR174" s="100"/>
      <c r="AS174" s="100"/>
      <c r="AT174" s="111"/>
    </row>
    <row r="175" spans="1:46" ht="16.3">
      <c r="A175" s="246" t="s">
        <v>1</v>
      </c>
      <c r="B175" s="240">
        <f t="shared" ref="B175" si="28">SUM(J175+K175+L175+M175+N175+S175+V175+W175+X175+AA175+AI175+AJ175+AI175+AM175+AP175+AQ175+AS175+AT175+AU175+AV175+AN175)</f>
        <v>0</v>
      </c>
      <c r="C175" s="215">
        <f t="shared" ref="C175:C176" si="29">SUM(J175+K175+L175+M175+N175+S175+W175+X175+V175+AA175+AJ175+AI175+AJ175+AN175+AQ175+AM175+AT175+AU175+AV175+AW175+AP175+AS175)</f>
        <v>0</v>
      </c>
      <c r="D175" s="133"/>
      <c r="E175" s="134"/>
      <c r="F175" s="135"/>
      <c r="G175" s="136"/>
      <c r="H175" s="96"/>
      <c r="I175" s="96"/>
      <c r="J175" s="104"/>
      <c r="K175" s="75"/>
      <c r="L175" s="75"/>
      <c r="M175" s="168"/>
      <c r="N175" s="75"/>
      <c r="O175" s="96">
        <v>1</v>
      </c>
      <c r="P175" s="105"/>
      <c r="Q175" s="105"/>
      <c r="R175" s="96"/>
      <c r="S175" s="128"/>
      <c r="T175" s="137"/>
      <c r="U175" s="110"/>
      <c r="V175" s="100"/>
      <c r="W175" s="100"/>
      <c r="X175" s="100"/>
      <c r="Y175" s="110"/>
      <c r="Z175" s="110"/>
      <c r="AA175" s="100"/>
      <c r="AB175" s="109"/>
      <c r="AC175" s="109"/>
      <c r="AD175" s="109"/>
      <c r="AE175" s="108"/>
      <c r="AF175" s="109"/>
      <c r="AG175" s="108"/>
      <c r="AH175" s="111"/>
      <c r="AI175" s="100"/>
      <c r="AJ175" s="100"/>
      <c r="AK175" s="100"/>
      <c r="AL175" s="100"/>
      <c r="AM175" s="100"/>
      <c r="AN175" s="111"/>
      <c r="AO175" s="100"/>
      <c r="AP175" s="100"/>
      <c r="AQ175" s="111"/>
      <c r="AR175" s="100"/>
      <c r="AS175" s="100"/>
      <c r="AT175" s="111"/>
    </row>
    <row r="176" spans="1:46" ht="16.3">
      <c r="A176" s="246" t="s">
        <v>2</v>
      </c>
      <c r="B176" s="240">
        <f t="shared" ref="B176" si="30">SUM(J176+K176+L176+M176+N176+S176+V176+W176+X176+AA176+AI176+AJ176+AI176+AM176+AP176+AQ176+AS176+AT176+AU176+AV176)</f>
        <v>0</v>
      </c>
      <c r="C176" s="215">
        <f t="shared" si="29"/>
        <v>0</v>
      </c>
      <c r="D176" s="133"/>
      <c r="E176" s="134"/>
      <c r="F176" s="135"/>
      <c r="G176" s="136"/>
      <c r="H176" s="96"/>
      <c r="I176" s="96"/>
      <c r="J176" s="104"/>
      <c r="K176" s="75"/>
      <c r="L176" s="75"/>
      <c r="M176" s="168"/>
      <c r="N176" s="75"/>
      <c r="O176" s="96"/>
      <c r="P176" s="105"/>
      <c r="Q176" s="105"/>
      <c r="R176" s="96"/>
      <c r="S176" s="128"/>
      <c r="T176" s="137"/>
      <c r="U176" s="110"/>
      <c r="V176" s="100"/>
      <c r="W176" s="100"/>
      <c r="X176" s="100"/>
      <c r="Y176" s="110"/>
      <c r="Z176" s="110"/>
      <c r="AA176" s="100"/>
      <c r="AB176" s="109"/>
      <c r="AC176" s="109"/>
      <c r="AD176" s="109"/>
      <c r="AE176" s="108"/>
      <c r="AF176" s="109"/>
      <c r="AG176" s="108"/>
      <c r="AH176" s="111"/>
      <c r="AI176" s="100"/>
      <c r="AJ176" s="100"/>
      <c r="AK176" s="100"/>
      <c r="AL176" s="100"/>
      <c r="AM176" s="100"/>
      <c r="AN176" s="111"/>
      <c r="AO176" s="100"/>
      <c r="AP176" s="100"/>
      <c r="AQ176" s="111"/>
      <c r="AR176" s="100"/>
      <c r="AS176" s="100"/>
      <c r="AT176" s="111"/>
    </row>
    <row r="177" spans="1:46" ht="16.3">
      <c r="A177" s="91" t="s">
        <v>363</v>
      </c>
      <c r="B177" s="239">
        <f>SUM(B175+B176)</f>
        <v>0</v>
      </c>
      <c r="C177" s="214">
        <f>SUM(C175+C176)</f>
        <v>0</v>
      </c>
      <c r="D177" s="133"/>
      <c r="E177" s="134"/>
      <c r="F177" s="135"/>
      <c r="G177" s="136"/>
      <c r="H177" s="96"/>
      <c r="I177" s="96"/>
      <c r="J177" s="104"/>
      <c r="K177" s="75"/>
      <c r="L177" s="75"/>
      <c r="M177" s="168"/>
      <c r="N177" s="75"/>
      <c r="O177" s="96"/>
      <c r="P177" s="105"/>
      <c r="Q177" s="105"/>
      <c r="R177" s="96"/>
      <c r="S177" s="128"/>
      <c r="T177" s="137"/>
      <c r="U177" s="110"/>
      <c r="V177" s="100"/>
      <c r="W177" s="100"/>
      <c r="X177" s="100"/>
      <c r="Y177" s="110"/>
      <c r="Z177" s="110"/>
      <c r="AA177" s="100"/>
      <c r="AB177" s="109"/>
      <c r="AC177" s="109"/>
      <c r="AD177" s="109"/>
      <c r="AE177" s="108"/>
      <c r="AF177" s="109"/>
      <c r="AG177" s="108"/>
      <c r="AH177" s="111"/>
      <c r="AI177" s="100"/>
      <c r="AJ177" s="100"/>
      <c r="AK177" s="100"/>
      <c r="AL177" s="100"/>
      <c r="AM177" s="100"/>
      <c r="AN177" s="111"/>
      <c r="AO177" s="100"/>
      <c r="AP177" s="100"/>
      <c r="AQ177" s="111"/>
      <c r="AR177" s="100"/>
      <c r="AS177" s="100"/>
      <c r="AT177" s="111"/>
    </row>
    <row r="178" spans="1:46" ht="16.3">
      <c r="A178" s="246" t="s">
        <v>5</v>
      </c>
      <c r="B178" s="240">
        <f t="shared" ref="B178" si="31">SUM(J178+K178+L178+M178+N178+S178+V178+W178+X178+AA178+AI178+AJ178+AI178+AM178+AP178+AQ178+AS178+AT178+AU178+AV178+AN178)</f>
        <v>0</v>
      </c>
      <c r="C178" s="215">
        <f t="shared" ref="C178:C179" si="32">SUM(J178+K178+L178+M178+N178+S178+W178+X178+V178+AA178+AJ178+AI178+AJ178+AN178+AQ178+AM178+AT178+AU178+AV178+AW178+AP178+AS178)</f>
        <v>0</v>
      </c>
      <c r="D178" s="133"/>
      <c r="E178" s="134"/>
      <c r="F178" s="135"/>
      <c r="G178" s="136"/>
      <c r="H178" s="96"/>
      <c r="I178" s="96"/>
      <c r="J178" s="104"/>
      <c r="K178" s="75"/>
      <c r="L178" s="75"/>
      <c r="M178" s="168"/>
      <c r="N178" s="75"/>
      <c r="O178" s="96">
        <v>2</v>
      </c>
      <c r="P178" s="105"/>
      <c r="Q178" s="105"/>
      <c r="R178" s="96"/>
      <c r="S178" s="128"/>
      <c r="T178" s="137"/>
      <c r="U178" s="110"/>
      <c r="V178" s="100"/>
      <c r="W178" s="100"/>
      <c r="X178" s="100"/>
      <c r="Y178" s="110"/>
      <c r="Z178" s="110"/>
      <c r="AA178" s="100"/>
      <c r="AB178" s="109"/>
      <c r="AC178" s="109"/>
      <c r="AD178" s="109"/>
      <c r="AE178" s="108"/>
      <c r="AF178" s="109"/>
      <c r="AG178" s="108"/>
      <c r="AH178" s="111"/>
      <c r="AI178" s="100"/>
      <c r="AJ178" s="100"/>
      <c r="AK178" s="100"/>
      <c r="AL178" s="100"/>
      <c r="AM178" s="100"/>
      <c r="AN178" s="111"/>
      <c r="AO178" s="100"/>
      <c r="AP178" s="100"/>
      <c r="AQ178" s="111"/>
      <c r="AR178" s="100"/>
      <c r="AS178" s="100"/>
      <c r="AT178" s="111"/>
    </row>
    <row r="179" spans="1:46" ht="16.3">
      <c r="A179" s="246" t="s">
        <v>6</v>
      </c>
      <c r="B179" s="240">
        <f t="shared" ref="B179" si="33">SUM(J179+K179+L179+M179+N179+S179+V179+W179+X179+AA179+AI179+AJ179+AI179+AM179+AP179+AQ179+AS179+AT179+AU179+AV179)</f>
        <v>0</v>
      </c>
      <c r="C179" s="215">
        <f t="shared" si="32"/>
        <v>0</v>
      </c>
      <c r="D179" s="133"/>
      <c r="E179" s="134"/>
      <c r="F179" s="135"/>
      <c r="G179" s="136"/>
      <c r="H179" s="96"/>
      <c r="I179" s="96"/>
      <c r="J179" s="104"/>
      <c r="K179" s="75"/>
      <c r="L179" s="75"/>
      <c r="M179" s="168"/>
      <c r="N179" s="75"/>
      <c r="O179" s="96">
        <v>3</v>
      </c>
      <c r="P179" s="105"/>
      <c r="Q179" s="105"/>
      <c r="R179" s="96"/>
      <c r="S179" s="128"/>
      <c r="T179" s="137"/>
      <c r="U179" s="110"/>
      <c r="V179" s="100"/>
      <c r="W179" s="100"/>
      <c r="X179" s="100"/>
      <c r="Y179" s="110"/>
      <c r="Z179" s="110"/>
      <c r="AA179" s="100"/>
      <c r="AB179" s="109"/>
      <c r="AC179" s="109"/>
      <c r="AD179" s="109"/>
      <c r="AE179" s="108"/>
      <c r="AF179" s="109"/>
      <c r="AG179" s="108"/>
      <c r="AH179" s="111"/>
      <c r="AI179" s="100"/>
      <c r="AJ179" s="100"/>
      <c r="AK179" s="100"/>
      <c r="AL179" s="100"/>
      <c r="AM179" s="100"/>
      <c r="AN179" s="111"/>
      <c r="AO179" s="100"/>
      <c r="AP179" s="100"/>
      <c r="AQ179" s="111"/>
      <c r="AR179" s="100"/>
      <c r="AS179" s="100"/>
      <c r="AT179" s="111"/>
    </row>
    <row r="180" spans="1:46" ht="16.3">
      <c r="A180" s="246" t="s">
        <v>365</v>
      </c>
      <c r="B180" s="240">
        <v>0</v>
      </c>
      <c r="C180" s="215">
        <v>0</v>
      </c>
      <c r="D180" s="133"/>
      <c r="E180" s="134"/>
      <c r="F180" s="135"/>
      <c r="G180" s="136"/>
      <c r="H180" s="96"/>
      <c r="I180" s="96"/>
      <c r="J180" s="104"/>
      <c r="K180" s="75"/>
      <c r="L180" s="75"/>
      <c r="M180" s="168"/>
      <c r="N180" s="75"/>
      <c r="O180" s="96">
        <v>67</v>
      </c>
      <c r="P180" s="105"/>
      <c r="Q180" s="105"/>
      <c r="R180" s="96"/>
      <c r="S180" s="128"/>
      <c r="T180" s="137"/>
      <c r="U180" s="110"/>
      <c r="V180" s="100"/>
      <c r="W180" s="100"/>
      <c r="X180" s="100"/>
      <c r="Y180" s="110"/>
      <c r="Z180" s="110"/>
      <c r="AA180" s="100"/>
      <c r="AB180" s="109"/>
      <c r="AC180" s="109"/>
      <c r="AD180" s="109"/>
      <c r="AE180" s="108"/>
      <c r="AF180" s="109"/>
      <c r="AG180" s="108"/>
      <c r="AH180" s="111"/>
      <c r="AI180" s="100"/>
      <c r="AJ180" s="100"/>
      <c r="AK180" s="100"/>
      <c r="AL180" s="100"/>
      <c r="AM180" s="100"/>
      <c r="AN180" s="111"/>
      <c r="AO180" s="100"/>
      <c r="AP180" s="100"/>
      <c r="AQ180" s="111"/>
      <c r="AR180" s="100"/>
      <c r="AS180" s="100"/>
      <c r="AT180" s="111"/>
    </row>
    <row r="181" spans="1:46" ht="16.3">
      <c r="A181" s="91" t="s">
        <v>3</v>
      </c>
      <c r="B181" s="239">
        <f t="shared" ref="B181" si="34">SUM(J181+K181+L181+M181+N181+S181+V181+W181+X181+AA181+AI181+AJ181+AI181+AM181+AP181+AQ181+AS181+AT181+AU181+AV181+AN181)</f>
        <v>0</v>
      </c>
      <c r="C181" s="214">
        <f t="shared" ref="C181:C182" si="35">SUM(J181+K181+L181+M181+N181+S181+W181+X181+V181+AA181+AJ181+AI181+AJ181+AN181+AQ181+AM181+AT181+AU181+AV181+AW181+AP181+AS181)</f>
        <v>0</v>
      </c>
      <c r="D181" s="133"/>
      <c r="E181" s="134"/>
      <c r="F181" s="135"/>
      <c r="G181" s="136"/>
      <c r="H181" s="96"/>
      <c r="I181" s="96"/>
      <c r="J181" s="104"/>
      <c r="K181" s="75"/>
      <c r="L181" s="75"/>
      <c r="M181" s="168"/>
      <c r="N181" s="75"/>
      <c r="O181" s="96"/>
      <c r="P181" s="105"/>
      <c r="Q181" s="105"/>
      <c r="R181" s="96"/>
      <c r="S181" s="128"/>
      <c r="T181" s="137"/>
      <c r="U181" s="110"/>
      <c r="V181" s="100"/>
      <c r="W181" s="100"/>
      <c r="X181" s="100"/>
      <c r="Y181" s="110"/>
      <c r="Z181" s="110"/>
      <c r="AA181" s="100"/>
      <c r="AB181" s="109"/>
      <c r="AC181" s="109"/>
      <c r="AD181" s="109"/>
      <c r="AE181" s="108"/>
      <c r="AF181" s="109"/>
      <c r="AG181" s="108"/>
      <c r="AH181" s="111"/>
      <c r="AI181" s="100"/>
      <c r="AJ181" s="100"/>
      <c r="AK181" s="100"/>
      <c r="AL181" s="100"/>
      <c r="AM181" s="100"/>
      <c r="AN181" s="111"/>
      <c r="AO181" s="100"/>
      <c r="AP181" s="100"/>
      <c r="AQ181" s="111"/>
      <c r="AR181" s="100"/>
      <c r="AS181" s="100"/>
      <c r="AT181" s="111"/>
    </row>
    <row r="182" spans="1:46" ht="17" thickBot="1">
      <c r="A182" s="92" t="s">
        <v>4</v>
      </c>
      <c r="B182" s="241">
        <f t="shared" ref="B182" si="36">SUM(J182+K182+L182+M182+N182+S182+V182+W182+X182+AA182+AI182+AJ182+AI182+AM182+AP182+AQ182+AS182+AT182+AU182+AV182)</f>
        <v>0</v>
      </c>
      <c r="C182" s="217">
        <f t="shared" si="35"/>
        <v>0</v>
      </c>
      <c r="D182" s="144"/>
      <c r="E182" s="145"/>
      <c r="F182" s="146"/>
      <c r="G182" s="147"/>
      <c r="H182" s="114"/>
      <c r="I182" s="114"/>
      <c r="J182" s="113"/>
      <c r="K182" s="112"/>
      <c r="L182" s="112"/>
      <c r="M182" s="183"/>
      <c r="N182" s="112"/>
      <c r="O182" s="114">
        <v>4</v>
      </c>
      <c r="P182" s="127"/>
      <c r="Q182" s="127"/>
      <c r="R182" s="114"/>
      <c r="S182" s="129"/>
      <c r="T182" s="148"/>
      <c r="U182" s="120"/>
      <c r="V182" s="116"/>
      <c r="W182" s="116"/>
      <c r="X182" s="116"/>
      <c r="Y182" s="120"/>
      <c r="Z182" s="120"/>
      <c r="AA182" s="116"/>
      <c r="AB182" s="118"/>
      <c r="AC182" s="118"/>
      <c r="AD182" s="118"/>
      <c r="AE182" s="117"/>
      <c r="AF182" s="118"/>
      <c r="AG182" s="117"/>
      <c r="AH182" s="121"/>
      <c r="AI182" s="116"/>
      <c r="AJ182" s="116"/>
      <c r="AK182" s="116"/>
      <c r="AL182" s="116"/>
      <c r="AM182" s="116"/>
      <c r="AN182" s="121"/>
      <c r="AO182" s="116"/>
      <c r="AP182" s="116"/>
      <c r="AQ182" s="121"/>
      <c r="AR182" s="116"/>
      <c r="AS182" s="116"/>
      <c r="AT182" s="121"/>
    </row>
    <row r="183" spans="1:46" ht="21.1">
      <c r="A183" s="82" t="s">
        <v>48</v>
      </c>
      <c r="B183" s="239"/>
      <c r="C183" s="214"/>
      <c r="D183" s="133"/>
      <c r="E183" s="134"/>
      <c r="F183" s="135"/>
      <c r="G183" s="136"/>
      <c r="H183" s="96" t="s">
        <v>501</v>
      </c>
      <c r="I183" s="96" t="s">
        <v>636</v>
      </c>
      <c r="J183" s="104" t="s">
        <v>378</v>
      </c>
      <c r="K183" s="75" t="s">
        <v>339</v>
      </c>
      <c r="L183" s="75" t="s">
        <v>339</v>
      </c>
      <c r="M183" s="75" t="s">
        <v>339</v>
      </c>
      <c r="N183" s="75" t="s">
        <v>339</v>
      </c>
      <c r="O183" s="96" t="s">
        <v>339</v>
      </c>
      <c r="P183" s="105"/>
      <c r="Q183" s="105"/>
      <c r="R183" s="96" t="s">
        <v>339</v>
      </c>
      <c r="S183" s="128" t="s">
        <v>339</v>
      </c>
      <c r="T183" s="137" t="s">
        <v>339</v>
      </c>
      <c r="U183" s="110" t="s">
        <v>339</v>
      </c>
      <c r="V183" s="100" t="s">
        <v>375</v>
      </c>
      <c r="W183" s="100" t="s">
        <v>378</v>
      </c>
      <c r="X183" s="100" t="s">
        <v>378</v>
      </c>
      <c r="Y183" s="110" t="s">
        <v>375</v>
      </c>
      <c r="Z183" s="110" t="s">
        <v>378</v>
      </c>
      <c r="AA183" s="100" t="s">
        <v>378</v>
      </c>
      <c r="AB183" s="109" t="s">
        <v>816</v>
      </c>
      <c r="AC183" s="109" t="s">
        <v>816</v>
      </c>
      <c r="AD183" s="109" t="s">
        <v>636</v>
      </c>
      <c r="AE183" s="108"/>
      <c r="AF183" s="109" t="s">
        <v>378</v>
      </c>
      <c r="AG183" s="108"/>
      <c r="AH183" s="111"/>
      <c r="AI183" s="100"/>
      <c r="AJ183" s="100"/>
      <c r="AK183" s="100"/>
      <c r="AL183" s="100"/>
      <c r="AM183" s="100"/>
      <c r="AN183" s="111"/>
      <c r="AO183" s="100"/>
      <c r="AP183" s="100"/>
      <c r="AQ183" s="111"/>
      <c r="AR183" s="100"/>
      <c r="AS183" s="100"/>
      <c r="AT183" s="111"/>
    </row>
    <row r="184" spans="1:46" ht="16.3">
      <c r="A184" s="246" t="s">
        <v>1</v>
      </c>
      <c r="B184" s="240">
        <f>SUM(J184+K184+L184+M184+N184+S184+V184+W184+X184+AA184+AI184+AJ184+AI184+AM184+AP184+AQ184+AS184+AT184+AU184+AV184+AN184)+81</f>
        <v>85</v>
      </c>
      <c r="C184" s="215">
        <f>SUM(J184+K184+L184+M184+N184+S184+W184+X184+V184+AA184+AJ184+AI184+AJ184+AN184+AQ184+AM184+AT184+AU184+AV184+AW184+AP184+AS184)+81</f>
        <v>85</v>
      </c>
      <c r="D184" s="139"/>
      <c r="E184" s="140"/>
      <c r="F184" s="135"/>
      <c r="G184" s="136"/>
      <c r="H184" s="96"/>
      <c r="I184" s="96">
        <v>1</v>
      </c>
      <c r="J184" s="104">
        <v>1</v>
      </c>
      <c r="K184" s="75"/>
      <c r="L184" s="75"/>
      <c r="M184" s="75"/>
      <c r="N184" s="75"/>
      <c r="O184" s="96"/>
      <c r="P184" s="105"/>
      <c r="Q184" s="105"/>
      <c r="R184" s="96"/>
      <c r="S184" s="128"/>
      <c r="T184" s="137"/>
      <c r="U184" s="110"/>
      <c r="V184" s="100"/>
      <c r="W184" s="100">
        <v>1</v>
      </c>
      <c r="X184" s="100">
        <v>1</v>
      </c>
      <c r="Y184" s="110"/>
      <c r="Z184" s="110">
        <v>1</v>
      </c>
      <c r="AA184" s="100">
        <v>1</v>
      </c>
      <c r="AB184" s="109"/>
      <c r="AC184" s="109"/>
      <c r="AD184" s="109">
        <v>1</v>
      </c>
      <c r="AE184" s="108"/>
      <c r="AF184" s="109">
        <v>1</v>
      </c>
      <c r="AG184" s="108"/>
      <c r="AH184" s="111"/>
      <c r="AI184" s="100"/>
      <c r="AJ184" s="100"/>
      <c r="AK184" s="100"/>
      <c r="AL184" s="100"/>
      <c r="AM184" s="100"/>
      <c r="AN184" s="111"/>
      <c r="AO184" s="100"/>
      <c r="AP184" s="100"/>
      <c r="AQ184" s="111"/>
      <c r="AR184" s="100"/>
      <c r="AS184" s="100"/>
      <c r="AT184" s="111"/>
    </row>
    <row r="185" spans="1:46" ht="16.3">
      <c r="A185" s="246" t="s">
        <v>2</v>
      </c>
      <c r="B185" s="240">
        <f>SUM(J185+K185+L185+M185+N185+S185+V185+W185+X185+AA185+AI185+AJ185+AI185+AM185+AP185+AQ185+AS185+AT185+AU185+AV185)+28</f>
        <v>29</v>
      </c>
      <c r="C185" s="215">
        <f>SUM(J185+K185+L185+M185+N185+S185+W185+X185+V185+AA185+AJ185+AI185+AJ185+AN185+AQ185+AM185+AT185+AU185+AV185+AW185+AP185+AS185)+28</f>
        <v>29</v>
      </c>
      <c r="D185" s="139"/>
      <c r="E185" s="140"/>
      <c r="F185" s="135"/>
      <c r="G185" s="136"/>
      <c r="H185" s="96"/>
      <c r="I185" s="96"/>
      <c r="J185" s="104"/>
      <c r="K185" s="75"/>
      <c r="L185" s="75"/>
      <c r="M185" s="75"/>
      <c r="N185" s="75"/>
      <c r="O185" s="96"/>
      <c r="P185" s="105"/>
      <c r="Q185" s="105"/>
      <c r="R185" s="96"/>
      <c r="S185" s="128"/>
      <c r="T185" s="137"/>
      <c r="U185" s="110"/>
      <c r="V185" s="100">
        <v>1</v>
      </c>
      <c r="W185" s="100"/>
      <c r="X185" s="100"/>
      <c r="Y185" s="110">
        <v>1</v>
      </c>
      <c r="Z185" s="110"/>
      <c r="AA185" s="100"/>
      <c r="AB185" s="109"/>
      <c r="AC185" s="109"/>
      <c r="AD185" s="109"/>
      <c r="AE185" s="108"/>
      <c r="AF185" s="109"/>
      <c r="AG185" s="108"/>
      <c r="AH185" s="111"/>
      <c r="AI185" s="100"/>
      <c r="AJ185" s="100"/>
      <c r="AK185" s="100"/>
      <c r="AL185" s="100"/>
      <c r="AM185" s="100"/>
      <c r="AN185" s="111"/>
      <c r="AO185" s="100"/>
      <c r="AP185" s="100"/>
      <c r="AQ185" s="111"/>
      <c r="AR185" s="100"/>
      <c r="AS185" s="100"/>
      <c r="AT185" s="111"/>
    </row>
    <row r="186" spans="1:46" ht="16.3">
      <c r="A186" s="91" t="s">
        <v>363</v>
      </c>
      <c r="B186" s="239">
        <f>SUM(B184+B185)</f>
        <v>114</v>
      </c>
      <c r="C186" s="214">
        <f>SUM(C184+C185)</f>
        <v>114</v>
      </c>
      <c r="D186" s="133"/>
      <c r="E186" s="134"/>
      <c r="F186" s="135"/>
      <c r="G186" s="136"/>
      <c r="H186" s="96"/>
      <c r="I186" s="96"/>
      <c r="J186" s="104"/>
      <c r="K186" s="75"/>
      <c r="L186" s="75"/>
      <c r="M186" s="75"/>
      <c r="N186" s="75"/>
      <c r="O186" s="96"/>
      <c r="P186" s="105"/>
      <c r="Q186" s="105"/>
      <c r="R186" s="96"/>
      <c r="S186" s="128"/>
      <c r="T186" s="137"/>
      <c r="U186" s="110"/>
      <c r="V186" s="100"/>
      <c r="W186" s="100"/>
      <c r="X186" s="100"/>
      <c r="Y186" s="110"/>
      <c r="Z186" s="110"/>
      <c r="AA186" s="100"/>
      <c r="AB186" s="109"/>
      <c r="AC186" s="109"/>
      <c r="AD186" s="109"/>
      <c r="AE186" s="108"/>
      <c r="AF186" s="109"/>
      <c r="AG186" s="108"/>
      <c r="AH186" s="111"/>
      <c r="AI186" s="100"/>
      <c r="AJ186" s="100"/>
      <c r="AK186" s="100"/>
      <c r="AL186" s="100"/>
      <c r="AM186" s="100"/>
      <c r="AN186" s="111"/>
      <c r="AO186" s="100"/>
      <c r="AP186" s="100"/>
      <c r="AQ186" s="111"/>
      <c r="AR186" s="100"/>
      <c r="AS186" s="100"/>
      <c r="AT186" s="111"/>
    </row>
    <row r="187" spans="1:46" ht="16.3">
      <c r="A187" s="246" t="s">
        <v>366</v>
      </c>
      <c r="B187" s="240">
        <f>SUM(J187+K187+L187+M187+N187+S187+V187+W187+X187+AA187+AI187+AJ187+AI187+AM187+AP187+AQ187+AS187+AT187+AU187+AV187)+7</f>
        <v>7</v>
      </c>
      <c r="C187" s="215">
        <f>SUM(J187+K187+L187+M187+N187+S187+W187+X187+V187+AA187+AJ187+AI187+AJ187+AN187+AQ187+AM187+AT187+AU187+AV187+AW187+AP187+AS187)+7</f>
        <v>7</v>
      </c>
      <c r="D187" s="139"/>
      <c r="E187" s="140"/>
      <c r="F187" s="135"/>
      <c r="G187" s="136"/>
      <c r="H187" s="96"/>
      <c r="I187" s="96"/>
      <c r="J187" s="104"/>
      <c r="K187" s="75"/>
      <c r="L187" s="75"/>
      <c r="M187" s="75"/>
      <c r="N187" s="75"/>
      <c r="O187" s="96"/>
      <c r="P187" s="105"/>
      <c r="Q187" s="105"/>
      <c r="R187" s="96"/>
      <c r="S187" s="128"/>
      <c r="T187" s="137"/>
      <c r="U187" s="110"/>
      <c r="V187" s="100"/>
      <c r="W187" s="100"/>
      <c r="X187" s="100"/>
      <c r="Y187" s="110"/>
      <c r="Z187" s="110"/>
      <c r="AA187" s="100"/>
      <c r="AB187" s="109"/>
      <c r="AC187" s="109"/>
      <c r="AD187" s="109">
        <v>1</v>
      </c>
      <c r="AE187" s="108"/>
      <c r="AF187" s="109"/>
      <c r="AG187" s="108"/>
      <c r="AH187" s="111"/>
      <c r="AI187" s="100"/>
      <c r="AJ187" s="100"/>
      <c r="AK187" s="100"/>
      <c r="AL187" s="100"/>
      <c r="AM187" s="100"/>
      <c r="AN187" s="111"/>
      <c r="AO187" s="100"/>
      <c r="AP187" s="100"/>
      <c r="AQ187" s="111"/>
      <c r="AR187" s="100"/>
      <c r="AS187" s="100"/>
      <c r="AT187" s="111"/>
    </row>
    <row r="188" spans="1:46" ht="16.3">
      <c r="A188" s="246" t="s">
        <v>362</v>
      </c>
      <c r="B188" s="240">
        <f>SUM(J188+K188+L188+M188+N188+S188+V188+W188+X188+AA188+AI188+AJ188+AI188+AM188+AP188+AQ188+AS188+AT188+AU188+AV188)+2</f>
        <v>2</v>
      </c>
      <c r="C188" s="215">
        <f>SUM(J188+K188+L188+M188+N188+S188+W188+X188+V188+AA188+AJ188+AI188+AJ188+AN188+AQ188+AM188+AT188+AU188+AV188+AW188+AP188+AS188)+2</f>
        <v>2</v>
      </c>
      <c r="D188" s="139"/>
      <c r="E188" s="140"/>
      <c r="F188" s="135"/>
      <c r="G188" s="136"/>
      <c r="H188" s="96"/>
      <c r="I188" s="96"/>
      <c r="J188" s="104"/>
      <c r="K188" s="75"/>
      <c r="L188" s="75"/>
      <c r="M188" s="75"/>
      <c r="N188" s="75"/>
      <c r="O188" s="96"/>
      <c r="P188" s="105"/>
      <c r="Q188" s="105"/>
      <c r="R188" s="96"/>
      <c r="S188" s="128"/>
      <c r="T188" s="137"/>
      <c r="U188" s="110"/>
      <c r="V188" s="100"/>
      <c r="W188" s="100"/>
      <c r="X188" s="100"/>
      <c r="Y188" s="110"/>
      <c r="Z188" s="110"/>
      <c r="AA188" s="100"/>
      <c r="AB188" s="109"/>
      <c r="AC188" s="109"/>
      <c r="AD188" s="109"/>
      <c r="AE188" s="108"/>
      <c r="AF188" s="109"/>
      <c r="AG188" s="108"/>
      <c r="AH188" s="111"/>
      <c r="AI188" s="100"/>
      <c r="AJ188" s="100"/>
      <c r="AK188" s="100"/>
      <c r="AL188" s="100"/>
      <c r="AM188" s="100"/>
      <c r="AN188" s="111"/>
      <c r="AO188" s="100"/>
      <c r="AP188" s="100"/>
      <c r="AQ188" s="111"/>
      <c r="AR188" s="100"/>
      <c r="AS188" s="100"/>
      <c r="AT188" s="111"/>
    </row>
    <row r="189" spans="1:46" ht="16.3">
      <c r="A189" s="91" t="s">
        <v>3</v>
      </c>
      <c r="B189" s="239">
        <f>SUM(J189+K189+L189+M189+N189+S189+V189+W189+X189+AA189+AI189+AJ189+AI189+AM189+AP189+AQ189+AS189+AT189+AU189+AV189)+28</f>
        <v>28</v>
      </c>
      <c r="C189" s="214">
        <f>SUM(J189+K189+L189+M189+N189+S189+W189+X189+V189+AA189+AJ189+AI189+AJ189+AN189+AQ189+AM189+AT189+AU189+AV189+AW189+AP189+AS189)+28</f>
        <v>28</v>
      </c>
      <c r="D189" s="133"/>
      <c r="E189" s="134"/>
      <c r="F189" s="135"/>
      <c r="G189" s="136"/>
      <c r="H189" s="96"/>
      <c r="I189" s="96"/>
      <c r="J189" s="104"/>
      <c r="K189" s="75"/>
      <c r="L189" s="75"/>
      <c r="M189" s="75"/>
      <c r="N189" s="75"/>
      <c r="O189" s="96"/>
      <c r="P189" s="105"/>
      <c r="Q189" s="105"/>
      <c r="R189" s="96"/>
      <c r="S189" s="128"/>
      <c r="T189" s="137"/>
      <c r="U189" s="110"/>
      <c r="V189" s="100"/>
      <c r="W189" s="100"/>
      <c r="X189" s="100"/>
      <c r="Y189" s="110"/>
      <c r="Z189" s="110"/>
      <c r="AA189" s="100"/>
      <c r="AB189" s="109"/>
      <c r="AC189" s="109"/>
      <c r="AD189" s="109">
        <v>1</v>
      </c>
      <c r="AE189" s="108"/>
      <c r="AF189" s="109"/>
      <c r="AG189" s="108"/>
      <c r="AH189" s="111"/>
      <c r="AI189" s="100"/>
      <c r="AJ189" s="100"/>
      <c r="AK189" s="100"/>
      <c r="AL189" s="100"/>
      <c r="AM189" s="100"/>
      <c r="AN189" s="111"/>
      <c r="AO189" s="100"/>
      <c r="AP189" s="100"/>
      <c r="AQ189" s="111"/>
      <c r="AR189" s="100"/>
      <c r="AS189" s="100"/>
      <c r="AT189" s="111"/>
    </row>
    <row r="190" spans="1:46" ht="17" thickBot="1">
      <c r="A190" s="92" t="s">
        <v>4</v>
      </c>
      <c r="B190" s="241">
        <f>SUM(J190+K190+L190+M190+N190+S190+V190+W190+X190+AA190+AI190+AJ190+AI190+AM190+AP190+AQ190+AS190+AT190+AU190+AV190)+140</f>
        <v>140</v>
      </c>
      <c r="C190" s="217">
        <f>SUM(J190+K190+L190+M190+N190+S190+W190+X190+V190+AA190+AJ190+AI190+AJ190+AN190+AQ190+AM190+AT190+AU190+AV190+AW190+AP190+AS190)+140</f>
        <v>140</v>
      </c>
      <c r="D190" s="144"/>
      <c r="E190" s="145"/>
      <c r="F190" s="146"/>
      <c r="G190" s="147"/>
      <c r="H190" s="114"/>
      <c r="I190" s="114"/>
      <c r="J190" s="113"/>
      <c r="K190" s="112"/>
      <c r="L190" s="112"/>
      <c r="M190" s="112"/>
      <c r="N190" s="112"/>
      <c r="O190" s="114"/>
      <c r="P190" s="127"/>
      <c r="Q190" s="127"/>
      <c r="R190" s="114"/>
      <c r="S190" s="129"/>
      <c r="T190" s="148"/>
      <c r="U190" s="120"/>
      <c r="V190" s="116"/>
      <c r="W190" s="116"/>
      <c r="X190" s="116"/>
      <c r="Y190" s="120"/>
      <c r="Z190" s="120"/>
      <c r="AA190" s="116"/>
      <c r="AB190" s="118"/>
      <c r="AC190" s="118"/>
      <c r="AD190" s="118">
        <v>5</v>
      </c>
      <c r="AE190" s="117"/>
      <c r="AF190" s="118"/>
      <c r="AG190" s="117"/>
      <c r="AH190" s="121"/>
      <c r="AI190" s="116"/>
      <c r="AJ190" s="116"/>
      <c r="AK190" s="116"/>
      <c r="AL190" s="116"/>
      <c r="AM190" s="116"/>
      <c r="AN190" s="121"/>
      <c r="AO190" s="116"/>
      <c r="AP190" s="116"/>
      <c r="AQ190" s="121"/>
      <c r="AR190" s="116"/>
      <c r="AS190" s="116"/>
      <c r="AT190" s="121"/>
    </row>
    <row r="191" spans="1:46" ht="21.1">
      <c r="A191" s="82" t="s">
        <v>251</v>
      </c>
      <c r="B191" s="239"/>
      <c r="C191" s="214"/>
      <c r="D191" s="133"/>
      <c r="E191" s="134"/>
      <c r="F191" s="135"/>
      <c r="G191" s="136"/>
      <c r="H191" s="96" t="s">
        <v>378</v>
      </c>
      <c r="I191" s="96"/>
      <c r="J191" s="104" t="s">
        <v>375</v>
      </c>
      <c r="K191" s="75">
        <v>9</v>
      </c>
      <c r="L191" s="75">
        <v>9</v>
      </c>
      <c r="M191" s="75">
        <v>9</v>
      </c>
      <c r="N191" s="75">
        <v>9</v>
      </c>
      <c r="O191" s="96"/>
      <c r="P191" s="105"/>
      <c r="Q191" s="105"/>
      <c r="R191" s="96"/>
      <c r="S191" s="128" t="s">
        <v>378</v>
      </c>
      <c r="T191" s="137" t="s">
        <v>378</v>
      </c>
      <c r="U191" s="110" t="s">
        <v>378</v>
      </c>
      <c r="V191" s="100" t="s">
        <v>378</v>
      </c>
      <c r="W191" s="100"/>
      <c r="X191" s="100" t="s">
        <v>375</v>
      </c>
      <c r="Y191" s="110" t="s">
        <v>378</v>
      </c>
      <c r="Z191" s="110" t="s">
        <v>375</v>
      </c>
      <c r="AA191" s="100" t="s">
        <v>375</v>
      </c>
      <c r="AB191" s="109"/>
      <c r="AC191" s="109"/>
      <c r="AD191" s="109"/>
      <c r="AE191" s="108"/>
      <c r="AF191" s="109" t="s">
        <v>375</v>
      </c>
      <c r="AG191" s="108"/>
      <c r="AH191" s="111"/>
      <c r="AI191" s="100"/>
      <c r="AJ191" s="100"/>
      <c r="AK191" s="100"/>
      <c r="AL191" s="100"/>
      <c r="AM191" s="100"/>
      <c r="AN191" s="111"/>
      <c r="AO191" s="100"/>
      <c r="AP191" s="100"/>
      <c r="AQ191" s="111"/>
      <c r="AR191" s="100"/>
      <c r="AS191" s="100"/>
      <c r="AT191" s="111"/>
    </row>
    <row r="192" spans="1:46" ht="16.3">
      <c r="A192" s="246" t="s">
        <v>1</v>
      </c>
      <c r="B192" s="240">
        <f>SUM(J192+K192+L192+M192+N192+S192+V192+W192+X192+AA192+AI192+AJ192+AI192+AM192+AP192+AQ192+AS192+AT192+AU192+AV192+AN192)+5</f>
        <v>11</v>
      </c>
      <c r="C192" s="215">
        <f>SUM(J192+K192+L192+M192+N192+S192+W192+X192+V192+AA192+AJ192+AI192+AJ192+AN192+AQ192+AM192+AT192+AU192+AV192+AW192+AP192+AS192)+5</f>
        <v>11</v>
      </c>
      <c r="D192" s="139"/>
      <c r="E192" s="140"/>
      <c r="F192" s="135"/>
      <c r="G192" s="136"/>
      <c r="H192" s="96">
        <v>1</v>
      </c>
      <c r="I192" s="96"/>
      <c r="J192" s="104"/>
      <c r="K192" s="75">
        <v>1</v>
      </c>
      <c r="L192" s="75">
        <v>1</v>
      </c>
      <c r="M192" s="75">
        <v>1</v>
      </c>
      <c r="N192" s="75">
        <v>1</v>
      </c>
      <c r="O192" s="96"/>
      <c r="P192" s="105"/>
      <c r="Q192" s="105"/>
      <c r="R192" s="96"/>
      <c r="S192" s="128">
        <v>1</v>
      </c>
      <c r="T192" s="137">
        <v>1</v>
      </c>
      <c r="U192" s="110">
        <v>1</v>
      </c>
      <c r="V192" s="100">
        <v>1</v>
      </c>
      <c r="W192" s="100"/>
      <c r="X192" s="100"/>
      <c r="Y192" s="110">
        <v>1</v>
      </c>
      <c r="Z192" s="110"/>
      <c r="AA192" s="100"/>
      <c r="AB192" s="109"/>
      <c r="AC192" s="109"/>
      <c r="AD192" s="109"/>
      <c r="AE192" s="108"/>
      <c r="AF192" s="109"/>
      <c r="AG192" s="108"/>
      <c r="AH192" s="111"/>
      <c r="AI192" s="100"/>
      <c r="AJ192" s="100"/>
      <c r="AK192" s="100"/>
      <c r="AL192" s="100"/>
      <c r="AM192" s="100"/>
      <c r="AN192" s="111"/>
      <c r="AO192" s="100"/>
      <c r="AP192" s="100"/>
      <c r="AQ192" s="111"/>
      <c r="AR192" s="100"/>
      <c r="AS192" s="100"/>
      <c r="AT192" s="111"/>
    </row>
    <row r="193" spans="1:46" ht="16.3">
      <c r="A193" s="246" t="s">
        <v>2</v>
      </c>
      <c r="B193" s="240">
        <f>SUM(J193+K193+L193+M193+N193+S193+V193+W193+X193+AA193+AI193+AJ193+AI193+AM193+AP193+AQ193+AS193+AT193+AU193+AV193)+31</f>
        <v>34</v>
      </c>
      <c r="C193" s="215">
        <f>SUM(J193+K193+L193+M193+N193+S193+W193+X193+V193+AA193+AJ193+AI193+AJ193+AN193+AQ193+AM193+AT193+AU193+AV193+AW193+AP193+AS193)+31</f>
        <v>34</v>
      </c>
      <c r="D193" s="139"/>
      <c r="E193" s="140"/>
      <c r="F193" s="135"/>
      <c r="G193" s="136"/>
      <c r="H193" s="96"/>
      <c r="I193" s="96"/>
      <c r="J193" s="104">
        <v>1</v>
      </c>
      <c r="K193" s="75"/>
      <c r="L193" s="75"/>
      <c r="M193" s="75"/>
      <c r="N193" s="75"/>
      <c r="O193" s="96"/>
      <c r="P193" s="105"/>
      <c r="Q193" s="105"/>
      <c r="R193" s="96"/>
      <c r="S193" s="128"/>
      <c r="T193" s="137"/>
      <c r="U193" s="110"/>
      <c r="V193" s="100"/>
      <c r="W193" s="100"/>
      <c r="X193" s="100">
        <v>1</v>
      </c>
      <c r="Y193" s="110"/>
      <c r="Z193" s="110">
        <v>1</v>
      </c>
      <c r="AA193" s="100">
        <v>1</v>
      </c>
      <c r="AB193" s="109"/>
      <c r="AC193" s="109"/>
      <c r="AD193" s="109"/>
      <c r="AE193" s="108"/>
      <c r="AF193" s="109">
        <v>1</v>
      </c>
      <c r="AG193" s="108"/>
      <c r="AH193" s="111"/>
      <c r="AI193" s="100"/>
      <c r="AJ193" s="100"/>
      <c r="AK193" s="100"/>
      <c r="AL193" s="100"/>
      <c r="AM193" s="100"/>
      <c r="AN193" s="111"/>
      <c r="AO193" s="100"/>
      <c r="AP193" s="100"/>
      <c r="AQ193" s="111"/>
      <c r="AR193" s="100"/>
      <c r="AS193" s="100"/>
      <c r="AT193" s="111"/>
    </row>
    <row r="194" spans="1:46" ht="16.3">
      <c r="A194" s="91" t="s">
        <v>363</v>
      </c>
      <c r="B194" s="239">
        <f>SUM(B192+B193)</f>
        <v>45</v>
      </c>
      <c r="C194" s="214">
        <f>SUM(C192+C193)</f>
        <v>45</v>
      </c>
      <c r="D194" s="133"/>
      <c r="E194" s="134"/>
      <c r="F194" s="135"/>
      <c r="G194" s="136"/>
      <c r="H194" s="96"/>
      <c r="I194" s="96"/>
      <c r="J194" s="104"/>
      <c r="K194" s="75"/>
      <c r="L194" s="75"/>
      <c r="M194" s="75"/>
      <c r="N194" s="75"/>
      <c r="O194" s="96"/>
      <c r="P194" s="105"/>
      <c r="Q194" s="105"/>
      <c r="R194" s="96"/>
      <c r="S194" s="128"/>
      <c r="T194" s="137"/>
      <c r="U194" s="110"/>
      <c r="V194" s="100"/>
      <c r="W194" s="100"/>
      <c r="X194" s="100"/>
      <c r="Y194" s="110"/>
      <c r="Z194" s="110"/>
      <c r="AA194" s="100"/>
      <c r="AB194" s="109"/>
      <c r="AC194" s="109"/>
      <c r="AD194" s="109"/>
      <c r="AE194" s="108"/>
      <c r="AF194" s="109"/>
      <c r="AG194" s="108"/>
      <c r="AH194" s="111"/>
      <c r="AI194" s="100"/>
      <c r="AJ194" s="100"/>
      <c r="AK194" s="100"/>
      <c r="AL194" s="100"/>
      <c r="AM194" s="100"/>
      <c r="AN194" s="111"/>
      <c r="AO194" s="100"/>
      <c r="AP194" s="100"/>
      <c r="AQ194" s="111"/>
      <c r="AR194" s="100"/>
      <c r="AS194" s="100"/>
      <c r="AT194" s="111"/>
    </row>
    <row r="195" spans="1:46" ht="16.3">
      <c r="A195" s="246" t="s">
        <v>362</v>
      </c>
      <c r="B195" s="240">
        <f>SUM(J195+K195+L195+M195+N195+S195+V195+W195+X195+AA195+AI195+AJ195+AI195+AM195+AP195+AQ195+AS195+AT195+AU195+AV195)+1</f>
        <v>1</v>
      </c>
      <c r="C195" s="215">
        <f>SUM(J195+K195+L195+M195+N195+S195+W195+X195+V195+AA195+AJ195+AI195+AJ195+AN195+AQ195+AM195+AT195+AU195+AV195+AW195+AP195+AS195)+1</f>
        <v>1</v>
      </c>
      <c r="D195" s="133"/>
      <c r="E195" s="134"/>
      <c r="F195" s="135"/>
      <c r="G195" s="136"/>
      <c r="H195" s="96"/>
      <c r="I195" s="96"/>
      <c r="J195" s="104"/>
      <c r="K195" s="75"/>
      <c r="L195" s="75"/>
      <c r="M195" s="75"/>
      <c r="N195" s="75"/>
      <c r="O195" s="96"/>
      <c r="P195" s="105"/>
      <c r="Q195" s="105"/>
      <c r="R195" s="96"/>
      <c r="S195" s="128"/>
      <c r="T195" s="137"/>
      <c r="U195" s="110"/>
      <c r="V195" s="100"/>
      <c r="W195" s="100"/>
      <c r="X195" s="100"/>
      <c r="Y195" s="110"/>
      <c r="Z195" s="110"/>
      <c r="AA195" s="100"/>
      <c r="AB195" s="109"/>
      <c r="AC195" s="109"/>
      <c r="AD195" s="109"/>
      <c r="AE195" s="108"/>
      <c r="AF195" s="109"/>
      <c r="AG195" s="108"/>
      <c r="AH195" s="111"/>
      <c r="AI195" s="100"/>
      <c r="AJ195" s="100"/>
      <c r="AK195" s="100"/>
      <c r="AL195" s="100"/>
      <c r="AM195" s="100"/>
      <c r="AN195" s="111"/>
      <c r="AO195" s="100"/>
      <c r="AP195" s="100"/>
      <c r="AQ195" s="111"/>
      <c r="AR195" s="100"/>
      <c r="AS195" s="100"/>
      <c r="AT195" s="111"/>
    </row>
    <row r="196" spans="1:46" ht="16.3">
      <c r="A196" s="246" t="s">
        <v>746</v>
      </c>
      <c r="B196" s="240">
        <f>SUM(J196+K196+L196+M196+N196+S196+V196+W196+X196+AA196+AI196+AJ196+AI196+AM196+AP196+AQ196+AS196+AT196+AU196+AV196)</f>
        <v>1</v>
      </c>
      <c r="C196" s="215">
        <f>SUM(J196+K196+L196+M196+N196+S196+W196+X196+V196+AA196+AJ196+AI196+AJ196+AN196+AQ196+AM196+AT196+AU196+AV196+AW196+AP196+AS196)</f>
        <v>1</v>
      </c>
      <c r="D196" s="133"/>
      <c r="E196" s="134"/>
      <c r="F196" s="135"/>
      <c r="G196" s="136"/>
      <c r="H196" s="96"/>
      <c r="I196" s="96"/>
      <c r="J196" s="104"/>
      <c r="K196" s="75">
        <v>1</v>
      </c>
      <c r="L196" s="75"/>
      <c r="M196" s="75"/>
      <c r="N196" s="75"/>
      <c r="O196" s="96"/>
      <c r="P196" s="105"/>
      <c r="Q196" s="105"/>
      <c r="R196" s="96"/>
      <c r="S196" s="128"/>
      <c r="T196" s="137"/>
      <c r="U196" s="110"/>
      <c r="V196" s="100"/>
      <c r="W196" s="100"/>
      <c r="X196" s="100"/>
      <c r="Y196" s="110"/>
      <c r="Z196" s="110"/>
      <c r="AA196" s="100"/>
      <c r="AB196" s="109"/>
      <c r="AC196" s="109"/>
      <c r="AD196" s="109"/>
      <c r="AE196" s="108"/>
      <c r="AF196" s="109"/>
      <c r="AG196" s="108"/>
      <c r="AH196" s="111"/>
      <c r="AI196" s="100"/>
      <c r="AJ196" s="100"/>
      <c r="AK196" s="100"/>
      <c r="AL196" s="100"/>
      <c r="AM196" s="100"/>
      <c r="AN196" s="111"/>
      <c r="AO196" s="100"/>
      <c r="AP196" s="100"/>
      <c r="AQ196" s="111"/>
      <c r="AR196" s="100"/>
      <c r="AS196" s="100"/>
      <c r="AT196" s="111"/>
    </row>
    <row r="197" spans="1:46" ht="16.3">
      <c r="A197" s="91" t="s">
        <v>3</v>
      </c>
      <c r="B197" s="239">
        <f>SUM(J197+K197+L197+M197+N197+S197+V197+W197+X197+AA197+AI197+AJ197+AI197+AM197+AP197+AQ197+AS197+AT197+AU197+AV197)+6</f>
        <v>11</v>
      </c>
      <c r="C197" s="214">
        <f>SUM(J197+K197+L197+M197+N197+S197+W197+X197+V197+AA197+AJ197+AI197+AJ197+AN197+AQ197+AM197+AT197+AU197+AV197+AW197+AP197+AS197)+6</f>
        <v>11</v>
      </c>
      <c r="D197" s="133"/>
      <c r="E197" s="134"/>
      <c r="F197" s="135"/>
      <c r="G197" s="136"/>
      <c r="H197" s="96"/>
      <c r="I197" s="96"/>
      <c r="J197" s="104"/>
      <c r="K197" s="168">
        <v>3</v>
      </c>
      <c r="L197" s="75"/>
      <c r="M197" s="75"/>
      <c r="N197" s="75"/>
      <c r="O197" s="96"/>
      <c r="P197" s="105"/>
      <c r="Q197" s="105"/>
      <c r="R197" s="96"/>
      <c r="S197" s="128">
        <v>2</v>
      </c>
      <c r="T197" s="137"/>
      <c r="U197" s="110">
        <v>1</v>
      </c>
      <c r="V197" s="100"/>
      <c r="W197" s="100"/>
      <c r="X197" s="100"/>
      <c r="Y197" s="110">
        <v>1</v>
      </c>
      <c r="Z197" s="110"/>
      <c r="AA197" s="100"/>
      <c r="AB197" s="109"/>
      <c r="AC197" s="109"/>
      <c r="AD197" s="109"/>
      <c r="AE197" s="108"/>
      <c r="AF197" s="109"/>
      <c r="AG197" s="108"/>
      <c r="AH197" s="111"/>
      <c r="AI197" s="100"/>
      <c r="AJ197" s="100"/>
      <c r="AK197" s="100"/>
      <c r="AL197" s="100"/>
      <c r="AM197" s="100"/>
      <c r="AN197" s="111"/>
      <c r="AO197" s="100"/>
      <c r="AP197" s="100"/>
      <c r="AQ197" s="111"/>
      <c r="AR197" s="100"/>
      <c r="AS197" s="100"/>
      <c r="AT197" s="111"/>
    </row>
    <row r="198" spans="1:46" ht="17" thickBot="1">
      <c r="A198" s="92" t="s">
        <v>4</v>
      </c>
      <c r="B198" s="241">
        <f>SUM(J198+K198+L198+M198+N198+S198+V198+W198+X198+AA198+AI198+AJ198+AI198+AM198+AP198+AQ198+AS198+AT198+AU198+AV198)+30</f>
        <v>55</v>
      </c>
      <c r="C198" s="217">
        <f>SUM(J198+K198+L198+M198+N198+S198+W198+X198+V198+AA198+AJ198+AI198+AJ198+AN198+AQ198+AM198+AT198+AU198+AV198+AW198+AP198+AS198)+30</f>
        <v>55</v>
      </c>
      <c r="D198" s="144"/>
      <c r="E198" s="145"/>
      <c r="F198" s="146"/>
      <c r="G198" s="147"/>
      <c r="H198" s="114"/>
      <c r="I198" s="114"/>
      <c r="J198" s="113"/>
      <c r="K198" s="112">
        <v>15</v>
      </c>
      <c r="L198" s="112"/>
      <c r="M198" s="112"/>
      <c r="N198" s="112"/>
      <c r="O198" s="114"/>
      <c r="P198" s="127"/>
      <c r="Q198" s="127"/>
      <c r="R198" s="114"/>
      <c r="S198" s="129">
        <v>10</v>
      </c>
      <c r="T198" s="148"/>
      <c r="U198" s="120">
        <v>5</v>
      </c>
      <c r="V198" s="112"/>
      <c r="W198" s="100"/>
      <c r="X198" s="100"/>
      <c r="Y198" s="110">
        <v>5</v>
      </c>
      <c r="Z198" s="110"/>
      <c r="AA198" s="100"/>
      <c r="AB198" s="109"/>
      <c r="AC198" s="109"/>
      <c r="AD198" s="109"/>
      <c r="AE198" s="108"/>
      <c r="AF198" s="109"/>
      <c r="AG198" s="108"/>
      <c r="AH198" s="111"/>
      <c r="AI198" s="100"/>
      <c r="AJ198" s="100"/>
      <c r="AK198" s="100"/>
      <c r="AL198" s="100"/>
      <c r="AM198" s="100"/>
      <c r="AN198" s="111"/>
      <c r="AO198" s="100"/>
      <c r="AP198" s="100"/>
      <c r="AQ198" s="111"/>
      <c r="AR198" s="100"/>
      <c r="AS198" s="100"/>
      <c r="AT198" s="111"/>
    </row>
    <row r="199" spans="1:46" ht="21.1">
      <c r="A199" s="82" t="s">
        <v>229</v>
      </c>
      <c r="B199" s="239"/>
      <c r="C199" s="214"/>
      <c r="D199" s="133"/>
      <c r="E199" s="134"/>
      <c r="F199" s="135"/>
      <c r="G199" s="136"/>
      <c r="H199" s="96" t="s">
        <v>339</v>
      </c>
      <c r="I199" s="96" t="s">
        <v>339</v>
      </c>
      <c r="J199" s="104" t="s">
        <v>339</v>
      </c>
      <c r="K199" s="75" t="s">
        <v>339</v>
      </c>
      <c r="L199" s="75" t="s">
        <v>339</v>
      </c>
      <c r="M199" s="75" t="s">
        <v>339</v>
      </c>
      <c r="N199" s="75" t="s">
        <v>339</v>
      </c>
      <c r="O199" s="96" t="s">
        <v>636</v>
      </c>
      <c r="P199" s="105"/>
      <c r="Q199" s="105"/>
      <c r="R199" s="96" t="s">
        <v>378</v>
      </c>
      <c r="S199" s="128" t="s">
        <v>375</v>
      </c>
      <c r="T199" s="137" t="s">
        <v>375</v>
      </c>
      <c r="U199" s="110" t="s">
        <v>375</v>
      </c>
      <c r="V199" s="100"/>
      <c r="W199" s="102" t="s">
        <v>375</v>
      </c>
      <c r="X199" s="102"/>
      <c r="Y199" s="101"/>
      <c r="Z199" s="101"/>
      <c r="AA199" s="102"/>
      <c r="AB199" s="99" t="s">
        <v>378</v>
      </c>
      <c r="AC199" s="99" t="s">
        <v>375</v>
      </c>
      <c r="AD199" s="99" t="s">
        <v>375</v>
      </c>
      <c r="AE199" s="98"/>
      <c r="AF199" s="99"/>
      <c r="AG199" s="98"/>
      <c r="AH199" s="103"/>
      <c r="AI199" s="102"/>
      <c r="AJ199" s="102"/>
      <c r="AK199" s="102"/>
      <c r="AL199" s="102"/>
      <c r="AM199" s="102"/>
      <c r="AN199" s="103"/>
      <c r="AO199" s="102"/>
      <c r="AP199" s="102"/>
      <c r="AQ199" s="103"/>
      <c r="AR199" s="102"/>
      <c r="AS199" s="102"/>
      <c r="AT199" s="103"/>
    </row>
    <row r="200" spans="1:46" ht="16.3">
      <c r="A200" s="246" t="s">
        <v>1</v>
      </c>
      <c r="B200" s="240">
        <f t="shared" ref="B200" si="37">SUM(J200+K200+L200+M200+N200+S200+V200+W200+X200+AA200+AI200+AJ200+AI200+AM200+AP200+AQ200+AS200+AT200+AU200+AV200+AN200)</f>
        <v>0</v>
      </c>
      <c r="C200" s="215">
        <f>SUM(J200+K200+L200+M200+N200+S200+W200+X200+V200+AA200+AJ200+AI200+AJ200+AN200+AQ200+AM200+AT200+AU200+AV200+AW200+AP200+AS200)+8</f>
        <v>8</v>
      </c>
      <c r="D200" s="139"/>
      <c r="E200" s="140"/>
      <c r="F200" s="135"/>
      <c r="G200" s="136"/>
      <c r="H200" s="96"/>
      <c r="I200" s="96"/>
      <c r="J200" s="104"/>
      <c r="K200" s="75"/>
      <c r="L200" s="75"/>
      <c r="M200" s="75"/>
      <c r="N200" s="75"/>
      <c r="O200" s="96">
        <v>1</v>
      </c>
      <c r="P200" s="105"/>
      <c r="Q200" s="105"/>
      <c r="R200" s="96">
        <v>1</v>
      </c>
      <c r="S200" s="128"/>
      <c r="T200" s="137"/>
      <c r="U200" s="110"/>
      <c r="V200" s="100"/>
      <c r="W200" s="100"/>
      <c r="X200" s="100"/>
      <c r="Y200" s="110"/>
      <c r="Z200" s="110"/>
      <c r="AA200" s="100"/>
      <c r="AB200" s="109">
        <v>1</v>
      </c>
      <c r="AC200" s="109"/>
      <c r="AD200" s="109"/>
      <c r="AE200" s="108"/>
      <c r="AF200" s="109"/>
      <c r="AG200" s="108"/>
      <c r="AH200" s="111"/>
      <c r="AI200" s="100"/>
      <c r="AJ200" s="100"/>
      <c r="AK200" s="100"/>
      <c r="AL200" s="100"/>
      <c r="AM200" s="100"/>
      <c r="AN200" s="111"/>
      <c r="AO200" s="100"/>
      <c r="AP200" s="100"/>
      <c r="AQ200" s="111"/>
      <c r="AR200" s="100"/>
      <c r="AS200" s="100"/>
      <c r="AT200" s="111"/>
    </row>
    <row r="201" spans="1:46" ht="16.3">
      <c r="A201" s="246" t="s">
        <v>2</v>
      </c>
      <c r="B201" s="240">
        <f>SUM(J201+K201+L201+M201+N201+S201+V201+W201+X201+AA201+AI201+AJ201+AI201+AM201+AP201+AQ201+AS201+AT201+AU201+AV201)+2</f>
        <v>4</v>
      </c>
      <c r="C201" s="215">
        <f>SUM(J201+K201+L201+M201+N201+S201+W201+X201+V201+AA201+AJ201+AI201+AJ201+AN201+AQ201+AM201+AT201+AU201+AV201+AW201+AP201+AS201)+11</f>
        <v>13</v>
      </c>
      <c r="D201" s="139"/>
      <c r="E201" s="140"/>
      <c r="F201" s="135"/>
      <c r="G201" s="136"/>
      <c r="H201" s="96"/>
      <c r="I201" s="96"/>
      <c r="J201" s="104"/>
      <c r="K201" s="75"/>
      <c r="L201" s="75"/>
      <c r="M201" s="75"/>
      <c r="N201" s="75"/>
      <c r="O201" s="96"/>
      <c r="P201" s="105"/>
      <c r="Q201" s="105"/>
      <c r="R201" s="96"/>
      <c r="S201" s="128">
        <v>1</v>
      </c>
      <c r="T201" s="137">
        <v>1</v>
      </c>
      <c r="U201" s="110">
        <v>1</v>
      </c>
      <c r="V201" s="100"/>
      <c r="W201" s="100">
        <v>1</v>
      </c>
      <c r="X201" s="100"/>
      <c r="Y201" s="110"/>
      <c r="Z201" s="110"/>
      <c r="AA201" s="100"/>
      <c r="AB201" s="109"/>
      <c r="AC201" s="109">
        <v>1</v>
      </c>
      <c r="AD201" s="109">
        <v>1</v>
      </c>
      <c r="AE201" s="108"/>
      <c r="AF201" s="109"/>
      <c r="AG201" s="108"/>
      <c r="AH201" s="111"/>
      <c r="AI201" s="100"/>
      <c r="AJ201" s="100"/>
      <c r="AK201" s="100"/>
      <c r="AL201" s="100"/>
      <c r="AM201" s="100"/>
      <c r="AN201" s="111"/>
      <c r="AO201" s="100"/>
      <c r="AP201" s="100"/>
      <c r="AQ201" s="111"/>
      <c r="AR201" s="100"/>
      <c r="AS201" s="100"/>
      <c r="AT201" s="111"/>
    </row>
    <row r="202" spans="1:46" ht="16.3">
      <c r="A202" s="91" t="s">
        <v>363</v>
      </c>
      <c r="B202" s="239">
        <f t="shared" ref="B202:C202" si="38">SUM(B200+B201)</f>
        <v>4</v>
      </c>
      <c r="C202" s="214">
        <f t="shared" si="38"/>
        <v>21</v>
      </c>
      <c r="D202" s="133"/>
      <c r="E202" s="134"/>
      <c r="F202" s="135"/>
      <c r="G202" s="136"/>
      <c r="H202" s="96"/>
      <c r="I202" s="96"/>
      <c r="J202" s="104"/>
      <c r="K202" s="75"/>
      <c r="L202" s="75"/>
      <c r="M202" s="75"/>
      <c r="N202" s="75"/>
      <c r="O202" s="96"/>
      <c r="P202" s="105"/>
      <c r="Q202" s="105"/>
      <c r="R202" s="96"/>
      <c r="S202" s="128"/>
      <c r="T202" s="137"/>
      <c r="U202" s="110"/>
      <c r="V202" s="100"/>
      <c r="W202" s="100"/>
      <c r="X202" s="100"/>
      <c r="Y202" s="110"/>
      <c r="Z202" s="110"/>
      <c r="AA202" s="100"/>
      <c r="AB202" s="109"/>
      <c r="AC202" s="109"/>
      <c r="AD202" s="109"/>
      <c r="AE202" s="108"/>
      <c r="AF202" s="109"/>
      <c r="AG202" s="108"/>
      <c r="AH202" s="111"/>
      <c r="AI202" s="100"/>
      <c r="AJ202" s="100"/>
      <c r="AK202" s="100"/>
      <c r="AL202" s="100"/>
      <c r="AM202" s="100"/>
      <c r="AN202" s="111"/>
      <c r="AO202" s="100"/>
      <c r="AP202" s="100"/>
      <c r="AQ202" s="111"/>
      <c r="AR202" s="100"/>
      <c r="AS202" s="100"/>
      <c r="AT202" s="111"/>
    </row>
    <row r="203" spans="1:46" ht="16.3">
      <c r="A203" s="91" t="s">
        <v>3</v>
      </c>
      <c r="B203" s="239">
        <f t="shared" ref="B203:B204" si="39">SUM(J203+K203+L203+M203+N203+S203+V203+W203+X203+AA203+AI203+AJ203+AI203+AM203+AP203+AQ203+AS203+AT203+AU203+AV203)</f>
        <v>0</v>
      </c>
      <c r="C203" s="214">
        <f>SUM(J203+K203+L203+M203+N203+S203+W203+X203+V203+AA203+AJ203+AI203+AJ203+AN203+AQ203+AM203+AT203+AU203+AV203+AW203+AP203+AS203)+1</f>
        <v>1</v>
      </c>
      <c r="D203" s="133"/>
      <c r="E203" s="134"/>
      <c r="F203" s="135"/>
      <c r="G203" s="136"/>
      <c r="H203" s="96"/>
      <c r="I203" s="96"/>
      <c r="J203" s="104"/>
      <c r="K203" s="75"/>
      <c r="L203" s="75"/>
      <c r="M203" s="75"/>
      <c r="N203" s="75"/>
      <c r="O203" s="96"/>
      <c r="P203" s="105"/>
      <c r="Q203" s="105"/>
      <c r="R203" s="96"/>
      <c r="S203" s="128"/>
      <c r="T203" s="137"/>
      <c r="U203" s="110"/>
      <c r="V203" s="100"/>
      <c r="W203" s="100"/>
      <c r="X203" s="100"/>
      <c r="Y203" s="110"/>
      <c r="Z203" s="110"/>
      <c r="AA203" s="100"/>
      <c r="AB203" s="109"/>
      <c r="AC203" s="109"/>
      <c r="AD203" s="109"/>
      <c r="AE203" s="108"/>
      <c r="AF203" s="109"/>
      <c r="AG203" s="108"/>
      <c r="AH203" s="111"/>
      <c r="AI203" s="100"/>
      <c r="AJ203" s="100"/>
      <c r="AK203" s="100"/>
      <c r="AL203" s="100"/>
      <c r="AM203" s="100"/>
      <c r="AN203" s="111"/>
      <c r="AO203" s="100"/>
      <c r="AP203" s="100"/>
      <c r="AQ203" s="111"/>
      <c r="AR203" s="100"/>
      <c r="AS203" s="100"/>
      <c r="AT203" s="111"/>
    </row>
    <row r="204" spans="1:46" ht="17" thickBot="1">
      <c r="A204" s="92" t="s">
        <v>4</v>
      </c>
      <c r="B204" s="241">
        <f t="shared" si="39"/>
        <v>0</v>
      </c>
      <c r="C204" s="217">
        <f>SUM(J204+K204+L204+M204+N204+S204+W204+X204+V204+AA204+AJ204+AI204+AJ204+AN204+AQ204+AM204+AT204+AU204+AV204+AW204+AP204+AS204)+5</f>
        <v>5</v>
      </c>
      <c r="D204" s="144"/>
      <c r="E204" s="145"/>
      <c r="F204" s="146"/>
      <c r="G204" s="147"/>
      <c r="H204" s="114"/>
      <c r="I204" s="114"/>
      <c r="J204" s="113"/>
      <c r="K204" s="112"/>
      <c r="L204" s="112"/>
      <c r="M204" s="112"/>
      <c r="N204" s="112"/>
      <c r="O204" s="114"/>
      <c r="P204" s="127"/>
      <c r="Q204" s="127"/>
      <c r="R204" s="114"/>
      <c r="S204" s="129"/>
      <c r="T204" s="148"/>
      <c r="U204" s="120"/>
      <c r="V204" s="112"/>
      <c r="W204" s="100"/>
      <c r="X204" s="100"/>
      <c r="Y204" s="110"/>
      <c r="Z204" s="110"/>
      <c r="AA204" s="100"/>
      <c r="AB204" s="109"/>
      <c r="AC204" s="109"/>
      <c r="AD204" s="109"/>
      <c r="AE204" s="108"/>
      <c r="AF204" s="109"/>
      <c r="AG204" s="108"/>
      <c r="AH204" s="111"/>
      <c r="AI204" s="100"/>
      <c r="AJ204" s="100"/>
      <c r="AK204" s="100"/>
      <c r="AL204" s="100"/>
      <c r="AM204" s="100"/>
      <c r="AN204" s="111"/>
      <c r="AO204" s="100"/>
      <c r="AP204" s="100"/>
      <c r="AQ204" s="111"/>
      <c r="AR204" s="100"/>
      <c r="AS204" s="100"/>
      <c r="AT204" s="111"/>
    </row>
    <row r="205" spans="1:46" ht="21.1">
      <c r="A205" s="82" t="s">
        <v>617</v>
      </c>
      <c r="B205" s="239"/>
      <c r="C205" s="214"/>
      <c r="D205" s="133"/>
      <c r="E205" s="134"/>
      <c r="F205" s="135"/>
      <c r="G205" s="136"/>
      <c r="H205" s="96" t="s">
        <v>432</v>
      </c>
      <c r="I205" s="96" t="s">
        <v>375</v>
      </c>
      <c r="J205" s="104"/>
      <c r="K205" s="75" t="s">
        <v>375</v>
      </c>
      <c r="L205" s="75" t="s">
        <v>441</v>
      </c>
      <c r="M205" s="75" t="s">
        <v>383</v>
      </c>
      <c r="N205" s="75" t="s">
        <v>339</v>
      </c>
      <c r="O205" s="96" t="s">
        <v>339</v>
      </c>
      <c r="P205" s="105"/>
      <c r="Q205" s="105"/>
      <c r="R205" s="96" t="s">
        <v>339</v>
      </c>
      <c r="S205" s="128" t="s">
        <v>339</v>
      </c>
      <c r="T205" s="137" t="s">
        <v>339</v>
      </c>
      <c r="U205" s="110" t="s">
        <v>339</v>
      </c>
      <c r="V205" s="100" t="s">
        <v>339</v>
      </c>
      <c r="W205" s="102" t="s">
        <v>339</v>
      </c>
      <c r="X205" s="102" t="s">
        <v>339</v>
      </c>
      <c r="Y205" s="101" t="s">
        <v>339</v>
      </c>
      <c r="Z205" s="101" t="s">
        <v>339</v>
      </c>
      <c r="AA205" s="102" t="s">
        <v>339</v>
      </c>
      <c r="AB205" s="99" t="s">
        <v>375</v>
      </c>
      <c r="AC205" s="99" t="s">
        <v>378</v>
      </c>
      <c r="AD205" s="99">
        <v>14</v>
      </c>
      <c r="AE205" s="98"/>
      <c r="AF205" s="99"/>
      <c r="AG205" s="98"/>
      <c r="AH205" s="103"/>
      <c r="AI205" s="102"/>
      <c r="AJ205" s="102"/>
      <c r="AK205" s="102"/>
      <c r="AL205" s="102"/>
      <c r="AM205" s="102"/>
      <c r="AN205" s="103"/>
      <c r="AO205" s="102"/>
      <c r="AP205" s="102"/>
      <c r="AQ205" s="103"/>
      <c r="AR205" s="102"/>
      <c r="AS205" s="102"/>
      <c r="AT205" s="103"/>
    </row>
    <row r="206" spans="1:46" ht="16.3">
      <c r="A206" s="246" t="s">
        <v>1</v>
      </c>
      <c r="B206" s="240">
        <f t="shared" ref="B206" si="40">SUM(J206+K206+L206+M206+N206+S206+V206+W206+X206+AA206+AI206+AJ206+AI206+AM206+AP206+AQ206+AS206+AT206+AU206+AV206+AN206)</f>
        <v>1</v>
      </c>
      <c r="C206" s="215">
        <f>SUM(J206+K206+L206+M206+N206+S206+W206+X206+V206+AA206+AJ206+AI206+AJ206+AN206+AQ206+AM206+AT206+AU206+AV206+AW206+AP206+AS206)+2</f>
        <v>3</v>
      </c>
      <c r="D206" s="139"/>
      <c r="E206" s="140"/>
      <c r="F206" s="135"/>
      <c r="G206" s="136"/>
      <c r="H206" s="96"/>
      <c r="I206" s="96"/>
      <c r="J206" s="104"/>
      <c r="K206" s="75"/>
      <c r="L206" s="75"/>
      <c r="M206" s="75">
        <v>1</v>
      </c>
      <c r="N206" s="75"/>
      <c r="O206" s="96"/>
      <c r="P206" s="105"/>
      <c r="Q206" s="105"/>
      <c r="R206" s="96"/>
      <c r="S206" s="128"/>
      <c r="T206" s="182"/>
      <c r="U206" s="106"/>
      <c r="V206" s="75"/>
      <c r="W206" s="75"/>
      <c r="X206" s="75"/>
      <c r="Y206" s="106"/>
      <c r="Z206" s="106"/>
      <c r="AA206" s="75"/>
      <c r="AB206" s="96"/>
      <c r="AC206" s="96">
        <v>1</v>
      </c>
      <c r="AD206" s="96">
        <v>1</v>
      </c>
      <c r="AE206" s="105"/>
      <c r="AF206" s="96"/>
      <c r="AG206" s="105"/>
      <c r="AH206" s="107"/>
      <c r="AI206" s="75"/>
      <c r="AJ206" s="75"/>
      <c r="AK206" s="75"/>
      <c r="AL206" s="75"/>
      <c r="AM206" s="75"/>
      <c r="AN206" s="107"/>
      <c r="AO206" s="75"/>
      <c r="AP206" s="75"/>
      <c r="AQ206" s="107"/>
      <c r="AR206" s="75"/>
      <c r="AS206" s="75"/>
      <c r="AT206" s="107"/>
    </row>
    <row r="207" spans="1:46" ht="16.3">
      <c r="A207" s="246" t="s">
        <v>2</v>
      </c>
      <c r="B207" s="240">
        <f t="shared" ref="B207" si="41">SUM(J207+K207+L207+M207+N207+S207+V207+W207+X207+AA207+AI207+AJ207+AI207+AM207+AP207+AQ207+AS207+AT207+AU207+AV207)</f>
        <v>2</v>
      </c>
      <c r="C207" s="215">
        <f>SUM(J207+K207+L207+M207+N207+S207+W207+X207+V207+AA207+AJ207+AI207+AJ207+AN207+AQ207+AM207+AT207+AU207+AV207+AW207+AP207+AS207)+7</f>
        <v>9</v>
      </c>
      <c r="D207" s="139"/>
      <c r="E207" s="140"/>
      <c r="F207" s="135"/>
      <c r="G207" s="136"/>
      <c r="H207" s="96">
        <v>1</v>
      </c>
      <c r="I207" s="96">
        <v>1</v>
      </c>
      <c r="J207" s="104"/>
      <c r="K207" s="75">
        <v>1</v>
      </c>
      <c r="L207" s="75">
        <v>1</v>
      </c>
      <c r="M207" s="75"/>
      <c r="N207" s="75"/>
      <c r="O207" s="96"/>
      <c r="P207" s="105"/>
      <c r="Q207" s="105"/>
      <c r="R207" s="96"/>
      <c r="S207" s="128"/>
      <c r="T207" s="137"/>
      <c r="U207" s="110"/>
      <c r="V207" s="100"/>
      <c r="W207" s="100"/>
      <c r="X207" s="100"/>
      <c r="Y207" s="110"/>
      <c r="Z207" s="110"/>
      <c r="AA207" s="100"/>
      <c r="AB207" s="109">
        <v>1</v>
      </c>
      <c r="AC207" s="109"/>
      <c r="AD207" s="109"/>
      <c r="AE207" s="108"/>
      <c r="AF207" s="109"/>
      <c r="AG207" s="108"/>
      <c r="AH207" s="111"/>
      <c r="AI207" s="100"/>
      <c r="AJ207" s="100"/>
      <c r="AK207" s="100"/>
      <c r="AL207" s="100"/>
      <c r="AM207" s="100"/>
      <c r="AN207" s="111"/>
      <c r="AO207" s="100"/>
      <c r="AP207" s="100"/>
      <c r="AQ207" s="111"/>
      <c r="AR207" s="100"/>
      <c r="AS207" s="100"/>
      <c r="AT207" s="111"/>
    </row>
    <row r="208" spans="1:46" ht="16.3">
      <c r="A208" s="91" t="s">
        <v>363</v>
      </c>
      <c r="B208" s="239">
        <f t="shared" ref="B208:C208" si="42">SUM(B206+B207)</f>
        <v>3</v>
      </c>
      <c r="C208" s="214">
        <f t="shared" si="42"/>
        <v>12</v>
      </c>
      <c r="D208" s="133"/>
      <c r="E208" s="134"/>
      <c r="F208" s="135"/>
      <c r="G208" s="136"/>
      <c r="H208" s="96"/>
      <c r="I208" s="96"/>
      <c r="J208" s="104"/>
      <c r="K208" s="75"/>
      <c r="L208" s="75"/>
      <c r="M208" s="75"/>
      <c r="N208" s="75"/>
      <c r="O208" s="96"/>
      <c r="P208" s="105"/>
      <c r="Q208" s="105"/>
      <c r="R208" s="96"/>
      <c r="S208" s="128"/>
      <c r="T208" s="137"/>
      <c r="U208" s="110"/>
      <c r="V208" s="100"/>
      <c r="W208" s="100"/>
      <c r="X208" s="100"/>
      <c r="Y208" s="110"/>
      <c r="Z208" s="110"/>
      <c r="AA208" s="100"/>
      <c r="AB208" s="109"/>
      <c r="AC208" s="109"/>
      <c r="AD208" s="109"/>
      <c r="AE208" s="108"/>
      <c r="AF208" s="109"/>
      <c r="AG208" s="108"/>
      <c r="AH208" s="111"/>
      <c r="AI208" s="100"/>
      <c r="AJ208" s="100"/>
      <c r="AK208" s="100"/>
      <c r="AL208" s="100"/>
      <c r="AM208" s="100"/>
      <c r="AN208" s="111"/>
      <c r="AO208" s="100"/>
      <c r="AP208" s="100"/>
      <c r="AQ208" s="111"/>
      <c r="AR208" s="100"/>
      <c r="AS208" s="100"/>
      <c r="AT208" s="111"/>
    </row>
    <row r="209" spans="1:46" ht="16.3">
      <c r="A209" s="246" t="s">
        <v>362</v>
      </c>
      <c r="B209" s="240">
        <f t="shared" ref="B209" si="43">SUM(J209+K209+L209+M209+N209+S209+V209+W209+X209+AA209+AI209+AJ209+AI209+AM209+AP209+AQ209+AS209+AT209+AU209+AV209)</f>
        <v>1</v>
      </c>
      <c r="C209" s="215">
        <f>SUM(J209+K209+L209+M209+N209+S209+W209+X209+V209+AA209+AJ209+AI209+AJ209+AN209+AQ209+AM209+AT209+AU209+AV209+AW209+AP209+AS209)</f>
        <v>1</v>
      </c>
      <c r="D209" s="133"/>
      <c r="E209" s="134"/>
      <c r="F209" s="135"/>
      <c r="G209" s="136"/>
      <c r="H209" s="96"/>
      <c r="I209" s="96"/>
      <c r="J209" s="104"/>
      <c r="K209" s="75"/>
      <c r="L209" s="75">
        <v>1</v>
      </c>
      <c r="M209" s="75"/>
      <c r="N209" s="75"/>
      <c r="O209" s="96"/>
      <c r="P209" s="105"/>
      <c r="Q209" s="105"/>
      <c r="R209" s="96"/>
      <c r="S209" s="128"/>
      <c r="T209" s="137"/>
      <c r="U209" s="110"/>
      <c r="V209" s="100"/>
      <c r="W209" s="100"/>
      <c r="X209" s="100"/>
      <c r="Y209" s="110"/>
      <c r="Z209" s="110"/>
      <c r="AA209" s="100"/>
      <c r="AB209" s="109"/>
      <c r="AC209" s="109"/>
      <c r="AD209" s="109"/>
      <c r="AE209" s="108"/>
      <c r="AF209" s="109"/>
      <c r="AG209" s="108"/>
      <c r="AH209" s="111"/>
      <c r="AI209" s="100"/>
      <c r="AJ209" s="100"/>
      <c r="AK209" s="100"/>
      <c r="AL209" s="100"/>
      <c r="AM209" s="100"/>
      <c r="AN209" s="111"/>
      <c r="AO209" s="100"/>
      <c r="AP209" s="100"/>
      <c r="AQ209" s="111"/>
      <c r="AR209" s="100"/>
      <c r="AS209" s="100"/>
      <c r="AT209" s="111"/>
    </row>
    <row r="210" spans="1:46" ht="16.3">
      <c r="A210" s="91" t="s">
        <v>3</v>
      </c>
      <c r="B210" s="239">
        <f t="shared" ref="B210:B211" si="44">SUM(J210+K210+L210+M210+N210+S210+V210+W210+X210+AA210+AI210+AJ210+AI210+AM210+AP210+AQ210+AS210+AT210+AU210+AV210)</f>
        <v>0</v>
      </c>
      <c r="C210" s="214">
        <f>SUM(J210+K210+L210+M210+N210+S210+W210+X210+V210+AA210+AJ210+AI210+AJ210+AN210+AQ210+AM210+AT210+AU210+AV210+AW210+AP210+AS210)+1</f>
        <v>1</v>
      </c>
      <c r="D210" s="133"/>
      <c r="E210" s="134"/>
      <c r="F210" s="135"/>
      <c r="G210" s="136"/>
      <c r="H210" s="96"/>
      <c r="I210" s="96"/>
      <c r="J210" s="104"/>
      <c r="K210" s="75"/>
      <c r="L210" s="75"/>
      <c r="M210" s="75"/>
      <c r="N210" s="75"/>
      <c r="O210" s="96"/>
      <c r="P210" s="105"/>
      <c r="Q210" s="105"/>
      <c r="R210" s="96"/>
      <c r="S210" s="128"/>
      <c r="T210" s="137"/>
      <c r="U210" s="110"/>
      <c r="V210" s="100"/>
      <c r="W210" s="100"/>
      <c r="X210" s="100"/>
      <c r="Y210" s="110"/>
      <c r="Z210" s="110"/>
      <c r="AA210" s="100"/>
      <c r="AB210" s="109"/>
      <c r="AC210" s="109">
        <v>1</v>
      </c>
      <c r="AD210" s="109">
        <v>1</v>
      </c>
      <c r="AE210" s="108"/>
      <c r="AF210" s="109"/>
      <c r="AG210" s="108"/>
      <c r="AH210" s="111"/>
      <c r="AI210" s="100"/>
      <c r="AJ210" s="100"/>
      <c r="AK210" s="100"/>
      <c r="AL210" s="100"/>
      <c r="AM210" s="100"/>
      <c r="AN210" s="111"/>
      <c r="AO210" s="100"/>
      <c r="AP210" s="100"/>
      <c r="AQ210" s="111"/>
      <c r="AR210" s="100"/>
      <c r="AS210" s="100"/>
      <c r="AT210" s="111"/>
    </row>
    <row r="211" spans="1:46" ht="17" thickBot="1">
      <c r="A211" s="92" t="s">
        <v>4</v>
      </c>
      <c r="B211" s="241">
        <f t="shared" si="44"/>
        <v>0</v>
      </c>
      <c r="C211" s="217">
        <f>SUM(J211+K211+L211+M211+N211+S211+W211+X211+V211+AA211+AJ211+AI211+AJ211+AN211+AQ211+AM211+AT211+AU211+AV211+AW211+AP211+AS211)+5</f>
        <v>5</v>
      </c>
      <c r="D211" s="144"/>
      <c r="E211" s="145"/>
      <c r="F211" s="146"/>
      <c r="G211" s="147"/>
      <c r="H211" s="114"/>
      <c r="I211" s="114"/>
      <c r="J211" s="113"/>
      <c r="K211" s="112"/>
      <c r="L211" s="112"/>
      <c r="M211" s="112"/>
      <c r="N211" s="112"/>
      <c r="O211" s="114"/>
      <c r="P211" s="127"/>
      <c r="Q211" s="127"/>
      <c r="R211" s="114"/>
      <c r="S211" s="129"/>
      <c r="T211" s="148"/>
      <c r="U211" s="120"/>
      <c r="V211" s="112"/>
      <c r="W211" s="116"/>
      <c r="X211" s="116"/>
      <c r="Y211" s="120"/>
      <c r="Z211" s="120"/>
      <c r="AA211" s="116"/>
      <c r="AB211" s="118"/>
      <c r="AC211" s="118">
        <v>5</v>
      </c>
      <c r="AD211" s="118">
        <v>5</v>
      </c>
      <c r="AE211" s="117"/>
      <c r="AF211" s="118"/>
      <c r="AG211" s="117"/>
      <c r="AH211" s="121"/>
      <c r="AI211" s="116"/>
      <c r="AJ211" s="116"/>
      <c r="AK211" s="116"/>
      <c r="AL211" s="116"/>
      <c r="AM211" s="116"/>
      <c r="AN211" s="121"/>
      <c r="AO211" s="116"/>
      <c r="AP211" s="116"/>
      <c r="AQ211" s="121"/>
      <c r="AR211" s="116"/>
      <c r="AS211" s="116"/>
      <c r="AT211" s="121"/>
    </row>
    <row r="212" spans="1:46" ht="21.1">
      <c r="A212" s="82" t="s">
        <v>735</v>
      </c>
      <c r="B212" s="239"/>
      <c r="C212" s="214"/>
      <c r="D212" s="133"/>
      <c r="E212" s="134"/>
      <c r="F212" s="135"/>
      <c r="G212" s="136"/>
      <c r="H212" s="96"/>
      <c r="I212" s="96"/>
      <c r="J212" s="104"/>
      <c r="K212" s="75"/>
      <c r="L212" s="75" t="s">
        <v>375</v>
      </c>
      <c r="M212" s="75" t="s">
        <v>375</v>
      </c>
      <c r="N212" s="75" t="s">
        <v>393</v>
      </c>
      <c r="O212" s="96"/>
      <c r="P212" s="105"/>
      <c r="Q212" s="105"/>
      <c r="R212" s="96"/>
      <c r="S212" s="128"/>
      <c r="T212" s="137"/>
      <c r="U212" s="110"/>
      <c r="V212" s="100"/>
      <c r="W212" s="100"/>
      <c r="X212" s="100"/>
      <c r="Y212" s="110"/>
      <c r="Z212" s="110"/>
      <c r="AA212" s="100"/>
      <c r="AB212" s="109"/>
      <c r="AC212" s="109"/>
      <c r="AD212" s="109"/>
      <c r="AE212" s="108"/>
      <c r="AF212" s="109"/>
      <c r="AG212" s="108"/>
      <c r="AH212" s="111"/>
      <c r="AI212" s="100"/>
      <c r="AJ212" s="100"/>
      <c r="AK212" s="100"/>
      <c r="AL212" s="100"/>
      <c r="AM212" s="100"/>
      <c r="AN212" s="111"/>
      <c r="AO212" s="100"/>
      <c r="AP212" s="100"/>
      <c r="AQ212" s="111"/>
      <c r="AR212" s="100"/>
      <c r="AS212" s="100"/>
      <c r="AT212" s="111"/>
    </row>
    <row r="213" spans="1:46" ht="16.3">
      <c r="A213" s="246" t="s">
        <v>1</v>
      </c>
      <c r="B213" s="240">
        <f>SUM(J213+K213+L213+M213+N213+S213+V213+W213+X213+AA213+AI213+AJ213+AI213+AM213+AP213+AQ213+AS213+AT213+AU213+AV213+AN213)+1</f>
        <v>1</v>
      </c>
      <c r="C213" s="215">
        <f>SUM(J213+K213+L213+M213+N213+S213+W213+X213+V213+AA213+AJ213+AI213+AJ213+AN213+AQ213+AM213+AT213+AU213+AV213+AW213+AP213+AS213)+1</f>
        <v>1</v>
      </c>
      <c r="D213" s="133"/>
      <c r="E213" s="134"/>
      <c r="F213" s="135"/>
      <c r="G213" s="136"/>
      <c r="H213" s="96"/>
      <c r="I213" s="96"/>
      <c r="J213" s="104"/>
      <c r="K213" s="75"/>
      <c r="L213" s="75"/>
      <c r="M213" s="75"/>
      <c r="N213" s="75"/>
      <c r="O213" s="96"/>
      <c r="P213" s="105"/>
      <c r="Q213" s="105"/>
      <c r="R213" s="96"/>
      <c r="S213" s="128"/>
      <c r="T213" s="137"/>
      <c r="U213" s="110"/>
      <c r="V213" s="100"/>
      <c r="W213" s="100"/>
      <c r="X213" s="100"/>
      <c r="Y213" s="110"/>
      <c r="Z213" s="110"/>
      <c r="AA213" s="100"/>
      <c r="AB213" s="109"/>
      <c r="AC213" s="109"/>
      <c r="AD213" s="109"/>
      <c r="AE213" s="108"/>
      <c r="AF213" s="109"/>
      <c r="AG213" s="108"/>
      <c r="AH213" s="111"/>
      <c r="AI213" s="100"/>
      <c r="AJ213" s="100"/>
      <c r="AK213" s="100"/>
      <c r="AL213" s="100"/>
      <c r="AM213" s="100"/>
      <c r="AN213" s="111"/>
      <c r="AO213" s="100"/>
      <c r="AP213" s="100"/>
      <c r="AQ213" s="111"/>
      <c r="AR213" s="100"/>
      <c r="AS213" s="100"/>
      <c r="AT213" s="111"/>
    </row>
    <row r="214" spans="1:46" ht="16.3">
      <c r="A214" s="246" t="s">
        <v>2</v>
      </c>
      <c r="B214" s="240">
        <f>SUM(J214+K214+L214+M214+N214+S214+V214+W214+X214+AA214+AI214+AJ214+AI214+AM214+AP214+AQ214+AS214+AT214+AU214+AV214)+1</f>
        <v>3</v>
      </c>
      <c r="C214" s="215">
        <f>SUM(J214+K214+L214+M214+N214+S214+W214+X214+V214+AA214+AJ214+AI214+AJ214+AN214+AQ214+AM214+AT214+AU214+AV214+AW214+AP214+AS214)+1</f>
        <v>3</v>
      </c>
      <c r="D214" s="133"/>
      <c r="E214" s="134"/>
      <c r="F214" s="135"/>
      <c r="G214" s="136"/>
      <c r="H214" s="96"/>
      <c r="I214" s="96"/>
      <c r="J214" s="104"/>
      <c r="K214" s="75"/>
      <c r="L214" s="75">
        <v>1</v>
      </c>
      <c r="M214" s="75">
        <v>1</v>
      </c>
      <c r="N214" s="75"/>
      <c r="O214" s="96"/>
      <c r="P214" s="105"/>
      <c r="Q214" s="105"/>
      <c r="R214" s="96"/>
      <c r="S214" s="128"/>
      <c r="T214" s="137"/>
      <c r="U214" s="110"/>
      <c r="V214" s="100"/>
      <c r="W214" s="100"/>
      <c r="X214" s="100"/>
      <c r="Y214" s="110"/>
      <c r="Z214" s="110"/>
      <c r="AA214" s="100"/>
      <c r="AB214" s="109"/>
      <c r="AC214" s="109"/>
      <c r="AD214" s="109"/>
      <c r="AE214" s="108"/>
      <c r="AF214" s="109"/>
      <c r="AG214" s="108"/>
      <c r="AH214" s="111"/>
      <c r="AI214" s="100"/>
      <c r="AJ214" s="100"/>
      <c r="AK214" s="100"/>
      <c r="AL214" s="100"/>
      <c r="AM214" s="100"/>
      <c r="AN214" s="111"/>
      <c r="AO214" s="100"/>
      <c r="AP214" s="100"/>
      <c r="AQ214" s="111"/>
      <c r="AR214" s="100"/>
      <c r="AS214" s="100"/>
      <c r="AT214" s="111"/>
    </row>
    <row r="215" spans="1:46" ht="16.3">
      <c r="A215" s="91" t="s">
        <v>363</v>
      </c>
      <c r="B215" s="239">
        <f t="shared" ref="B215:C215" si="45">SUM(B213+B214)</f>
        <v>4</v>
      </c>
      <c r="C215" s="214">
        <f t="shared" si="45"/>
        <v>4</v>
      </c>
      <c r="D215" s="133"/>
      <c r="E215" s="134"/>
      <c r="F215" s="135"/>
      <c r="G215" s="136"/>
      <c r="H215" s="96"/>
      <c r="I215" s="96"/>
      <c r="J215" s="104"/>
      <c r="K215" s="75"/>
      <c r="L215" s="75"/>
      <c r="M215" s="75"/>
      <c r="N215" s="75"/>
      <c r="O215" s="96"/>
      <c r="P215" s="105"/>
      <c r="Q215" s="105"/>
      <c r="R215" s="96"/>
      <c r="S215" s="128"/>
      <c r="T215" s="137"/>
      <c r="U215" s="110"/>
      <c r="V215" s="100"/>
      <c r="W215" s="100"/>
      <c r="X215" s="100"/>
      <c r="Y215" s="110"/>
      <c r="Z215" s="110"/>
      <c r="AA215" s="100"/>
      <c r="AB215" s="109"/>
      <c r="AC215" s="109"/>
      <c r="AD215" s="109"/>
      <c r="AE215" s="108"/>
      <c r="AF215" s="109"/>
      <c r="AG215" s="108"/>
      <c r="AH215" s="111"/>
      <c r="AI215" s="100"/>
      <c r="AJ215" s="100"/>
      <c r="AK215" s="100"/>
      <c r="AL215" s="100"/>
      <c r="AM215" s="100"/>
      <c r="AN215" s="111"/>
      <c r="AO215" s="100"/>
      <c r="AP215" s="100"/>
      <c r="AQ215" s="111"/>
      <c r="AR215" s="100"/>
      <c r="AS215" s="100"/>
      <c r="AT215" s="111"/>
    </row>
    <row r="216" spans="1:46" ht="16.3">
      <c r="A216" s="91" t="s">
        <v>3</v>
      </c>
      <c r="B216" s="240">
        <f t="shared" ref="B216:B217" si="46">SUM(J216+K216+L216+M216+N216+S216+V216+W216+X216+AA216+AI216+AJ216+AI216+AM216+AP216+AQ216+AS216+AT216+AU216+AV216)</f>
        <v>0</v>
      </c>
      <c r="C216" s="215">
        <f>SUM(J216+K216+L216+M216+N216+S216+W216+X216+V216+AA216+AJ216+AI216+AJ216+AN216+AQ216+AM216+AT216+AU216+AV216+AW216+AP216+AS216)</f>
        <v>0</v>
      </c>
      <c r="D216" s="133"/>
      <c r="E216" s="134"/>
      <c r="F216" s="135"/>
      <c r="G216" s="136"/>
      <c r="H216" s="96"/>
      <c r="I216" s="96"/>
      <c r="J216" s="104"/>
      <c r="K216" s="75"/>
      <c r="L216" s="75"/>
      <c r="M216" s="75"/>
      <c r="N216" s="75"/>
      <c r="O216" s="96"/>
      <c r="P216" s="105"/>
      <c r="Q216" s="105"/>
      <c r="R216" s="96"/>
      <c r="S216" s="128"/>
      <c r="T216" s="137"/>
      <c r="U216" s="110"/>
      <c r="V216" s="100"/>
      <c r="W216" s="100"/>
      <c r="X216" s="100"/>
      <c r="Y216" s="110"/>
      <c r="Z216" s="110"/>
      <c r="AA216" s="100"/>
      <c r="AB216" s="109"/>
      <c r="AC216" s="109"/>
      <c r="AD216" s="109"/>
      <c r="AE216" s="108"/>
      <c r="AF216" s="109"/>
      <c r="AG216" s="108"/>
      <c r="AH216" s="111"/>
      <c r="AI216" s="100"/>
      <c r="AJ216" s="100"/>
      <c r="AK216" s="100"/>
      <c r="AL216" s="100"/>
      <c r="AM216" s="100"/>
      <c r="AN216" s="111"/>
      <c r="AO216" s="100"/>
      <c r="AP216" s="100"/>
      <c r="AQ216" s="111"/>
      <c r="AR216" s="100"/>
      <c r="AS216" s="100"/>
      <c r="AT216" s="111"/>
    </row>
    <row r="217" spans="1:46" ht="17" thickBot="1">
      <c r="A217" s="92" t="s">
        <v>4</v>
      </c>
      <c r="B217" s="241">
        <f t="shared" si="46"/>
        <v>0</v>
      </c>
      <c r="C217" s="217">
        <f>SUM(J217+K217+L217+M217+N217+S217+W217+X217+V217+AA217+AJ217+AI217+AJ217+AN217+AQ217+AM217+AT217+AU217+AV217+AW217+AP217+AS217)+1</f>
        <v>1</v>
      </c>
      <c r="D217" s="144"/>
      <c r="E217" s="145"/>
      <c r="F217" s="146"/>
      <c r="G217" s="147"/>
      <c r="H217" s="114"/>
      <c r="I217" s="114"/>
      <c r="J217" s="113"/>
      <c r="K217" s="112"/>
      <c r="L217" s="112"/>
      <c r="M217" s="112"/>
      <c r="N217" s="112"/>
      <c r="O217" s="114"/>
      <c r="P217" s="127"/>
      <c r="Q217" s="127"/>
      <c r="R217" s="114"/>
      <c r="S217" s="129"/>
      <c r="T217" s="148"/>
      <c r="U217" s="120"/>
      <c r="V217" s="116"/>
      <c r="W217" s="116"/>
      <c r="X217" s="116"/>
      <c r="Y217" s="120"/>
      <c r="Z217" s="120"/>
      <c r="AA217" s="116"/>
      <c r="AB217" s="118"/>
      <c r="AC217" s="118"/>
      <c r="AD217" s="118"/>
      <c r="AE217" s="117"/>
      <c r="AF217" s="118"/>
      <c r="AG217" s="117"/>
      <c r="AH217" s="121"/>
      <c r="AI217" s="116"/>
      <c r="AJ217" s="116"/>
      <c r="AK217" s="116"/>
      <c r="AL217" s="116"/>
      <c r="AM217" s="116"/>
      <c r="AN217" s="121"/>
      <c r="AO217" s="116"/>
      <c r="AP217" s="116"/>
      <c r="AQ217" s="121"/>
      <c r="AR217" s="116"/>
      <c r="AS217" s="116"/>
      <c r="AT217" s="121"/>
    </row>
    <row r="218" spans="1:46" ht="21.1">
      <c r="A218" s="82" t="s">
        <v>776</v>
      </c>
      <c r="B218" s="239"/>
      <c r="C218" s="214"/>
      <c r="D218" s="133"/>
      <c r="E218" s="134"/>
      <c r="F218" s="135"/>
      <c r="G218" s="136"/>
      <c r="H218" s="96"/>
      <c r="I218" s="96"/>
      <c r="J218" s="104"/>
      <c r="K218" s="75"/>
      <c r="L218" s="75"/>
      <c r="M218" s="75"/>
      <c r="N218" s="75"/>
      <c r="O218" s="96" t="s">
        <v>375</v>
      </c>
      <c r="P218" s="105"/>
      <c r="Q218" s="105"/>
      <c r="R218" s="96" t="s">
        <v>375</v>
      </c>
      <c r="S218" s="128"/>
      <c r="T218" s="137"/>
      <c r="U218" s="110"/>
      <c r="V218" s="100"/>
      <c r="W218" s="100"/>
      <c r="X218" s="100"/>
      <c r="Y218" s="110"/>
      <c r="Z218" s="110"/>
      <c r="AA218" s="100"/>
      <c r="AB218" s="109"/>
      <c r="AC218" s="109"/>
      <c r="AD218" s="109"/>
      <c r="AE218" s="108"/>
      <c r="AF218" s="109"/>
      <c r="AG218" s="108"/>
      <c r="AH218" s="111"/>
      <c r="AI218" s="100"/>
      <c r="AJ218" s="100"/>
      <c r="AK218" s="100"/>
      <c r="AL218" s="100"/>
      <c r="AM218" s="100"/>
      <c r="AN218" s="111"/>
      <c r="AO218" s="100"/>
      <c r="AP218" s="100"/>
      <c r="AQ218" s="111"/>
      <c r="AR218" s="100"/>
      <c r="AS218" s="100"/>
      <c r="AT218" s="111"/>
    </row>
    <row r="219" spans="1:46" ht="16.3">
      <c r="A219" s="246" t="s">
        <v>1</v>
      </c>
      <c r="B219" s="240">
        <f t="shared" ref="B219" si="47">SUM(J219+K219+L219+M219+N219+S219+V219+W219+X219+AA219+AI219+AJ219+AI219+AM219+AP219+AQ219+AS219+AT219+AU219+AV219+AN219)</f>
        <v>0</v>
      </c>
      <c r="C219" s="215">
        <f t="shared" ref="C219:C220" si="48">SUM(J219+K219+L219+M219+N219+S219+W219+X219+V219+AA219+AJ219+AI219+AJ219+AN219+AQ219+AM219+AT219+AU219+AV219+AW219+AP219+AS219)</f>
        <v>0</v>
      </c>
      <c r="D219" s="133"/>
      <c r="E219" s="134"/>
      <c r="F219" s="135"/>
      <c r="G219" s="136"/>
      <c r="H219" s="96"/>
      <c r="I219" s="96"/>
      <c r="J219" s="104"/>
      <c r="K219" s="75"/>
      <c r="L219" s="75"/>
      <c r="M219" s="75"/>
      <c r="N219" s="75"/>
      <c r="O219" s="96"/>
      <c r="P219" s="105"/>
      <c r="Q219" s="105"/>
      <c r="R219" s="96"/>
      <c r="S219" s="128"/>
      <c r="T219" s="137"/>
      <c r="U219" s="110"/>
      <c r="V219" s="100"/>
      <c r="W219" s="100"/>
      <c r="X219" s="100"/>
      <c r="Y219" s="110"/>
      <c r="Z219" s="110"/>
      <c r="AA219" s="100"/>
      <c r="AB219" s="109"/>
      <c r="AC219" s="109"/>
      <c r="AD219" s="109"/>
      <c r="AE219" s="108"/>
      <c r="AF219" s="109"/>
      <c r="AG219" s="108"/>
      <c r="AH219" s="111"/>
      <c r="AI219" s="100"/>
      <c r="AJ219" s="100"/>
      <c r="AK219" s="100"/>
      <c r="AL219" s="100"/>
      <c r="AM219" s="100"/>
      <c r="AN219" s="111"/>
      <c r="AO219" s="100"/>
      <c r="AP219" s="100"/>
      <c r="AQ219" s="111"/>
      <c r="AR219" s="100"/>
      <c r="AS219" s="100"/>
      <c r="AT219" s="111"/>
    </row>
    <row r="220" spans="1:46" ht="16.3">
      <c r="A220" s="246" t="s">
        <v>2</v>
      </c>
      <c r="B220" s="240">
        <f t="shared" ref="B220" si="49">SUM(J220+K220+L220+M220+N220+S220+V220+W220+X220+AA220+AI220+AJ220+AI220+AM220+AP220+AQ220+AS220+AT220+AU220+AV220)</f>
        <v>0</v>
      </c>
      <c r="C220" s="215">
        <f t="shared" si="48"/>
        <v>0</v>
      </c>
      <c r="D220" s="133"/>
      <c r="E220" s="134"/>
      <c r="F220" s="135"/>
      <c r="G220" s="136"/>
      <c r="H220" s="96"/>
      <c r="I220" s="96"/>
      <c r="J220" s="104"/>
      <c r="K220" s="75"/>
      <c r="L220" s="75"/>
      <c r="M220" s="75"/>
      <c r="N220" s="75"/>
      <c r="O220" s="96">
        <v>1</v>
      </c>
      <c r="P220" s="105"/>
      <c r="Q220" s="105"/>
      <c r="R220" s="96">
        <v>1</v>
      </c>
      <c r="S220" s="128"/>
      <c r="T220" s="137"/>
      <c r="U220" s="110"/>
      <c r="V220" s="100"/>
      <c r="W220" s="100"/>
      <c r="X220" s="100"/>
      <c r="Y220" s="110"/>
      <c r="Z220" s="110"/>
      <c r="AA220" s="100"/>
      <c r="AB220" s="109"/>
      <c r="AC220" s="109"/>
      <c r="AD220" s="109"/>
      <c r="AE220" s="108"/>
      <c r="AF220" s="109"/>
      <c r="AG220" s="108"/>
      <c r="AH220" s="111"/>
      <c r="AI220" s="100"/>
      <c r="AJ220" s="100"/>
      <c r="AK220" s="100"/>
      <c r="AL220" s="100"/>
      <c r="AM220" s="100"/>
      <c r="AN220" s="111"/>
      <c r="AO220" s="100"/>
      <c r="AP220" s="100"/>
      <c r="AQ220" s="111"/>
      <c r="AR220" s="100"/>
      <c r="AS220" s="100"/>
      <c r="AT220" s="111"/>
    </row>
    <row r="221" spans="1:46" ht="16.3">
      <c r="A221" s="91" t="s">
        <v>363</v>
      </c>
      <c r="B221" s="239">
        <f t="shared" ref="B221:C221" si="50">SUM(B219+B220)</f>
        <v>0</v>
      </c>
      <c r="C221" s="214">
        <f t="shared" si="50"/>
        <v>0</v>
      </c>
      <c r="D221" s="133"/>
      <c r="E221" s="134"/>
      <c r="F221" s="135"/>
      <c r="G221" s="136"/>
      <c r="H221" s="96"/>
      <c r="I221" s="96"/>
      <c r="J221" s="104"/>
      <c r="K221" s="75"/>
      <c r="L221" s="75"/>
      <c r="M221" s="75"/>
      <c r="N221" s="75"/>
      <c r="O221" s="96"/>
      <c r="P221" s="105"/>
      <c r="Q221" s="105"/>
      <c r="R221" s="96"/>
      <c r="S221" s="128"/>
      <c r="T221" s="137"/>
      <c r="U221" s="110"/>
      <c r="V221" s="100"/>
      <c r="W221" s="100"/>
      <c r="X221" s="100"/>
      <c r="Y221" s="110"/>
      <c r="Z221" s="110"/>
      <c r="AA221" s="100"/>
      <c r="AB221" s="109"/>
      <c r="AC221" s="109"/>
      <c r="AD221" s="109"/>
      <c r="AE221" s="108"/>
      <c r="AF221" s="109"/>
      <c r="AG221" s="108"/>
      <c r="AH221" s="111"/>
      <c r="AI221" s="100"/>
      <c r="AJ221" s="100"/>
      <c r="AK221" s="100"/>
      <c r="AL221" s="100"/>
      <c r="AM221" s="100"/>
      <c r="AN221" s="111"/>
      <c r="AO221" s="100"/>
      <c r="AP221" s="100"/>
      <c r="AQ221" s="111"/>
      <c r="AR221" s="100"/>
      <c r="AS221" s="100"/>
      <c r="AT221" s="111"/>
    </row>
    <row r="222" spans="1:46" ht="16.3">
      <c r="A222" s="91" t="s">
        <v>3</v>
      </c>
      <c r="B222" s="239">
        <f t="shared" ref="B222:B223" si="51">SUM(J222+K222+L222+M222+N222+S222+V222+W222+X222+AA222+AI222+AJ222+AI222+AM222+AP222+AQ222+AS222+AT222+AU222+AV222)</f>
        <v>0</v>
      </c>
      <c r="C222" s="214">
        <f t="shared" ref="C222:C223" si="52">SUM(J222+K222+L222+M222+N222+S222+W222+X222+V222+AA222+AJ222+AI222+AJ222+AN222+AQ222+AM222+AT222+AU222+AV222+AW222+AP222+AS222)</f>
        <v>0</v>
      </c>
      <c r="D222" s="133"/>
      <c r="E222" s="134"/>
      <c r="F222" s="135"/>
      <c r="G222" s="136"/>
      <c r="H222" s="96"/>
      <c r="I222" s="96"/>
      <c r="J222" s="104"/>
      <c r="K222" s="75"/>
      <c r="L222" s="75"/>
      <c r="M222" s="75"/>
      <c r="N222" s="75"/>
      <c r="O222" s="96">
        <v>1</v>
      </c>
      <c r="P222" s="105"/>
      <c r="Q222" s="105"/>
      <c r="R222" s="96"/>
      <c r="S222" s="128"/>
      <c r="T222" s="137"/>
      <c r="U222" s="110"/>
      <c r="V222" s="100"/>
      <c r="W222" s="100"/>
      <c r="X222" s="100"/>
      <c r="Y222" s="110"/>
      <c r="Z222" s="110"/>
      <c r="AA222" s="100"/>
      <c r="AB222" s="109"/>
      <c r="AC222" s="109"/>
      <c r="AD222" s="109"/>
      <c r="AE222" s="108"/>
      <c r="AF222" s="109"/>
      <c r="AG222" s="108"/>
      <c r="AH222" s="111"/>
      <c r="AI222" s="100"/>
      <c r="AJ222" s="100"/>
      <c r="AK222" s="100"/>
      <c r="AL222" s="100"/>
      <c r="AM222" s="100"/>
      <c r="AN222" s="111"/>
      <c r="AO222" s="100"/>
      <c r="AP222" s="100"/>
      <c r="AQ222" s="111"/>
      <c r="AR222" s="100"/>
      <c r="AS222" s="100"/>
      <c r="AT222" s="111"/>
    </row>
    <row r="223" spans="1:46" ht="17" thickBot="1">
      <c r="A223" s="92" t="s">
        <v>4</v>
      </c>
      <c r="B223" s="241">
        <f t="shared" si="51"/>
        <v>0</v>
      </c>
      <c r="C223" s="217">
        <f t="shared" si="52"/>
        <v>0</v>
      </c>
      <c r="D223" s="144"/>
      <c r="E223" s="145"/>
      <c r="F223" s="146"/>
      <c r="G223" s="147"/>
      <c r="H223" s="114"/>
      <c r="I223" s="114"/>
      <c r="J223" s="113"/>
      <c r="K223" s="112"/>
      <c r="L223" s="112"/>
      <c r="M223" s="112"/>
      <c r="N223" s="112"/>
      <c r="O223" s="114">
        <v>5</v>
      </c>
      <c r="P223" s="127"/>
      <c r="Q223" s="127"/>
      <c r="R223" s="114"/>
      <c r="S223" s="129"/>
      <c r="T223" s="148"/>
      <c r="U223" s="120"/>
      <c r="V223" s="116"/>
      <c r="W223" s="116"/>
      <c r="X223" s="116"/>
      <c r="Y223" s="120"/>
      <c r="Z223" s="120"/>
      <c r="AA223" s="116"/>
      <c r="AB223" s="118"/>
      <c r="AC223" s="118"/>
      <c r="AD223" s="118"/>
      <c r="AE223" s="117"/>
      <c r="AF223" s="118"/>
      <c r="AG223" s="117"/>
      <c r="AH223" s="121"/>
      <c r="AI223" s="116"/>
      <c r="AJ223" s="116"/>
      <c r="AK223" s="116"/>
      <c r="AL223" s="116"/>
      <c r="AM223" s="116"/>
      <c r="AN223" s="121"/>
      <c r="AO223" s="116"/>
      <c r="AP223" s="116"/>
      <c r="AQ223" s="121"/>
      <c r="AR223" s="116"/>
      <c r="AS223" s="116"/>
      <c r="AT223" s="121"/>
    </row>
    <row r="224" spans="1:46" ht="21.1">
      <c r="A224" s="86" t="s">
        <v>49</v>
      </c>
      <c r="B224" s="243"/>
      <c r="C224" s="218"/>
      <c r="D224" s="153"/>
      <c r="E224" s="154"/>
      <c r="F224" s="155"/>
      <c r="G224" s="156"/>
      <c r="H224" s="96" t="s">
        <v>501</v>
      </c>
      <c r="I224" s="96" t="s">
        <v>501</v>
      </c>
      <c r="J224" s="104" t="s">
        <v>501</v>
      </c>
      <c r="K224" s="75" t="s">
        <v>501</v>
      </c>
      <c r="L224" s="75" t="s">
        <v>369</v>
      </c>
      <c r="M224" s="75" t="s">
        <v>717</v>
      </c>
      <c r="N224" s="75" t="s">
        <v>369</v>
      </c>
      <c r="O224" s="96" t="s">
        <v>775</v>
      </c>
      <c r="P224" s="105"/>
      <c r="Q224" s="180"/>
      <c r="R224" s="124" t="s">
        <v>775</v>
      </c>
      <c r="S224" s="165" t="s">
        <v>848</v>
      </c>
      <c r="T224" s="157" t="s">
        <v>369</v>
      </c>
      <c r="U224" s="101" t="s">
        <v>369</v>
      </c>
      <c r="V224" s="102" t="s">
        <v>899</v>
      </c>
      <c r="W224" s="102" t="s">
        <v>911</v>
      </c>
      <c r="X224" s="102" t="s">
        <v>917</v>
      </c>
      <c r="Y224" s="101" t="s">
        <v>375</v>
      </c>
      <c r="Z224" s="101">
        <v>1</v>
      </c>
      <c r="AA224" s="102">
        <v>1</v>
      </c>
      <c r="AB224" s="99" t="s">
        <v>775</v>
      </c>
      <c r="AC224" s="99" t="s">
        <v>775</v>
      </c>
      <c r="AD224" s="99" t="s">
        <v>775</v>
      </c>
      <c r="AE224" s="98"/>
      <c r="AF224" s="99" t="s">
        <v>775</v>
      </c>
      <c r="AG224" s="98"/>
      <c r="AH224" s="103"/>
      <c r="AI224" s="102"/>
      <c r="AJ224" s="102"/>
      <c r="AK224" s="102"/>
      <c r="AL224" s="102"/>
      <c r="AM224" s="102"/>
      <c r="AN224" s="103"/>
      <c r="AO224" s="102"/>
      <c r="AP224" s="102"/>
      <c r="AQ224" s="103"/>
      <c r="AR224" s="102"/>
      <c r="AS224" s="102"/>
      <c r="AT224" s="103"/>
    </row>
    <row r="225" spans="1:46" ht="16.3">
      <c r="A225" s="246" t="s">
        <v>1</v>
      </c>
      <c r="B225" s="240">
        <f>SUM(J225+K225+L225+M225+N225+S225+V225+W225+X225+AA225+AI225+AJ225+AI225+AM225+AP225+AQ225+AS225+AT225+AU225+AV225+AN225)+26</f>
        <v>31</v>
      </c>
      <c r="C225" s="215">
        <f>SUM(J225+K225+L225+M225+N225+S225+W225+X225+V225+AA225+AJ225+AI225+AJ225+AN225+AQ225+AM225+AT225+AU225+AV225+AW225+AP225+AS225)+95</f>
        <v>100</v>
      </c>
      <c r="D225" s="139"/>
      <c r="E225" s="140"/>
      <c r="F225" s="135"/>
      <c r="G225" s="136"/>
      <c r="H225" s="96"/>
      <c r="I225" s="96"/>
      <c r="J225" s="104"/>
      <c r="K225" s="75"/>
      <c r="L225" s="75">
        <v>1</v>
      </c>
      <c r="M225" s="75"/>
      <c r="N225" s="75">
        <v>1</v>
      </c>
      <c r="O225" s="96"/>
      <c r="P225" s="105"/>
      <c r="Q225" s="105"/>
      <c r="R225" s="96"/>
      <c r="S225" s="128"/>
      <c r="T225" s="137">
        <v>1</v>
      </c>
      <c r="U225" s="110">
        <v>1</v>
      </c>
      <c r="V225" s="100">
        <v>1</v>
      </c>
      <c r="W225" s="100"/>
      <c r="X225" s="100">
        <v>1</v>
      </c>
      <c r="Y225" s="110"/>
      <c r="Z225" s="110">
        <v>1</v>
      </c>
      <c r="AA225" s="100">
        <v>1</v>
      </c>
      <c r="AB225" s="109"/>
      <c r="AC225" s="109"/>
      <c r="AD225" s="109"/>
      <c r="AE225" s="108"/>
      <c r="AF225" s="109"/>
      <c r="AG225" s="108"/>
      <c r="AH225" s="111"/>
      <c r="AI225" s="100"/>
      <c r="AJ225" s="100"/>
      <c r="AK225" s="100"/>
      <c r="AL225" s="100"/>
      <c r="AM225" s="100"/>
      <c r="AN225" s="111"/>
      <c r="AO225" s="100"/>
      <c r="AP225" s="100"/>
      <c r="AQ225" s="111"/>
      <c r="AR225" s="100"/>
      <c r="AS225" s="100"/>
      <c r="AT225" s="111"/>
    </row>
    <row r="226" spans="1:46" ht="16.3">
      <c r="A226" s="246" t="s">
        <v>2</v>
      </c>
      <c r="B226" s="240">
        <f>SUM(J226+K226+L226+M226+N226+S226+V226+W226+X226+AA226+AI226+AJ226+AI226+AM226+AP226+AQ226+AS226+AT226+AU226+AV226)+4</f>
        <v>5</v>
      </c>
      <c r="C226" s="215">
        <f>SUM(J226+K226+L226+M226+N226+S226+W226+X226+V226+AA226+AJ226+AI226+AJ226+AN226+AQ226+AM226+AT226+AU226+AV226+AW226+AP226+AS226)+21</f>
        <v>22</v>
      </c>
      <c r="D226" s="139"/>
      <c r="E226" s="140"/>
      <c r="F226" s="135"/>
      <c r="G226" s="136"/>
      <c r="H226" s="96"/>
      <c r="I226" s="96"/>
      <c r="J226" s="104"/>
      <c r="K226" s="75"/>
      <c r="L226" s="75"/>
      <c r="M226" s="75"/>
      <c r="N226" s="75"/>
      <c r="O226" s="96"/>
      <c r="P226" s="105"/>
      <c r="Q226" s="105"/>
      <c r="R226" s="96"/>
      <c r="S226" s="128"/>
      <c r="T226" s="137"/>
      <c r="U226" s="110"/>
      <c r="V226" s="100"/>
      <c r="W226" s="100">
        <v>1</v>
      </c>
      <c r="X226" s="100"/>
      <c r="Y226" s="110">
        <v>1</v>
      </c>
      <c r="Z226" s="110"/>
      <c r="AA226" s="100"/>
      <c r="AB226" s="109"/>
      <c r="AC226" s="109"/>
      <c r="AD226" s="109"/>
      <c r="AE226" s="108"/>
      <c r="AF226" s="109"/>
      <c r="AG226" s="108"/>
      <c r="AH226" s="111"/>
      <c r="AI226" s="100"/>
      <c r="AJ226" s="100"/>
      <c r="AK226" s="100"/>
      <c r="AL226" s="100"/>
      <c r="AM226" s="100"/>
      <c r="AN226" s="111"/>
      <c r="AO226" s="100"/>
      <c r="AP226" s="100"/>
      <c r="AQ226" s="111"/>
      <c r="AR226" s="100"/>
      <c r="AS226" s="100"/>
      <c r="AT226" s="111"/>
    </row>
    <row r="227" spans="1:46" ht="16.3">
      <c r="A227" s="91" t="s">
        <v>363</v>
      </c>
      <c r="B227" s="239">
        <f>SUM(B225+B226)</f>
        <v>36</v>
      </c>
      <c r="C227" s="214">
        <f>SUM(C225+C226)</f>
        <v>122</v>
      </c>
      <c r="D227" s="133"/>
      <c r="E227" s="134"/>
      <c r="F227" s="135"/>
      <c r="G227" s="136"/>
      <c r="H227" s="96"/>
      <c r="I227" s="96"/>
      <c r="J227" s="104"/>
      <c r="K227" s="75"/>
      <c r="L227" s="75"/>
      <c r="M227" s="75"/>
      <c r="N227" s="75"/>
      <c r="O227" s="96"/>
      <c r="P227" s="105"/>
      <c r="Q227" s="105"/>
      <c r="R227" s="96"/>
      <c r="S227" s="128"/>
      <c r="T227" s="137"/>
      <c r="U227" s="110"/>
      <c r="V227" s="100"/>
      <c r="W227" s="100"/>
      <c r="X227" s="100"/>
      <c r="Y227" s="110"/>
      <c r="Z227" s="110"/>
      <c r="AA227" s="100"/>
      <c r="AB227" s="109"/>
      <c r="AC227" s="109"/>
      <c r="AD227" s="109"/>
      <c r="AE227" s="108"/>
      <c r="AF227" s="109"/>
      <c r="AG227" s="108"/>
      <c r="AH227" s="111"/>
      <c r="AI227" s="100"/>
      <c r="AJ227" s="100"/>
      <c r="AK227" s="100"/>
      <c r="AL227" s="100"/>
      <c r="AM227" s="100"/>
      <c r="AN227" s="111"/>
      <c r="AO227" s="100"/>
      <c r="AP227" s="100"/>
      <c r="AQ227" s="111"/>
      <c r="AR227" s="100"/>
      <c r="AS227" s="100"/>
      <c r="AT227" s="111"/>
    </row>
    <row r="228" spans="1:46" ht="16.3">
      <c r="A228" s="246" t="s">
        <v>366</v>
      </c>
      <c r="B228" s="240">
        <f>SUM(J228+K228+L228+M228+N228+S228+V228+W228+X228+AA228+AI228+AJ228+AI228+AM228+AP228+AQ228+AS228+AT228+AU228+AV228)</f>
        <v>0</v>
      </c>
      <c r="C228" s="215">
        <f>SUM(J228+K228+L228+M228+N228+S228+W228+X228+V228+AA228+AJ228+AI228+AJ228+AN228+AQ228+AM228+AT228+AU228+AV228+AW228+AP228+AS228)+17</f>
        <v>17</v>
      </c>
      <c r="D228" s="133"/>
      <c r="E228" s="134"/>
      <c r="F228" s="135"/>
      <c r="G228" s="136"/>
      <c r="H228" s="96"/>
      <c r="I228" s="96"/>
      <c r="J228" s="104"/>
      <c r="K228" s="75"/>
      <c r="L228" s="75"/>
      <c r="M228" s="75"/>
      <c r="N228" s="75"/>
      <c r="O228" s="96"/>
      <c r="P228" s="105"/>
      <c r="Q228" s="105"/>
      <c r="R228" s="96"/>
      <c r="S228" s="128"/>
      <c r="T228" s="137"/>
      <c r="U228" s="110"/>
      <c r="V228" s="100"/>
      <c r="W228" s="100"/>
      <c r="X228" s="100"/>
      <c r="Y228" s="110"/>
      <c r="Z228" s="110"/>
      <c r="AA228" s="100"/>
      <c r="AB228" s="109"/>
      <c r="AC228" s="109"/>
      <c r="AD228" s="109"/>
      <c r="AE228" s="108"/>
      <c r="AF228" s="109"/>
      <c r="AG228" s="108"/>
      <c r="AH228" s="111"/>
      <c r="AI228" s="100"/>
      <c r="AJ228" s="100"/>
      <c r="AK228" s="100"/>
      <c r="AL228" s="100"/>
      <c r="AM228" s="100"/>
      <c r="AN228" s="111"/>
      <c r="AO228" s="100"/>
      <c r="AP228" s="100"/>
      <c r="AQ228" s="111"/>
      <c r="AR228" s="100"/>
      <c r="AS228" s="100"/>
      <c r="AT228" s="111"/>
    </row>
    <row r="229" spans="1:46" ht="16.3">
      <c r="A229" s="246" t="s">
        <v>362</v>
      </c>
      <c r="B229" s="240">
        <f>SUM(J229+K229+L229+M229+N229+S229+V229+W229+X229+AA229+AI229+AJ229+AI229+AM229+AP229+AQ229+AS229+AT229+AU229+AV229)+2</f>
        <v>2</v>
      </c>
      <c r="C229" s="215">
        <f>SUM(J229+K229+L229+M229+N229+S229+W229+X229+V229+AA229+AJ229+AI229+AJ229+AN229+AQ229+AM229+AT229+AU229+AV229+AW229+AP229+AS229)+6</f>
        <v>6</v>
      </c>
      <c r="D229" s="139"/>
      <c r="E229" s="140"/>
      <c r="F229" s="135"/>
      <c r="G229" s="136"/>
      <c r="H229" s="96"/>
      <c r="I229" s="96"/>
      <c r="J229" s="104"/>
      <c r="K229" s="75"/>
      <c r="L229" s="75"/>
      <c r="M229" s="75"/>
      <c r="N229" s="75"/>
      <c r="O229" s="96"/>
      <c r="P229" s="105"/>
      <c r="Q229" s="105"/>
      <c r="R229" s="96"/>
      <c r="S229" s="128"/>
      <c r="T229" s="137"/>
      <c r="U229" s="110"/>
      <c r="V229" s="100"/>
      <c r="W229" s="100"/>
      <c r="X229" s="100"/>
      <c r="Y229" s="110"/>
      <c r="Z229" s="110"/>
      <c r="AA229" s="100"/>
      <c r="AB229" s="109"/>
      <c r="AC229" s="109"/>
      <c r="AD229" s="109"/>
      <c r="AE229" s="108"/>
      <c r="AF229" s="109"/>
      <c r="AG229" s="108"/>
      <c r="AH229" s="111"/>
      <c r="AI229" s="100"/>
      <c r="AJ229" s="100"/>
      <c r="AK229" s="100"/>
      <c r="AL229" s="100"/>
      <c r="AM229" s="100"/>
      <c r="AN229" s="111"/>
      <c r="AO229" s="100"/>
      <c r="AP229" s="100"/>
      <c r="AQ229" s="111"/>
      <c r="AR229" s="100"/>
      <c r="AS229" s="100"/>
      <c r="AT229" s="111"/>
    </row>
    <row r="230" spans="1:46" ht="16.3">
      <c r="A230" s="91" t="s">
        <v>3</v>
      </c>
      <c r="B230" s="239">
        <f>SUM(J230+K230+L230+M230+N230+S230+V230+W230+X230+AA230+AI230+AJ230+AI230+AM230+AP230+AQ230+AS230+AT230+AU230+AV230)+8</f>
        <v>9</v>
      </c>
      <c r="C230" s="214">
        <f>SUM(J230+K230+L230+M230+N230+S230+W230+X230+V230+AA230+AJ230+AI230+AJ230+AN230+AQ230+AM230+AT230+AU230+AV230+AW230+AP230+AS230)+18</f>
        <v>19</v>
      </c>
      <c r="D230" s="133"/>
      <c r="E230" s="134"/>
      <c r="F230" s="135"/>
      <c r="G230" s="136"/>
      <c r="H230" s="96"/>
      <c r="I230" s="96"/>
      <c r="J230" s="104"/>
      <c r="K230" s="75"/>
      <c r="L230" s="75"/>
      <c r="M230" s="75"/>
      <c r="N230" s="75"/>
      <c r="O230" s="96"/>
      <c r="P230" s="105"/>
      <c r="Q230" s="105"/>
      <c r="R230" s="96"/>
      <c r="S230" s="128"/>
      <c r="T230" s="137"/>
      <c r="U230" s="110">
        <v>1</v>
      </c>
      <c r="V230" s="100">
        <v>1</v>
      </c>
      <c r="W230" s="100"/>
      <c r="X230" s="100"/>
      <c r="Y230" s="110"/>
      <c r="Z230" s="110"/>
      <c r="AA230" s="100"/>
      <c r="AB230" s="109"/>
      <c r="AC230" s="109"/>
      <c r="AD230" s="109"/>
      <c r="AE230" s="108"/>
      <c r="AF230" s="109"/>
      <c r="AG230" s="108"/>
      <c r="AH230" s="111"/>
      <c r="AI230" s="100"/>
      <c r="AJ230" s="100"/>
      <c r="AK230" s="100"/>
      <c r="AL230" s="100"/>
      <c r="AM230" s="100"/>
      <c r="AN230" s="111"/>
      <c r="AO230" s="100"/>
      <c r="AP230" s="100"/>
      <c r="AQ230" s="111"/>
      <c r="AR230" s="100"/>
      <c r="AS230" s="100"/>
      <c r="AT230" s="111"/>
    </row>
    <row r="231" spans="1:46" ht="17" thickBot="1">
      <c r="A231" s="92" t="s">
        <v>4</v>
      </c>
      <c r="B231" s="241">
        <f>SUM(J231+K231+L231+M231+N231+S231+V231+W231+X231+AA231+AI231+AJ231+AI231+AM231+AP231+AQ231+AS231+AT231+AU231+AV231)+40</f>
        <v>45</v>
      </c>
      <c r="C231" s="217">
        <f>SUM(J231+K231+L231+M231+N231+S231+W231+X231+V231+AA231+AJ231+AI231+AJ231+AN231+AQ231+AM231+AT231+AU231+AV231+AW231+AP231+AS231)+90</f>
        <v>95</v>
      </c>
      <c r="D231" s="144"/>
      <c r="E231" s="145"/>
      <c r="F231" s="146"/>
      <c r="G231" s="147"/>
      <c r="H231" s="96"/>
      <c r="I231" s="96"/>
      <c r="J231" s="104"/>
      <c r="K231" s="75"/>
      <c r="L231" s="75"/>
      <c r="M231" s="75"/>
      <c r="N231" s="75"/>
      <c r="O231" s="96"/>
      <c r="P231" s="105"/>
      <c r="Q231" s="105"/>
      <c r="R231" s="96"/>
      <c r="S231" s="128"/>
      <c r="T231" s="137"/>
      <c r="U231" s="110">
        <v>5</v>
      </c>
      <c r="V231" s="100">
        <v>5</v>
      </c>
      <c r="W231" s="100"/>
      <c r="X231" s="100"/>
      <c r="Y231" s="110"/>
      <c r="Z231" s="110"/>
      <c r="AA231" s="100"/>
      <c r="AB231" s="109"/>
      <c r="AC231" s="109"/>
      <c r="AD231" s="109"/>
      <c r="AE231" s="108"/>
      <c r="AF231" s="109"/>
      <c r="AG231" s="108"/>
      <c r="AH231" s="111"/>
      <c r="AI231" s="100"/>
      <c r="AJ231" s="100"/>
      <c r="AK231" s="100"/>
      <c r="AL231" s="100"/>
      <c r="AM231" s="100"/>
      <c r="AN231" s="111"/>
      <c r="AO231" s="100"/>
      <c r="AP231" s="100"/>
      <c r="AQ231" s="111"/>
      <c r="AR231" s="100"/>
      <c r="AS231" s="100"/>
      <c r="AT231" s="111"/>
    </row>
    <row r="232" spans="1:46" ht="21.1">
      <c r="A232" s="86" t="s">
        <v>52</v>
      </c>
      <c r="B232" s="239"/>
      <c r="C232" s="214"/>
      <c r="D232" s="133"/>
      <c r="E232" s="134"/>
      <c r="F232" s="135"/>
      <c r="G232" s="136"/>
      <c r="H232" s="124" t="s">
        <v>369</v>
      </c>
      <c r="I232" s="124"/>
      <c r="J232" s="123" t="s">
        <v>369</v>
      </c>
      <c r="K232" s="122" t="s">
        <v>749</v>
      </c>
      <c r="L232" s="122" t="s">
        <v>375</v>
      </c>
      <c r="M232" s="122" t="s">
        <v>369</v>
      </c>
      <c r="N232" s="122" t="s">
        <v>375</v>
      </c>
      <c r="O232" s="124"/>
      <c r="P232" s="180"/>
      <c r="Q232" s="180"/>
      <c r="R232" s="124"/>
      <c r="S232" s="165" t="s">
        <v>369</v>
      </c>
      <c r="T232" s="157" t="s">
        <v>375</v>
      </c>
      <c r="U232" s="101" t="s">
        <v>375</v>
      </c>
      <c r="V232" s="122" t="s">
        <v>900</v>
      </c>
      <c r="W232" s="102" t="s">
        <v>339</v>
      </c>
      <c r="X232" s="102" t="s">
        <v>339</v>
      </c>
      <c r="Y232" s="101" t="s">
        <v>339</v>
      </c>
      <c r="Z232" s="101" t="s">
        <v>339</v>
      </c>
      <c r="AA232" s="102" t="s">
        <v>339</v>
      </c>
      <c r="AB232" s="99" t="s">
        <v>339</v>
      </c>
      <c r="AC232" s="99" t="s">
        <v>339</v>
      </c>
      <c r="AD232" s="99" t="s">
        <v>339</v>
      </c>
      <c r="AE232" s="98"/>
      <c r="AF232" s="99"/>
      <c r="AG232" s="98"/>
      <c r="AH232" s="103"/>
      <c r="AI232" s="102"/>
      <c r="AJ232" s="102"/>
      <c r="AK232" s="102"/>
      <c r="AL232" s="102"/>
      <c r="AM232" s="102"/>
      <c r="AN232" s="103"/>
      <c r="AO232" s="102"/>
      <c r="AP232" s="102"/>
      <c r="AQ232" s="103"/>
      <c r="AR232" s="102"/>
      <c r="AS232" s="102"/>
      <c r="AT232" s="103"/>
    </row>
    <row r="233" spans="1:46" ht="16.3">
      <c r="A233" s="234" t="s">
        <v>1</v>
      </c>
      <c r="B233" s="240">
        <f>SUM(J233+K233+L233+M233+N233+S233+V233+W233+X233+AA233+AI233+AJ233+AI233+AM233+AP233+AQ233+AS233+AT233+AU233+AV233+AN233)+60</f>
        <v>64</v>
      </c>
      <c r="C233" s="215">
        <f>SUM(J233+K233+L233+M233+N233+S233+W233+X233+V233+AA233+AJ233+AI233+AJ233+AN233+AQ233+AM233+AT233+AU233+AV233+AW233+AP233+AS233)+60</f>
        <v>64</v>
      </c>
      <c r="D233" s="139"/>
      <c r="E233" s="140"/>
      <c r="F233" s="135"/>
      <c r="G233" s="136"/>
      <c r="H233" s="96">
        <v>1</v>
      </c>
      <c r="I233" s="96"/>
      <c r="J233" s="104">
        <v>1</v>
      </c>
      <c r="K233" s="75">
        <v>1</v>
      </c>
      <c r="L233" s="75"/>
      <c r="M233" s="75">
        <v>1</v>
      </c>
      <c r="N233" s="75"/>
      <c r="O233" s="96"/>
      <c r="P233" s="105"/>
      <c r="Q233" s="105"/>
      <c r="R233" s="96"/>
      <c r="S233" s="128">
        <v>1</v>
      </c>
      <c r="T233" s="137"/>
      <c r="U233" s="110"/>
      <c r="V233" s="100"/>
      <c r="W233" s="100"/>
      <c r="X233" s="100"/>
      <c r="Y233" s="110"/>
      <c r="Z233" s="110"/>
      <c r="AA233" s="100"/>
      <c r="AB233" s="109"/>
      <c r="AC233" s="109"/>
      <c r="AD233" s="109"/>
      <c r="AE233" s="108"/>
      <c r="AF233" s="109"/>
      <c r="AG233" s="108"/>
      <c r="AH233" s="111"/>
      <c r="AI233" s="100"/>
      <c r="AJ233" s="100"/>
      <c r="AK233" s="100"/>
      <c r="AL233" s="100"/>
      <c r="AM233" s="100"/>
      <c r="AN233" s="111"/>
      <c r="AO233" s="100"/>
      <c r="AP233" s="100"/>
      <c r="AQ233" s="111"/>
      <c r="AR233" s="100"/>
      <c r="AS233" s="100"/>
      <c r="AT233" s="111"/>
    </row>
    <row r="234" spans="1:46" ht="16.3">
      <c r="A234" s="234" t="s">
        <v>2</v>
      </c>
      <c r="B234" s="240">
        <f>SUM(J234+K234+L234+M234+N234+S234+V234+W234+X234+AA234+AI234+AJ234+AI234+AM234+AP234+AQ234+AS234+AT234+AU234+AV234)+69</f>
        <v>72</v>
      </c>
      <c r="C234" s="215">
        <f>SUM(J234+K234+L234+M234+N234+S234+W234+X234+V234+AA234+AJ234+AI234+AJ234+AN234+AQ234+AM234+AT234+AU234+AV234+AW234+AP234+AS234)+69</f>
        <v>72</v>
      </c>
      <c r="D234" s="139"/>
      <c r="E234" s="140"/>
      <c r="F234" s="135"/>
      <c r="G234" s="136"/>
      <c r="H234" s="96"/>
      <c r="I234" s="96"/>
      <c r="J234" s="104"/>
      <c r="K234" s="75"/>
      <c r="L234" s="75">
        <v>1</v>
      </c>
      <c r="M234" s="75"/>
      <c r="N234" s="75">
        <v>1</v>
      </c>
      <c r="O234" s="96"/>
      <c r="P234" s="105"/>
      <c r="Q234" s="105"/>
      <c r="R234" s="96"/>
      <c r="S234" s="128"/>
      <c r="T234" s="137">
        <v>1</v>
      </c>
      <c r="U234" s="110">
        <v>1</v>
      </c>
      <c r="V234" s="100">
        <v>1</v>
      </c>
      <c r="W234" s="100"/>
      <c r="X234" s="100"/>
      <c r="Y234" s="110"/>
      <c r="Z234" s="110"/>
      <c r="AA234" s="100"/>
      <c r="AB234" s="109"/>
      <c r="AC234" s="109"/>
      <c r="AD234" s="109"/>
      <c r="AE234" s="108"/>
      <c r="AF234" s="109"/>
      <c r="AG234" s="108"/>
      <c r="AH234" s="111"/>
      <c r="AI234" s="100"/>
      <c r="AJ234" s="100"/>
      <c r="AK234" s="100"/>
      <c r="AL234" s="100"/>
      <c r="AM234" s="100"/>
      <c r="AN234" s="111"/>
      <c r="AO234" s="100"/>
      <c r="AP234" s="100"/>
      <c r="AQ234" s="111"/>
      <c r="AR234" s="100"/>
      <c r="AS234" s="100"/>
      <c r="AT234" s="111"/>
    </row>
    <row r="235" spans="1:46" ht="16.3">
      <c r="A235" s="91" t="s">
        <v>363</v>
      </c>
      <c r="B235" s="239">
        <f>SUM(B233+B234)</f>
        <v>136</v>
      </c>
      <c r="C235" s="214">
        <f>SUM(C233+C234)</f>
        <v>136</v>
      </c>
      <c r="D235" s="133"/>
      <c r="E235" s="134"/>
      <c r="F235" s="135"/>
      <c r="G235" s="136"/>
      <c r="H235" s="96"/>
      <c r="I235" s="96"/>
      <c r="J235" s="104"/>
      <c r="K235" s="75"/>
      <c r="L235" s="75"/>
      <c r="M235" s="75"/>
      <c r="N235" s="75"/>
      <c r="O235" s="96"/>
      <c r="P235" s="105"/>
      <c r="Q235" s="105"/>
      <c r="R235" s="96"/>
      <c r="S235" s="128"/>
      <c r="T235" s="137"/>
      <c r="U235" s="110"/>
      <c r="V235" s="100"/>
      <c r="W235" s="100"/>
      <c r="X235" s="100"/>
      <c r="Y235" s="110"/>
      <c r="Z235" s="110"/>
      <c r="AA235" s="100"/>
      <c r="AB235" s="109"/>
      <c r="AC235" s="109"/>
      <c r="AD235" s="109"/>
      <c r="AE235" s="108"/>
      <c r="AF235" s="109"/>
      <c r="AG235" s="108"/>
      <c r="AH235" s="111"/>
      <c r="AI235" s="100"/>
      <c r="AJ235" s="100"/>
      <c r="AK235" s="100"/>
      <c r="AL235" s="100"/>
      <c r="AM235" s="100"/>
      <c r="AN235" s="111"/>
      <c r="AO235" s="100"/>
      <c r="AP235" s="100"/>
      <c r="AQ235" s="111"/>
      <c r="AR235" s="100"/>
      <c r="AS235" s="100"/>
      <c r="AT235" s="111"/>
    </row>
    <row r="236" spans="1:46" ht="16.3">
      <c r="A236" s="234" t="s">
        <v>366</v>
      </c>
      <c r="B236" s="240">
        <f>SUM(J236+K236+L236+M236+N236+S236+V236+W236+X236+AA236+AI236+AJ236+AI236+AM236+AP236+AQ236+AS236+AT236+AU236+AV236)</f>
        <v>1</v>
      </c>
      <c r="C236" s="215">
        <f>SUM(J236+K236+L236+M236+N236+S236+W236+X236+V236+AA236+AJ236+AI236+AJ236+AN236+AQ236+AM236+AT236+AU236+AV236+AW236+AP236+AS236)</f>
        <v>1</v>
      </c>
      <c r="D236" s="133"/>
      <c r="E236" s="134"/>
      <c r="F236" s="135"/>
      <c r="G236" s="136"/>
      <c r="H236" s="96"/>
      <c r="I236" s="96"/>
      <c r="J236" s="104"/>
      <c r="K236" s="75">
        <v>1</v>
      </c>
      <c r="L236" s="75"/>
      <c r="M236" s="75"/>
      <c r="N236" s="75"/>
      <c r="O236" s="96"/>
      <c r="P236" s="105"/>
      <c r="Q236" s="105"/>
      <c r="R236" s="96"/>
      <c r="S236" s="128"/>
      <c r="T236" s="137"/>
      <c r="U236" s="110"/>
      <c r="V236" s="100"/>
      <c r="W236" s="100"/>
      <c r="X236" s="100"/>
      <c r="Y236" s="110"/>
      <c r="Z236" s="110"/>
      <c r="AA236" s="100"/>
      <c r="AB236" s="109"/>
      <c r="AC236" s="109"/>
      <c r="AD236" s="109"/>
      <c r="AE236" s="108"/>
      <c r="AF236" s="109"/>
      <c r="AG236" s="108"/>
      <c r="AH236" s="111"/>
      <c r="AI236" s="100"/>
      <c r="AJ236" s="100"/>
      <c r="AK236" s="100"/>
      <c r="AL236" s="100"/>
      <c r="AM236" s="100"/>
      <c r="AN236" s="111"/>
      <c r="AO236" s="100"/>
      <c r="AP236" s="100"/>
      <c r="AQ236" s="111"/>
      <c r="AR236" s="100"/>
      <c r="AS236" s="100"/>
      <c r="AT236" s="111"/>
    </row>
    <row r="237" spans="1:46" ht="16.3">
      <c r="A237" s="234" t="s">
        <v>362</v>
      </c>
      <c r="B237" s="240">
        <f>SUM(J237+K237+L237+M237+N237+S237+V237+W237+X237+AA237+AI237+AJ237+AI237+AM237+AP237+AQ237+AS237+AT237+AU237+AV237)+1</f>
        <v>1</v>
      </c>
      <c r="C237" s="215">
        <f>SUM(J237+K237+L237+M237+N237+S237+W237+X237+V237+AA237+AJ237+AI237+AJ237+AN237+AQ237+AM237+AT237+AU237+AV237+AW237+AP237+AS237)+1</f>
        <v>1</v>
      </c>
      <c r="D237" s="139"/>
      <c r="E237" s="140"/>
      <c r="F237" s="135"/>
      <c r="G237" s="136"/>
      <c r="H237" s="96"/>
      <c r="I237" s="96"/>
      <c r="J237" s="104"/>
      <c r="K237" s="75"/>
      <c r="L237" s="75"/>
      <c r="M237" s="75"/>
      <c r="N237" s="75"/>
      <c r="O237" s="96"/>
      <c r="P237" s="105"/>
      <c r="Q237" s="105"/>
      <c r="R237" s="96"/>
      <c r="S237" s="128"/>
      <c r="T237" s="137"/>
      <c r="U237" s="110"/>
      <c r="V237" s="100"/>
      <c r="W237" s="100"/>
      <c r="X237" s="100"/>
      <c r="Y237" s="110"/>
      <c r="Z237" s="110"/>
      <c r="AA237" s="100"/>
      <c r="AB237" s="109"/>
      <c r="AC237" s="109"/>
      <c r="AD237" s="109"/>
      <c r="AE237" s="108"/>
      <c r="AF237" s="109"/>
      <c r="AG237" s="108"/>
      <c r="AH237" s="111"/>
      <c r="AI237" s="100"/>
      <c r="AJ237" s="100"/>
      <c r="AK237" s="100"/>
      <c r="AL237" s="100"/>
      <c r="AM237" s="100"/>
      <c r="AN237" s="111"/>
      <c r="AO237" s="100"/>
      <c r="AP237" s="100"/>
      <c r="AQ237" s="111"/>
      <c r="AR237" s="100"/>
      <c r="AS237" s="100"/>
      <c r="AT237" s="111"/>
    </row>
    <row r="238" spans="1:46" ht="16.3">
      <c r="A238" s="91" t="s">
        <v>3</v>
      </c>
      <c r="B238" s="239">
        <f t="shared" ref="B238:B239" si="53">SUM(J238+K238+L238+M238+N238+S238+V238+W238+X238+AA238+AI238+AJ238+AI238+AM238+AP238+AQ238+AS238+AT238+AU238+AV238)</f>
        <v>0</v>
      </c>
      <c r="C238" s="214">
        <f t="shared" ref="C238:C239" si="54">SUM(J238+K238+L238+M238+N238+S238+W238+X238+V238+AA238+AJ238+AI238+AJ238+AN238+AQ238+AM238+AT238+AU238+AV238+AW238+AP238+AS238)</f>
        <v>0</v>
      </c>
      <c r="D238" s="133"/>
      <c r="E238" s="134"/>
      <c r="F238" s="135"/>
      <c r="G238" s="136"/>
      <c r="H238" s="96"/>
      <c r="I238" s="96"/>
      <c r="J238" s="104"/>
      <c r="K238" s="75"/>
      <c r="L238" s="75"/>
      <c r="M238" s="75"/>
      <c r="N238" s="75"/>
      <c r="O238" s="96"/>
      <c r="P238" s="105"/>
      <c r="Q238" s="105"/>
      <c r="R238" s="96"/>
      <c r="S238" s="128"/>
      <c r="T238" s="137"/>
      <c r="U238" s="110"/>
      <c r="V238" s="100"/>
      <c r="W238" s="100"/>
      <c r="X238" s="100"/>
      <c r="Y238" s="110"/>
      <c r="Z238" s="110"/>
      <c r="AA238" s="100"/>
      <c r="AB238" s="109"/>
      <c r="AC238" s="109"/>
      <c r="AD238" s="109"/>
      <c r="AE238" s="108"/>
      <c r="AF238" s="109"/>
      <c r="AG238" s="108"/>
      <c r="AH238" s="111"/>
      <c r="AI238" s="100"/>
      <c r="AJ238" s="100"/>
      <c r="AK238" s="100"/>
      <c r="AL238" s="100"/>
      <c r="AM238" s="100"/>
      <c r="AN238" s="111"/>
      <c r="AO238" s="100"/>
      <c r="AP238" s="100"/>
      <c r="AQ238" s="111"/>
      <c r="AR238" s="100"/>
      <c r="AS238" s="100"/>
      <c r="AT238" s="111"/>
    </row>
    <row r="239" spans="1:46" ht="17" thickBot="1">
      <c r="A239" s="92" t="s">
        <v>4</v>
      </c>
      <c r="B239" s="241">
        <f t="shared" si="53"/>
        <v>0</v>
      </c>
      <c r="C239" s="217">
        <f t="shared" si="54"/>
        <v>0</v>
      </c>
      <c r="D239" s="144"/>
      <c r="E239" s="145"/>
      <c r="F239" s="146"/>
      <c r="G239" s="147"/>
      <c r="H239" s="114"/>
      <c r="I239" s="114"/>
      <c r="J239" s="113"/>
      <c r="K239" s="112"/>
      <c r="L239" s="112"/>
      <c r="M239" s="112"/>
      <c r="N239" s="112"/>
      <c r="O239" s="114"/>
      <c r="P239" s="127"/>
      <c r="Q239" s="127"/>
      <c r="R239" s="114"/>
      <c r="S239" s="129"/>
      <c r="T239" s="148"/>
      <c r="U239" s="120"/>
      <c r="V239" s="112"/>
      <c r="W239" s="100"/>
      <c r="X239" s="100"/>
      <c r="Y239" s="110"/>
      <c r="Z239" s="110"/>
      <c r="AA239" s="100"/>
      <c r="AB239" s="109"/>
      <c r="AC239" s="109"/>
      <c r="AD239" s="109"/>
      <c r="AE239" s="108"/>
      <c r="AF239" s="109"/>
      <c r="AG239" s="108"/>
      <c r="AH239" s="111"/>
      <c r="AI239" s="100"/>
      <c r="AJ239" s="100"/>
      <c r="AK239" s="100"/>
      <c r="AL239" s="100"/>
      <c r="AM239" s="100"/>
      <c r="AN239" s="111"/>
      <c r="AO239" s="100"/>
      <c r="AP239" s="100"/>
      <c r="AQ239" s="111"/>
      <c r="AR239" s="100"/>
      <c r="AS239" s="100"/>
      <c r="AT239" s="111"/>
    </row>
    <row r="240" spans="1:46" ht="21.1">
      <c r="A240" s="82" t="s">
        <v>267</v>
      </c>
      <c r="B240" s="239"/>
      <c r="C240" s="214"/>
      <c r="D240" s="133"/>
      <c r="E240" s="134"/>
      <c r="F240" s="135"/>
      <c r="G240" s="136"/>
      <c r="H240" s="96" t="s">
        <v>375</v>
      </c>
      <c r="I240" s="96">
        <v>1</v>
      </c>
      <c r="J240" s="104" t="s">
        <v>375</v>
      </c>
      <c r="K240" s="75" t="s">
        <v>375</v>
      </c>
      <c r="L240" s="75"/>
      <c r="M240" s="75" t="s">
        <v>375</v>
      </c>
      <c r="N240" s="75"/>
      <c r="O240" s="96"/>
      <c r="P240" s="105"/>
      <c r="Q240" s="105"/>
      <c r="R240" s="96" t="s">
        <v>375</v>
      </c>
      <c r="S240" s="75"/>
      <c r="T240" s="137"/>
      <c r="U240" s="110"/>
      <c r="V240" s="100"/>
      <c r="W240" s="102"/>
      <c r="X240" s="102"/>
      <c r="Y240" s="101"/>
      <c r="Z240" s="101"/>
      <c r="AA240" s="102"/>
      <c r="AB240" s="99"/>
      <c r="AC240" s="99" t="s">
        <v>375</v>
      </c>
      <c r="AD240" s="99" t="s">
        <v>375</v>
      </c>
      <c r="AE240" s="98"/>
      <c r="AF240" s="99" t="s">
        <v>375</v>
      </c>
      <c r="AG240" s="98"/>
      <c r="AH240" s="103"/>
      <c r="AI240" s="102"/>
      <c r="AJ240" s="102"/>
      <c r="AK240" s="102"/>
      <c r="AL240" s="102"/>
      <c r="AM240" s="102"/>
      <c r="AN240" s="103"/>
      <c r="AO240" s="102"/>
      <c r="AP240" s="102"/>
      <c r="AQ240" s="103"/>
      <c r="AR240" s="102"/>
      <c r="AS240" s="102"/>
      <c r="AT240" s="103"/>
    </row>
    <row r="241" spans="1:46" ht="16.3">
      <c r="A241" s="246" t="s">
        <v>1</v>
      </c>
      <c r="B241" s="240">
        <f>SUM(J241+K241+L241+M241+N241+S241+V241+W241+X241+AA241+AI241+AJ241+AI241+AM241+AP241+AQ241+AS241+AT241+AU241+AV241+AN241)+1</f>
        <v>1</v>
      </c>
      <c r="C241" s="215">
        <f>SUM(J241+K241+L241+M241+N241+S241+W241+X241+V241+AA241+AJ241+AI241+AJ241+AN241+AQ241+AM241+AT241+AU241+AV241+AW241+AP241+AS241)+1</f>
        <v>1</v>
      </c>
      <c r="D241" s="139"/>
      <c r="E241" s="140"/>
      <c r="F241" s="135"/>
      <c r="G241" s="136"/>
      <c r="H241" s="96"/>
      <c r="I241" s="96">
        <v>1</v>
      </c>
      <c r="J241" s="104"/>
      <c r="K241" s="75"/>
      <c r="L241" s="75"/>
      <c r="M241" s="75"/>
      <c r="N241" s="75"/>
      <c r="O241" s="96"/>
      <c r="P241" s="105"/>
      <c r="Q241" s="105"/>
      <c r="R241" s="96"/>
      <c r="S241" s="128"/>
      <c r="T241" s="137"/>
      <c r="U241" s="110"/>
      <c r="V241" s="100"/>
      <c r="W241" s="100"/>
      <c r="X241" s="100"/>
      <c r="Y241" s="110"/>
      <c r="Z241" s="110"/>
      <c r="AA241" s="100"/>
      <c r="AB241" s="109"/>
      <c r="AC241" s="109"/>
      <c r="AD241" s="109"/>
      <c r="AE241" s="108"/>
      <c r="AF241" s="109"/>
      <c r="AG241" s="108"/>
      <c r="AH241" s="111"/>
      <c r="AI241" s="100"/>
      <c r="AJ241" s="100"/>
      <c r="AK241" s="100"/>
      <c r="AL241" s="100"/>
      <c r="AM241" s="100"/>
      <c r="AN241" s="111"/>
      <c r="AO241" s="100"/>
      <c r="AP241" s="100"/>
      <c r="AQ241" s="111"/>
      <c r="AR241" s="100"/>
      <c r="AS241" s="100"/>
      <c r="AT241" s="111"/>
    </row>
    <row r="242" spans="1:46" ht="16.3">
      <c r="A242" s="246" t="s">
        <v>2</v>
      </c>
      <c r="B242" s="240">
        <f>SUM(J242+K242+L242+M242+N242+S242+V242+W242+X242+AA242+AI242+AJ242+AI242+AM242+AP242+AQ242+AS242+AT242+AU242+AV242)+3</f>
        <v>6</v>
      </c>
      <c r="C242" s="215">
        <f>SUM(J242+K242+L242+M242+N242+S242+W242+X242+V242+AA242+AJ242+AI242+AJ242+AN242+AQ242+AM242+AT242+AU242+AV242+AW242+AP242+AS242)+3</f>
        <v>6</v>
      </c>
      <c r="D242" s="139"/>
      <c r="E242" s="140"/>
      <c r="F242" s="135"/>
      <c r="G242" s="136"/>
      <c r="H242" s="96">
        <v>1</v>
      </c>
      <c r="I242" s="96"/>
      <c r="J242" s="104">
        <v>1</v>
      </c>
      <c r="K242" s="75">
        <v>1</v>
      </c>
      <c r="L242" s="75"/>
      <c r="M242" s="75">
        <v>1</v>
      </c>
      <c r="N242" s="75"/>
      <c r="O242" s="96"/>
      <c r="P242" s="105"/>
      <c r="Q242" s="105"/>
      <c r="R242" s="96">
        <v>1</v>
      </c>
      <c r="S242" s="128"/>
      <c r="T242" s="137"/>
      <c r="U242" s="110"/>
      <c r="V242" s="100"/>
      <c r="W242" s="100"/>
      <c r="X242" s="100"/>
      <c r="Y242" s="110"/>
      <c r="Z242" s="110"/>
      <c r="AA242" s="100"/>
      <c r="AB242" s="109"/>
      <c r="AC242" s="109">
        <v>1</v>
      </c>
      <c r="AD242" s="109">
        <v>1</v>
      </c>
      <c r="AE242" s="108"/>
      <c r="AF242" s="109">
        <v>1</v>
      </c>
      <c r="AG242" s="108"/>
      <c r="AH242" s="111"/>
      <c r="AI242" s="100"/>
      <c r="AJ242" s="100"/>
      <c r="AK242" s="100"/>
      <c r="AL242" s="100"/>
      <c r="AM242" s="100"/>
      <c r="AN242" s="111"/>
      <c r="AO242" s="100"/>
      <c r="AP242" s="100"/>
      <c r="AQ242" s="111"/>
      <c r="AR242" s="100"/>
      <c r="AS242" s="100"/>
      <c r="AT242" s="111"/>
    </row>
    <row r="243" spans="1:46" ht="16.3">
      <c r="A243" s="91" t="s">
        <v>363</v>
      </c>
      <c r="B243" s="239">
        <f t="shared" ref="B243" si="55">SUM(B241+B242)</f>
        <v>7</v>
      </c>
      <c r="C243" s="214">
        <f t="shared" ref="C243" si="56">SUM(C241+C242)</f>
        <v>7</v>
      </c>
      <c r="D243" s="133"/>
      <c r="E243" s="134"/>
      <c r="F243" s="135"/>
      <c r="G243" s="136"/>
      <c r="H243" s="96"/>
      <c r="I243" s="96"/>
      <c r="J243" s="104"/>
      <c r="K243" s="75"/>
      <c r="L243" s="75"/>
      <c r="M243" s="75"/>
      <c r="N243" s="75"/>
      <c r="O243" s="96"/>
      <c r="P243" s="105"/>
      <c r="Q243" s="105"/>
      <c r="R243" s="96"/>
      <c r="S243" s="128"/>
      <c r="T243" s="137"/>
      <c r="U243" s="110"/>
      <c r="V243" s="100"/>
      <c r="W243" s="100"/>
      <c r="X243" s="100"/>
      <c r="Y243" s="110"/>
      <c r="Z243" s="110"/>
      <c r="AA243" s="100"/>
      <c r="AB243" s="109"/>
      <c r="AC243" s="109"/>
      <c r="AD243" s="109"/>
      <c r="AE243" s="108"/>
      <c r="AF243" s="109"/>
      <c r="AG243" s="108"/>
      <c r="AH243" s="111"/>
      <c r="AI243" s="100"/>
      <c r="AJ243" s="100"/>
      <c r="AK243" s="100"/>
      <c r="AL243" s="100"/>
      <c r="AM243" s="100"/>
      <c r="AN243" s="111"/>
      <c r="AO243" s="100"/>
      <c r="AP243" s="100"/>
      <c r="AQ243" s="111"/>
      <c r="AR243" s="100"/>
      <c r="AS243" s="100"/>
      <c r="AT243" s="111"/>
    </row>
    <row r="244" spans="1:46" ht="16.3">
      <c r="A244" s="91" t="s">
        <v>3</v>
      </c>
      <c r="B244" s="239">
        <f t="shared" ref="B244:B245" si="57">SUM(J244+K244+L244+M244+N244+S244+V244+W244+X244+AA244+AI244+AJ244+AI244+AM244+AP244+AQ244+AS244+AT244+AU244+AV244)</f>
        <v>0</v>
      </c>
      <c r="C244" s="214">
        <f t="shared" ref="C244:C245" si="58">SUM(J244+K244+L244+M244+N244+S244+W244+X244+V244+AA244+AJ244+AI244+AJ244+AN244+AQ244+AM244+AT244+AU244+AV244+AW244+AP244+AS244)</f>
        <v>0</v>
      </c>
      <c r="D244" s="133"/>
      <c r="E244" s="134"/>
      <c r="F244" s="135"/>
      <c r="G244" s="136"/>
      <c r="H244" s="96"/>
      <c r="I244" s="96">
        <v>1</v>
      </c>
      <c r="J244" s="104"/>
      <c r="K244" s="75"/>
      <c r="L244" s="75"/>
      <c r="M244" s="75"/>
      <c r="N244" s="75"/>
      <c r="O244" s="96"/>
      <c r="P244" s="105"/>
      <c r="Q244" s="105"/>
      <c r="R244" s="96"/>
      <c r="S244" s="128"/>
      <c r="T244" s="137"/>
      <c r="U244" s="110"/>
      <c r="V244" s="100"/>
      <c r="W244" s="100"/>
      <c r="X244" s="100"/>
      <c r="Y244" s="110"/>
      <c r="Z244" s="110"/>
      <c r="AA244" s="100"/>
      <c r="AB244" s="109"/>
      <c r="AC244" s="109"/>
      <c r="AD244" s="109"/>
      <c r="AE244" s="108"/>
      <c r="AF244" s="109"/>
      <c r="AG244" s="108"/>
      <c r="AH244" s="111"/>
      <c r="AI244" s="100"/>
      <c r="AJ244" s="100"/>
      <c r="AK244" s="100"/>
      <c r="AL244" s="100"/>
      <c r="AM244" s="100"/>
      <c r="AN244" s="111"/>
      <c r="AO244" s="100"/>
      <c r="AP244" s="100"/>
      <c r="AQ244" s="111"/>
      <c r="AR244" s="100"/>
      <c r="AS244" s="100"/>
      <c r="AT244" s="111"/>
    </row>
    <row r="245" spans="1:46" ht="17" thickBot="1">
      <c r="A245" s="92" t="s">
        <v>4</v>
      </c>
      <c r="B245" s="241">
        <f t="shared" si="57"/>
        <v>0</v>
      </c>
      <c r="C245" s="217">
        <f t="shared" si="58"/>
        <v>0</v>
      </c>
      <c r="D245" s="144"/>
      <c r="E245" s="145"/>
      <c r="F245" s="146"/>
      <c r="G245" s="147"/>
      <c r="H245" s="114"/>
      <c r="I245" s="114">
        <v>5</v>
      </c>
      <c r="J245" s="113"/>
      <c r="K245" s="112"/>
      <c r="L245" s="112"/>
      <c r="M245" s="112"/>
      <c r="N245" s="112"/>
      <c r="O245" s="114"/>
      <c r="P245" s="127"/>
      <c r="Q245" s="127"/>
      <c r="R245" s="114"/>
      <c r="S245" s="129"/>
      <c r="T245" s="148"/>
      <c r="U245" s="120"/>
      <c r="V245" s="112"/>
      <c r="W245" s="116"/>
      <c r="X245" s="116"/>
      <c r="Y245" s="120"/>
      <c r="Z245" s="120"/>
      <c r="AA245" s="116"/>
      <c r="AB245" s="118"/>
      <c r="AC245" s="118"/>
      <c r="AD245" s="118"/>
      <c r="AE245" s="117"/>
      <c r="AF245" s="118"/>
      <c r="AG245" s="117"/>
      <c r="AH245" s="121"/>
      <c r="AI245" s="116"/>
      <c r="AJ245" s="116"/>
      <c r="AK245" s="116"/>
      <c r="AL245" s="116"/>
      <c r="AM245" s="116"/>
      <c r="AN245" s="121"/>
      <c r="AO245" s="116"/>
      <c r="AP245" s="116"/>
      <c r="AQ245" s="121"/>
      <c r="AR245" s="116"/>
      <c r="AS245" s="116"/>
      <c r="AT245" s="121"/>
    </row>
    <row r="246" spans="1:46" ht="21.1">
      <c r="A246" s="82" t="s">
        <v>677</v>
      </c>
      <c r="B246" s="239"/>
      <c r="C246" s="214"/>
      <c r="D246" s="133"/>
      <c r="E246" s="134"/>
      <c r="F246" s="135"/>
      <c r="G246" s="136"/>
      <c r="H246" s="96"/>
      <c r="I246" s="96"/>
      <c r="J246" s="104"/>
      <c r="K246" s="75"/>
      <c r="L246" s="75"/>
      <c r="M246" s="75"/>
      <c r="N246" s="75"/>
      <c r="O246" s="96"/>
      <c r="P246" s="105"/>
      <c r="Q246" s="105"/>
      <c r="R246" s="96"/>
      <c r="S246" s="128"/>
      <c r="T246" s="137"/>
      <c r="U246" s="110"/>
      <c r="V246" s="100"/>
      <c r="W246" s="100"/>
      <c r="X246" s="100"/>
      <c r="Y246" s="110"/>
      <c r="Z246" s="110"/>
      <c r="AA246" s="100"/>
      <c r="AB246" s="109" t="s">
        <v>393</v>
      </c>
      <c r="AC246" s="109" t="s">
        <v>375</v>
      </c>
      <c r="AD246" s="109" t="s">
        <v>375</v>
      </c>
      <c r="AE246" s="108"/>
      <c r="AF246" s="109"/>
      <c r="AG246" s="108"/>
      <c r="AH246" s="111"/>
      <c r="AI246" s="100"/>
      <c r="AJ246" s="100"/>
      <c r="AK246" s="100"/>
      <c r="AL246" s="100"/>
      <c r="AM246" s="100"/>
      <c r="AN246" s="111"/>
      <c r="AO246" s="100"/>
      <c r="AP246" s="100"/>
      <c r="AQ246" s="111"/>
      <c r="AR246" s="100"/>
      <c r="AS246" s="100"/>
      <c r="AT246" s="111"/>
    </row>
    <row r="247" spans="1:46" ht="16.3">
      <c r="A247" s="246" t="s">
        <v>1</v>
      </c>
      <c r="B247" s="240">
        <f t="shared" ref="B247" si="59">SUM(J247+K247+L247+M247+N247+S247+V247+W247+X247+AA247+AI247+AJ247+AI247+AM247+AP247+AQ247+AS247+AT247+AU247+AV247+AN247)</f>
        <v>0</v>
      </c>
      <c r="C247" s="215">
        <f t="shared" ref="C247:C248" si="60">SUM(J247+K247+L247+M247+N247+S247+W247+X247+V247+AA247+AJ247+AI247+AJ247+AN247+AQ247+AM247+AT247+AU247+AV247+AW247+AP247+AS247)</f>
        <v>0</v>
      </c>
      <c r="D247" s="133"/>
      <c r="E247" s="134"/>
      <c r="F247" s="135"/>
      <c r="G247" s="136"/>
      <c r="H247" s="96"/>
      <c r="I247" s="96"/>
      <c r="J247" s="104"/>
      <c r="K247" s="75"/>
      <c r="L247" s="75"/>
      <c r="M247" s="75"/>
      <c r="N247" s="75"/>
      <c r="O247" s="96"/>
      <c r="P247" s="105"/>
      <c r="Q247" s="105"/>
      <c r="R247" s="96"/>
      <c r="S247" s="128"/>
      <c r="T247" s="137"/>
      <c r="U247" s="110"/>
      <c r="V247" s="100"/>
      <c r="W247" s="100"/>
      <c r="X247" s="100"/>
      <c r="Y247" s="110"/>
      <c r="Z247" s="110"/>
      <c r="AA247" s="100"/>
      <c r="AB247" s="109"/>
      <c r="AC247" s="109"/>
      <c r="AD247" s="109"/>
      <c r="AE247" s="108"/>
      <c r="AF247" s="109"/>
      <c r="AG247" s="108"/>
      <c r="AH247" s="111"/>
      <c r="AI247" s="100"/>
      <c r="AJ247" s="100"/>
      <c r="AK247" s="100"/>
      <c r="AL247" s="100"/>
      <c r="AM247" s="100"/>
      <c r="AN247" s="111"/>
      <c r="AO247" s="100"/>
      <c r="AP247" s="100"/>
      <c r="AQ247" s="111"/>
      <c r="AR247" s="100"/>
      <c r="AS247" s="100"/>
      <c r="AT247" s="111"/>
    </row>
    <row r="248" spans="1:46" ht="16.3">
      <c r="A248" s="246" t="s">
        <v>2</v>
      </c>
      <c r="B248" s="240">
        <f t="shared" ref="B248" si="61">SUM(J248+K248+L248+M248+N248+S248+V248+W248+X248+AA248+AI248+AJ248+AI248+AM248+AP248+AQ248+AS248+AT248+AU248+AV248)</f>
        <v>0</v>
      </c>
      <c r="C248" s="215">
        <f t="shared" si="60"/>
        <v>0</v>
      </c>
      <c r="D248" s="133"/>
      <c r="E248" s="134"/>
      <c r="F248" s="135"/>
      <c r="G248" s="136"/>
      <c r="H248" s="96"/>
      <c r="I248" s="96"/>
      <c r="J248" s="104"/>
      <c r="K248" s="75"/>
      <c r="L248" s="75"/>
      <c r="M248" s="75"/>
      <c r="N248" s="75"/>
      <c r="O248" s="96"/>
      <c r="P248" s="105"/>
      <c r="Q248" s="105"/>
      <c r="R248" s="96"/>
      <c r="S248" s="128"/>
      <c r="T248" s="137"/>
      <c r="U248" s="110"/>
      <c r="V248" s="100"/>
      <c r="W248" s="100"/>
      <c r="X248" s="100"/>
      <c r="Y248" s="110"/>
      <c r="Z248" s="110"/>
      <c r="AA248" s="100"/>
      <c r="AB248" s="109"/>
      <c r="AC248" s="109">
        <v>1</v>
      </c>
      <c r="AD248" s="109">
        <v>1</v>
      </c>
      <c r="AE248" s="108"/>
      <c r="AF248" s="109"/>
      <c r="AG248" s="108"/>
      <c r="AH248" s="111"/>
      <c r="AI248" s="100"/>
      <c r="AJ248" s="100"/>
      <c r="AK248" s="100"/>
      <c r="AL248" s="100"/>
      <c r="AM248" s="100"/>
      <c r="AN248" s="111"/>
      <c r="AO248" s="100"/>
      <c r="AP248" s="100"/>
      <c r="AQ248" s="111"/>
      <c r="AR248" s="100"/>
      <c r="AS248" s="100"/>
      <c r="AT248" s="111"/>
    </row>
    <row r="249" spans="1:46" ht="16.3">
      <c r="A249" s="91" t="s">
        <v>363</v>
      </c>
      <c r="B249" s="239">
        <f t="shared" ref="B249:C249" si="62">SUM(B247+B248)</f>
        <v>0</v>
      </c>
      <c r="C249" s="214">
        <f t="shared" si="62"/>
        <v>0</v>
      </c>
      <c r="D249" s="133"/>
      <c r="E249" s="134"/>
      <c r="F249" s="135"/>
      <c r="G249" s="136"/>
      <c r="H249" s="96"/>
      <c r="I249" s="96"/>
      <c r="J249" s="104"/>
      <c r="K249" s="75"/>
      <c r="L249" s="75"/>
      <c r="M249" s="75"/>
      <c r="N249" s="75"/>
      <c r="O249" s="96"/>
      <c r="P249" s="105"/>
      <c r="Q249" s="105"/>
      <c r="R249" s="96"/>
      <c r="S249" s="128"/>
      <c r="T249" s="137"/>
      <c r="U249" s="110"/>
      <c r="V249" s="100"/>
      <c r="W249" s="100"/>
      <c r="X249" s="100"/>
      <c r="Y249" s="110"/>
      <c r="Z249" s="110"/>
      <c r="AA249" s="100"/>
      <c r="AB249" s="109"/>
      <c r="AC249" s="109"/>
      <c r="AD249" s="109"/>
      <c r="AE249" s="108"/>
      <c r="AF249" s="109"/>
      <c r="AG249" s="108"/>
      <c r="AH249" s="111"/>
      <c r="AI249" s="100"/>
      <c r="AJ249" s="100"/>
      <c r="AK249" s="100"/>
      <c r="AL249" s="100"/>
      <c r="AM249" s="100"/>
      <c r="AN249" s="111"/>
      <c r="AO249" s="100"/>
      <c r="AP249" s="100"/>
      <c r="AQ249" s="111"/>
      <c r="AR249" s="100"/>
      <c r="AS249" s="100"/>
      <c r="AT249" s="111"/>
    </row>
    <row r="250" spans="1:46" ht="16.3">
      <c r="A250" s="91" t="s">
        <v>3</v>
      </c>
      <c r="B250" s="239">
        <f t="shared" ref="B250:B251" si="63">SUM(J250+K250+L250+M250+N250+S250+V250+W250+X250+AA250+AI250+AJ250+AI250+AM250+AP250+AQ250+AS250+AT250+AU250+AV250)</f>
        <v>0</v>
      </c>
      <c r="C250" s="214">
        <f t="shared" ref="C250:C251" si="64">SUM(J250+K250+L250+M250+N250+S250+W250+X250+V250+AA250+AJ250+AI250+AJ250+AN250+AQ250+AM250+AT250+AU250+AV250+AW250+AP250+AS250)</f>
        <v>0</v>
      </c>
      <c r="D250" s="133"/>
      <c r="E250" s="134"/>
      <c r="F250" s="135"/>
      <c r="G250" s="136"/>
      <c r="H250" s="96"/>
      <c r="I250" s="96"/>
      <c r="J250" s="104"/>
      <c r="K250" s="75"/>
      <c r="L250" s="75"/>
      <c r="M250" s="75"/>
      <c r="N250" s="75"/>
      <c r="O250" s="96"/>
      <c r="P250" s="105"/>
      <c r="Q250" s="105"/>
      <c r="R250" s="96"/>
      <c r="S250" s="128"/>
      <c r="T250" s="137"/>
      <c r="U250" s="110"/>
      <c r="V250" s="100"/>
      <c r="W250" s="100"/>
      <c r="X250" s="100"/>
      <c r="Y250" s="110"/>
      <c r="Z250" s="110"/>
      <c r="AA250" s="100"/>
      <c r="AB250" s="109"/>
      <c r="AC250" s="109"/>
      <c r="AD250" s="109"/>
      <c r="AE250" s="108"/>
      <c r="AF250" s="109"/>
      <c r="AG250" s="108"/>
      <c r="AH250" s="111"/>
      <c r="AI250" s="100"/>
      <c r="AJ250" s="100"/>
      <c r="AK250" s="100"/>
      <c r="AL250" s="100"/>
      <c r="AM250" s="100"/>
      <c r="AN250" s="111"/>
      <c r="AO250" s="100"/>
      <c r="AP250" s="100"/>
      <c r="AQ250" s="111"/>
      <c r="AR250" s="100"/>
      <c r="AS250" s="100"/>
      <c r="AT250" s="111"/>
    </row>
    <row r="251" spans="1:46" ht="17" thickBot="1">
      <c r="A251" s="92" t="s">
        <v>4</v>
      </c>
      <c r="B251" s="241">
        <f t="shared" si="63"/>
        <v>0</v>
      </c>
      <c r="C251" s="217">
        <f t="shared" si="64"/>
        <v>0</v>
      </c>
      <c r="D251" s="144"/>
      <c r="E251" s="145"/>
      <c r="F251" s="146"/>
      <c r="G251" s="147"/>
      <c r="H251" s="114"/>
      <c r="I251" s="114"/>
      <c r="J251" s="113"/>
      <c r="K251" s="112"/>
      <c r="L251" s="112"/>
      <c r="M251" s="112"/>
      <c r="N251" s="112"/>
      <c r="O251" s="114"/>
      <c r="P251" s="127"/>
      <c r="Q251" s="127"/>
      <c r="R251" s="114"/>
      <c r="S251" s="129"/>
      <c r="T251" s="148"/>
      <c r="U251" s="120"/>
      <c r="V251" s="116"/>
      <c r="W251" s="116"/>
      <c r="X251" s="116"/>
      <c r="Y251" s="120"/>
      <c r="Z251" s="120"/>
      <c r="AA251" s="116"/>
      <c r="AB251" s="118"/>
      <c r="AC251" s="118"/>
      <c r="AD251" s="118"/>
      <c r="AE251" s="117"/>
      <c r="AF251" s="118"/>
      <c r="AG251" s="117"/>
      <c r="AH251" s="121"/>
      <c r="AI251" s="116"/>
      <c r="AJ251" s="116"/>
      <c r="AK251" s="116"/>
      <c r="AL251" s="116"/>
      <c r="AM251" s="116"/>
      <c r="AN251" s="121"/>
      <c r="AO251" s="116"/>
      <c r="AP251" s="116"/>
      <c r="AQ251" s="121"/>
      <c r="AR251" s="116"/>
      <c r="AS251" s="116"/>
      <c r="AT251" s="121"/>
    </row>
    <row r="252" spans="1:46" ht="21.1">
      <c r="A252" s="82" t="s">
        <v>426</v>
      </c>
      <c r="B252" s="239"/>
      <c r="C252" s="214"/>
      <c r="D252" s="133"/>
      <c r="E252" s="134"/>
      <c r="F252" s="135"/>
      <c r="G252" s="136"/>
      <c r="H252" s="96"/>
      <c r="I252" s="96" t="s">
        <v>375</v>
      </c>
      <c r="J252" s="104"/>
      <c r="K252" s="75"/>
      <c r="L252" s="75"/>
      <c r="M252" s="75"/>
      <c r="N252" s="75"/>
      <c r="O252" s="96" t="s">
        <v>375</v>
      </c>
      <c r="P252" s="105"/>
      <c r="Q252" s="105"/>
      <c r="R252" s="96" t="s">
        <v>375</v>
      </c>
      <c r="S252" s="128"/>
      <c r="T252" s="137"/>
      <c r="U252" s="110"/>
      <c r="V252" s="100"/>
      <c r="W252" s="100"/>
      <c r="X252" s="100"/>
      <c r="Y252" s="110"/>
      <c r="Z252" s="110"/>
      <c r="AA252" s="100"/>
      <c r="AB252" s="109"/>
      <c r="AC252" s="109" t="s">
        <v>369</v>
      </c>
      <c r="AD252" s="109" t="s">
        <v>369</v>
      </c>
      <c r="AE252" s="108"/>
      <c r="AF252" s="109"/>
      <c r="AG252" s="108"/>
      <c r="AH252" s="111"/>
      <c r="AI252" s="100"/>
      <c r="AJ252" s="100"/>
      <c r="AK252" s="100"/>
      <c r="AL252" s="100"/>
      <c r="AM252" s="100"/>
      <c r="AN252" s="111"/>
      <c r="AO252" s="100"/>
      <c r="AP252" s="100"/>
      <c r="AQ252" s="111"/>
      <c r="AR252" s="100"/>
      <c r="AS252" s="100"/>
      <c r="AT252" s="111"/>
    </row>
    <row r="253" spans="1:46" ht="16.3">
      <c r="A253" s="246" t="s">
        <v>1</v>
      </c>
      <c r="B253" s="240">
        <f t="shared" ref="B253" si="65">SUM(J253+K253+L253+M253+N253+S253+V253+W253+X253+AA253+AI253+AJ253+AI253+AM253+AP253+AQ253+AS253+AT253+AU253+AV253+AN253)</f>
        <v>0</v>
      </c>
      <c r="C253" s="215">
        <f t="shared" ref="C253:C254" si="66">SUM(J253+K253+L253+M253+N253+S253+W253+X253+V253+AA253+AJ253+AI253+AJ253+AN253+AQ253+AM253+AT253+AU253+AV253+AW253+AP253+AS253)</f>
        <v>0</v>
      </c>
      <c r="D253" s="133"/>
      <c r="E253" s="134"/>
      <c r="F253" s="135"/>
      <c r="G253" s="136"/>
      <c r="H253" s="96"/>
      <c r="I253" s="96"/>
      <c r="J253" s="104"/>
      <c r="K253" s="75"/>
      <c r="L253" s="75"/>
      <c r="M253" s="75"/>
      <c r="N253" s="75"/>
      <c r="O253" s="96"/>
      <c r="P253" s="105"/>
      <c r="Q253" s="105"/>
      <c r="R253" s="96"/>
      <c r="S253" s="128"/>
      <c r="T253" s="137"/>
      <c r="U253" s="110"/>
      <c r="V253" s="100"/>
      <c r="W253" s="100"/>
      <c r="X253" s="100"/>
      <c r="Y253" s="110"/>
      <c r="Z253" s="110"/>
      <c r="AA253" s="100"/>
      <c r="AB253" s="109"/>
      <c r="AC253" s="109">
        <v>1</v>
      </c>
      <c r="AD253" s="109">
        <v>1</v>
      </c>
      <c r="AE253" s="108"/>
      <c r="AF253" s="109"/>
      <c r="AG253" s="108"/>
      <c r="AH253" s="111"/>
      <c r="AI253" s="100"/>
      <c r="AJ253" s="100"/>
      <c r="AK253" s="100"/>
      <c r="AL253" s="100"/>
      <c r="AM253" s="100"/>
      <c r="AN253" s="111"/>
      <c r="AO253" s="100"/>
      <c r="AP253" s="100"/>
      <c r="AQ253" s="111"/>
      <c r="AR253" s="100"/>
      <c r="AS253" s="100"/>
      <c r="AT253" s="111"/>
    </row>
    <row r="254" spans="1:46" ht="16.3">
      <c r="A254" s="246" t="s">
        <v>2</v>
      </c>
      <c r="B254" s="240">
        <f t="shared" ref="B254" si="67">SUM(J254+K254+L254+M254+N254+S254+V254+W254+X254+AA254+AI254+AJ254+AI254+AM254+AP254+AQ254+AS254+AT254+AU254+AV254)</f>
        <v>0</v>
      </c>
      <c r="C254" s="215">
        <f t="shared" si="66"/>
        <v>0</v>
      </c>
      <c r="D254" s="133"/>
      <c r="E254" s="134"/>
      <c r="F254" s="135"/>
      <c r="G254" s="136"/>
      <c r="H254" s="96"/>
      <c r="I254" s="96">
        <v>1</v>
      </c>
      <c r="J254" s="104"/>
      <c r="K254" s="75"/>
      <c r="L254" s="75"/>
      <c r="M254" s="75"/>
      <c r="N254" s="75"/>
      <c r="O254" s="96">
        <v>1</v>
      </c>
      <c r="P254" s="105"/>
      <c r="Q254" s="105"/>
      <c r="R254" s="96">
        <v>1</v>
      </c>
      <c r="S254" s="128"/>
      <c r="T254" s="137"/>
      <c r="U254" s="110"/>
      <c r="V254" s="100"/>
      <c r="W254" s="100"/>
      <c r="X254" s="100"/>
      <c r="Y254" s="110"/>
      <c r="Z254" s="110"/>
      <c r="AA254" s="100"/>
      <c r="AB254" s="109"/>
      <c r="AC254" s="109"/>
      <c r="AD254" s="109"/>
      <c r="AE254" s="108"/>
      <c r="AF254" s="109"/>
      <c r="AG254" s="108"/>
      <c r="AH254" s="111"/>
      <c r="AI254" s="100"/>
      <c r="AJ254" s="100"/>
      <c r="AK254" s="100"/>
      <c r="AL254" s="100"/>
      <c r="AM254" s="100"/>
      <c r="AN254" s="111"/>
      <c r="AO254" s="100"/>
      <c r="AP254" s="100"/>
      <c r="AQ254" s="111"/>
      <c r="AR254" s="100"/>
      <c r="AS254" s="100"/>
      <c r="AT254" s="111"/>
    </row>
    <row r="255" spans="1:46" ht="16.3">
      <c r="A255" s="91" t="s">
        <v>363</v>
      </c>
      <c r="B255" s="239">
        <f t="shared" ref="B255:C255" si="68">SUM(B253+B254)</f>
        <v>0</v>
      </c>
      <c r="C255" s="214">
        <f t="shared" si="68"/>
        <v>0</v>
      </c>
      <c r="D255" s="133"/>
      <c r="E255" s="134"/>
      <c r="F255" s="135"/>
      <c r="G255" s="136"/>
      <c r="H255" s="96"/>
      <c r="I255" s="96"/>
      <c r="J255" s="104"/>
      <c r="K255" s="75"/>
      <c r="L255" s="75"/>
      <c r="M255" s="75"/>
      <c r="N255" s="75"/>
      <c r="O255" s="96"/>
      <c r="P255" s="105"/>
      <c r="Q255" s="105"/>
      <c r="R255" s="96"/>
      <c r="S255" s="128"/>
      <c r="T255" s="137"/>
      <c r="U255" s="110"/>
      <c r="V255" s="100"/>
      <c r="W255" s="100"/>
      <c r="X255" s="100"/>
      <c r="Y255" s="110"/>
      <c r="Z255" s="110"/>
      <c r="AA255" s="100"/>
      <c r="AB255" s="109"/>
      <c r="AC255" s="109"/>
      <c r="AD255" s="109"/>
      <c r="AE255" s="108"/>
      <c r="AF255" s="109"/>
      <c r="AG255" s="108"/>
      <c r="AH255" s="111"/>
      <c r="AI255" s="100"/>
      <c r="AJ255" s="100"/>
      <c r="AK255" s="100"/>
      <c r="AL255" s="100"/>
      <c r="AM255" s="100"/>
      <c r="AN255" s="111"/>
      <c r="AO255" s="100"/>
      <c r="AP255" s="100"/>
      <c r="AQ255" s="111"/>
      <c r="AR255" s="100"/>
      <c r="AS255" s="100"/>
      <c r="AT255" s="111"/>
    </row>
    <row r="256" spans="1:46" ht="16.3">
      <c r="A256" s="91" t="s">
        <v>3</v>
      </c>
      <c r="B256" s="239">
        <f t="shared" ref="B256:B257" si="69">SUM(J256+K256+L256+M256+N256+S256+V256+W256+X256+AA256+AI256+AJ256+AI256+AM256+AP256+AQ256+AS256+AT256+AU256+AV256)</f>
        <v>0</v>
      </c>
      <c r="C256" s="214">
        <f t="shared" ref="C256:C257" si="70">SUM(J256+K256+L256+M256+N256+S256+W256+X256+V256+AA256+AJ256+AI256+AJ256+AN256+AQ256+AM256+AT256+AU256+AV256+AW256+AP256+AS256)</f>
        <v>0</v>
      </c>
      <c r="D256" s="133"/>
      <c r="E256" s="134"/>
      <c r="F256" s="135"/>
      <c r="G256" s="136"/>
      <c r="H256" s="96"/>
      <c r="I256" s="96"/>
      <c r="J256" s="104"/>
      <c r="K256" s="75"/>
      <c r="L256" s="75"/>
      <c r="M256" s="75"/>
      <c r="N256" s="75"/>
      <c r="O256" s="96"/>
      <c r="P256" s="105"/>
      <c r="Q256" s="105"/>
      <c r="R256" s="96"/>
      <c r="S256" s="128"/>
      <c r="T256" s="137"/>
      <c r="U256" s="110"/>
      <c r="V256" s="100"/>
      <c r="W256" s="100"/>
      <c r="X256" s="100"/>
      <c r="Y256" s="110"/>
      <c r="Z256" s="110"/>
      <c r="AA256" s="100"/>
      <c r="AB256" s="109"/>
      <c r="AC256" s="109"/>
      <c r="AD256" s="109"/>
      <c r="AE256" s="108"/>
      <c r="AF256" s="109"/>
      <c r="AG256" s="108"/>
      <c r="AH256" s="111"/>
      <c r="AI256" s="100"/>
      <c r="AJ256" s="100"/>
      <c r="AK256" s="100"/>
      <c r="AL256" s="100"/>
      <c r="AM256" s="100"/>
      <c r="AN256" s="111"/>
      <c r="AO256" s="100"/>
      <c r="AP256" s="100"/>
      <c r="AQ256" s="111"/>
      <c r="AR256" s="100"/>
      <c r="AS256" s="100"/>
      <c r="AT256" s="111"/>
    </row>
    <row r="257" spans="1:46" ht="17" thickBot="1">
      <c r="A257" s="92" t="s">
        <v>4</v>
      </c>
      <c r="B257" s="239">
        <f t="shared" si="69"/>
        <v>0</v>
      </c>
      <c r="C257" s="214">
        <f t="shared" si="70"/>
        <v>0</v>
      </c>
      <c r="D257" s="133"/>
      <c r="E257" s="134"/>
      <c r="F257" s="135"/>
      <c r="G257" s="136"/>
      <c r="H257" s="114"/>
      <c r="I257" s="114"/>
      <c r="J257" s="113"/>
      <c r="K257" s="112"/>
      <c r="L257" s="112"/>
      <c r="M257" s="112"/>
      <c r="N257" s="112"/>
      <c r="O257" s="114"/>
      <c r="P257" s="127"/>
      <c r="Q257" s="127"/>
      <c r="R257" s="114"/>
      <c r="S257" s="129"/>
      <c r="T257" s="148"/>
      <c r="U257" s="120"/>
      <c r="V257" s="112"/>
      <c r="W257" s="116"/>
      <c r="X257" s="116"/>
      <c r="Y257" s="120"/>
      <c r="Z257" s="120"/>
      <c r="AA257" s="116"/>
      <c r="AB257" s="118"/>
      <c r="AC257" s="118"/>
      <c r="AD257" s="118"/>
      <c r="AE257" s="117"/>
      <c r="AF257" s="118"/>
      <c r="AG257" s="117"/>
      <c r="AH257" s="121"/>
      <c r="AI257" s="116"/>
      <c r="AJ257" s="116"/>
      <c r="AK257" s="116"/>
      <c r="AL257" s="116"/>
      <c r="AM257" s="116"/>
      <c r="AN257" s="121"/>
      <c r="AO257" s="116"/>
      <c r="AP257" s="116"/>
      <c r="AQ257" s="121"/>
      <c r="AR257" s="116"/>
      <c r="AS257" s="116"/>
      <c r="AT257" s="121"/>
    </row>
    <row r="258" spans="1:46" ht="21.1">
      <c r="A258" s="82" t="s">
        <v>51</v>
      </c>
      <c r="B258" s="243"/>
      <c r="C258" s="218"/>
      <c r="D258" s="153"/>
      <c r="E258" s="154"/>
      <c r="F258" s="155"/>
      <c r="G258" s="156"/>
      <c r="H258" s="96" t="s">
        <v>339</v>
      </c>
      <c r="I258" s="96" t="s">
        <v>339</v>
      </c>
      <c r="J258" s="104" t="s">
        <v>339</v>
      </c>
      <c r="K258" s="75" t="s">
        <v>339</v>
      </c>
      <c r="L258" s="75" t="s">
        <v>339</v>
      </c>
      <c r="M258" s="75" t="s">
        <v>339</v>
      </c>
      <c r="N258" s="75" t="s">
        <v>339</v>
      </c>
      <c r="O258" s="96" t="s">
        <v>339</v>
      </c>
      <c r="P258" s="105"/>
      <c r="Q258" s="105"/>
      <c r="R258" s="96" t="s">
        <v>369</v>
      </c>
      <c r="S258" s="128" t="s">
        <v>375</v>
      </c>
      <c r="T258" s="137" t="s">
        <v>370</v>
      </c>
      <c r="U258" s="110"/>
      <c r="V258" s="100"/>
      <c r="W258" s="102" t="s">
        <v>369</v>
      </c>
      <c r="X258" s="102" t="s">
        <v>375</v>
      </c>
      <c r="Y258" s="101" t="s">
        <v>369</v>
      </c>
      <c r="Z258" s="101" t="s">
        <v>375</v>
      </c>
      <c r="AA258" s="102" t="s">
        <v>375</v>
      </c>
      <c r="AB258" s="99" t="s">
        <v>369</v>
      </c>
      <c r="AC258" s="99" t="s">
        <v>339</v>
      </c>
      <c r="AD258" s="99" t="s">
        <v>370</v>
      </c>
      <c r="AE258" s="98"/>
      <c r="AF258" s="99" t="s">
        <v>369</v>
      </c>
      <c r="AG258" s="98"/>
      <c r="AH258" s="103"/>
      <c r="AI258" s="102"/>
      <c r="AJ258" s="102"/>
      <c r="AK258" s="102"/>
      <c r="AL258" s="102"/>
      <c r="AM258" s="102"/>
      <c r="AN258" s="103"/>
      <c r="AO258" s="102"/>
      <c r="AP258" s="102"/>
      <c r="AQ258" s="103"/>
      <c r="AR258" s="102"/>
      <c r="AS258" s="102"/>
      <c r="AT258" s="103"/>
    </row>
    <row r="259" spans="1:46" ht="16.3">
      <c r="A259" s="246" t="s">
        <v>1</v>
      </c>
      <c r="B259" s="240">
        <f>SUM(J259+K259+L259+M259+N259+S259+V259+W259+X259+AA259+AI259+AJ259+AI259+AM259+AP259+AQ259+AS259+AT259+AU259+AV259+AN259)+42</f>
        <v>43</v>
      </c>
      <c r="C259" s="215">
        <f>SUM(J259+K259+L259+M259+N259+S259+W259+X259+V259+AA259+AJ259+AI259+AJ259+AN259+AQ259+AM259+AT259+AU259+AV259+AW259+AP259+AS259)+96</f>
        <v>97</v>
      </c>
      <c r="D259" s="139"/>
      <c r="E259" s="140"/>
      <c r="F259" s="135"/>
      <c r="G259" s="136"/>
      <c r="H259" s="96"/>
      <c r="I259" s="96"/>
      <c r="J259" s="104"/>
      <c r="K259" s="75"/>
      <c r="L259" s="75"/>
      <c r="M259" s="75"/>
      <c r="N259" s="75"/>
      <c r="O259" s="96"/>
      <c r="P259" s="105"/>
      <c r="Q259" s="105"/>
      <c r="R259" s="96">
        <v>1</v>
      </c>
      <c r="S259" s="128"/>
      <c r="T259" s="137">
        <v>1</v>
      </c>
      <c r="U259" s="110"/>
      <c r="V259" s="100"/>
      <c r="W259" s="100">
        <v>1</v>
      </c>
      <c r="X259" s="100"/>
      <c r="Y259" s="110">
        <v>1</v>
      </c>
      <c r="Z259" s="110"/>
      <c r="AA259" s="100"/>
      <c r="AB259" s="109">
        <v>1</v>
      </c>
      <c r="AC259" s="109"/>
      <c r="AD259" s="109">
        <v>1</v>
      </c>
      <c r="AE259" s="108"/>
      <c r="AF259" s="109">
        <v>1</v>
      </c>
      <c r="AG259" s="108"/>
      <c r="AH259" s="111"/>
      <c r="AI259" s="100"/>
      <c r="AJ259" s="100"/>
      <c r="AK259" s="100"/>
      <c r="AL259" s="100"/>
      <c r="AM259" s="100"/>
      <c r="AN259" s="111"/>
      <c r="AO259" s="100"/>
      <c r="AP259" s="100"/>
      <c r="AQ259" s="111"/>
      <c r="AR259" s="100"/>
      <c r="AS259" s="100"/>
      <c r="AT259" s="111"/>
    </row>
    <row r="260" spans="1:46" ht="16.3">
      <c r="A260" s="246" t="s">
        <v>2</v>
      </c>
      <c r="B260" s="240">
        <f>SUM(J260+K260+L260+M260+N260+S260+V260+W260+X260+AA260+AI260+AJ260+AI260+AM260+AP260+AQ260+AS260+AT260+AU260+AV260)+41</f>
        <v>44</v>
      </c>
      <c r="C260" s="215">
        <f>SUM(J260+K260+L260+M260+N260+S260+W260+X260+V260+AA260+AJ260+AI260+AJ260+AN260+AQ260+AM260+AT260+AU260+AV260+AW260+AP260+AS260)+96</f>
        <v>99</v>
      </c>
      <c r="D260" s="139"/>
      <c r="E260" s="140"/>
      <c r="F260" s="135"/>
      <c r="G260" s="136"/>
      <c r="H260" s="96"/>
      <c r="I260" s="96"/>
      <c r="J260" s="104"/>
      <c r="K260" s="75"/>
      <c r="L260" s="75"/>
      <c r="M260" s="75"/>
      <c r="N260" s="75"/>
      <c r="O260" s="96"/>
      <c r="P260" s="105"/>
      <c r="Q260" s="105"/>
      <c r="R260" s="96"/>
      <c r="S260" s="128">
        <v>1</v>
      </c>
      <c r="T260" s="137"/>
      <c r="U260" s="110"/>
      <c r="V260" s="100"/>
      <c r="W260" s="100"/>
      <c r="X260" s="100">
        <v>1</v>
      </c>
      <c r="Y260" s="110"/>
      <c r="Z260" s="110">
        <v>1</v>
      </c>
      <c r="AA260" s="100">
        <v>1</v>
      </c>
      <c r="AB260" s="109"/>
      <c r="AC260" s="109"/>
      <c r="AD260" s="109"/>
      <c r="AE260" s="108"/>
      <c r="AF260" s="109"/>
      <c r="AG260" s="108"/>
      <c r="AH260" s="111"/>
      <c r="AI260" s="100"/>
      <c r="AJ260" s="100"/>
      <c r="AK260" s="100"/>
      <c r="AL260" s="100"/>
      <c r="AM260" s="100"/>
      <c r="AN260" s="111"/>
      <c r="AO260" s="100"/>
      <c r="AP260" s="100"/>
      <c r="AQ260" s="111"/>
      <c r="AR260" s="100"/>
      <c r="AS260" s="100"/>
      <c r="AT260" s="111"/>
    </row>
    <row r="261" spans="1:46" ht="16.3">
      <c r="A261" s="91" t="s">
        <v>363</v>
      </c>
      <c r="B261" s="239">
        <f>SUM(B259+B260)</f>
        <v>87</v>
      </c>
      <c r="C261" s="214">
        <f>SUM(C259+C260)</f>
        <v>196</v>
      </c>
      <c r="D261" s="133"/>
      <c r="E261" s="134"/>
      <c r="F261" s="135"/>
      <c r="G261" s="136"/>
      <c r="H261" s="96"/>
      <c r="I261" s="96"/>
      <c r="J261" s="104"/>
      <c r="K261" s="75"/>
      <c r="L261" s="75"/>
      <c r="M261" s="75"/>
      <c r="N261" s="75"/>
      <c r="O261" s="96"/>
      <c r="P261" s="105"/>
      <c r="Q261" s="105"/>
      <c r="R261" s="96"/>
      <c r="S261" s="128"/>
      <c r="T261" s="137"/>
      <c r="U261" s="110"/>
      <c r="V261" s="100"/>
      <c r="W261" s="100"/>
      <c r="X261" s="100"/>
      <c r="Y261" s="110"/>
      <c r="Z261" s="110"/>
      <c r="AA261" s="100"/>
      <c r="AB261" s="109"/>
      <c r="AC261" s="109"/>
      <c r="AD261" s="109"/>
      <c r="AE261" s="108"/>
      <c r="AF261" s="109"/>
      <c r="AG261" s="108"/>
      <c r="AH261" s="111"/>
      <c r="AI261" s="100"/>
      <c r="AJ261" s="100"/>
      <c r="AK261" s="100"/>
      <c r="AL261" s="100"/>
      <c r="AM261" s="100"/>
      <c r="AN261" s="111"/>
      <c r="AO261" s="100"/>
      <c r="AP261" s="100"/>
      <c r="AQ261" s="111"/>
      <c r="AR261" s="100"/>
      <c r="AS261" s="100"/>
      <c r="AT261" s="111"/>
    </row>
    <row r="262" spans="1:46" ht="16.3">
      <c r="A262" s="246" t="s">
        <v>362</v>
      </c>
      <c r="B262" s="240">
        <f>SUM(J262+K262+L262+M262+N262+S262+V262+W262+X262+AA262+AI262+AJ262+AI262+AM262+AP262+AQ262+AS262+AT262+AU262+AV262)+2</f>
        <v>2</v>
      </c>
      <c r="C262" s="215">
        <f>SUM(J262+K262+L262+M262+N262+S262+W262+X262+V262+AA262+AJ262+AI262+AJ262+AN262+AQ262+AM262+AT262+AU262+AV262+AW262+AP262+AS262)+6</f>
        <v>6</v>
      </c>
      <c r="D262" s="139"/>
      <c r="E262" s="140"/>
      <c r="F262" s="135"/>
      <c r="G262" s="136"/>
      <c r="H262" s="96"/>
      <c r="I262" s="96"/>
      <c r="J262" s="104"/>
      <c r="K262" s="75"/>
      <c r="L262" s="75"/>
      <c r="M262" s="75"/>
      <c r="N262" s="75"/>
      <c r="O262" s="96"/>
      <c r="P262" s="105"/>
      <c r="Q262" s="105"/>
      <c r="R262" s="96"/>
      <c r="S262" s="128"/>
      <c r="T262" s="137"/>
      <c r="U262" s="110"/>
      <c r="V262" s="100"/>
      <c r="W262" s="100"/>
      <c r="X262" s="100"/>
      <c r="Y262" s="110"/>
      <c r="Z262" s="110"/>
      <c r="AA262" s="100"/>
      <c r="AB262" s="109"/>
      <c r="AC262" s="109"/>
      <c r="AD262" s="109"/>
      <c r="AE262" s="108"/>
      <c r="AF262" s="109"/>
      <c r="AG262" s="108"/>
      <c r="AH262" s="111"/>
      <c r="AI262" s="100"/>
      <c r="AJ262" s="100"/>
      <c r="AK262" s="100"/>
      <c r="AL262" s="100"/>
      <c r="AM262" s="100"/>
      <c r="AN262" s="111"/>
      <c r="AO262" s="100"/>
      <c r="AP262" s="100"/>
      <c r="AQ262" s="111"/>
      <c r="AR262" s="100"/>
      <c r="AS262" s="100"/>
      <c r="AT262" s="111"/>
    </row>
    <row r="263" spans="1:46" ht="16.3">
      <c r="A263" s="91" t="s">
        <v>3</v>
      </c>
      <c r="B263" s="239">
        <f>SUM(J263+K263+L263+M263+N263+S263+V263+W263+X263+AA263+AI263+AJ263+AI263+AM263+AP263+AQ263+AS263+AT263+AU263+AV263)+8</f>
        <v>8</v>
      </c>
      <c r="C263" s="214">
        <f>SUM(J263+K263+L263+M263+N263+S263+W263+X263+V263+AA263+AJ263+AI263+AJ263+AN263+AQ263+AM263+AT263+AU263+AV263+AW263+AP263+AS263)+9</f>
        <v>9</v>
      </c>
      <c r="D263" s="133"/>
      <c r="E263" s="134"/>
      <c r="F263" s="135"/>
      <c r="G263" s="136"/>
      <c r="H263" s="96"/>
      <c r="I263" s="96"/>
      <c r="J263" s="104"/>
      <c r="K263" s="75"/>
      <c r="L263" s="75"/>
      <c r="M263" s="75"/>
      <c r="N263" s="75"/>
      <c r="O263" s="96"/>
      <c r="P263" s="105"/>
      <c r="Q263" s="105"/>
      <c r="R263" s="96"/>
      <c r="S263" s="128"/>
      <c r="T263" s="137"/>
      <c r="U263" s="110"/>
      <c r="V263" s="100"/>
      <c r="W263" s="100"/>
      <c r="X263" s="100"/>
      <c r="Y263" s="110">
        <v>1</v>
      </c>
      <c r="Z263" s="110"/>
      <c r="AA263" s="100"/>
      <c r="AB263" s="109"/>
      <c r="AC263" s="109"/>
      <c r="AD263" s="109"/>
      <c r="AE263" s="108"/>
      <c r="AF263" s="109"/>
      <c r="AG263" s="108"/>
      <c r="AH263" s="111"/>
      <c r="AI263" s="100"/>
      <c r="AJ263" s="100"/>
      <c r="AK263" s="100"/>
      <c r="AL263" s="100"/>
      <c r="AM263" s="100"/>
      <c r="AN263" s="111"/>
      <c r="AO263" s="100"/>
      <c r="AP263" s="100"/>
      <c r="AQ263" s="111"/>
      <c r="AR263" s="100"/>
      <c r="AS263" s="100"/>
      <c r="AT263" s="111"/>
    </row>
    <row r="264" spans="1:46" ht="17" thickBot="1">
      <c r="A264" s="92" t="s">
        <v>4</v>
      </c>
      <c r="B264" s="241">
        <f>SUM(J264+K264+L264+M264+N264+S264+V264+W264+X264+AA264+AI264+AJ264+AI264+AM264+AP264+AQ264+AS264+AT264+AU264+AV264)+40</f>
        <v>40</v>
      </c>
      <c r="C264" s="217">
        <f>SUM(J264+K264+L264+M264+N264+S264+W264+X264+V264+AA264+AJ264+AI264+AJ264+AN264+AQ264+AM264+AT264+AU264+AV264+AW264+AP264+AS264)+45</f>
        <v>45</v>
      </c>
      <c r="D264" s="144"/>
      <c r="E264" s="145"/>
      <c r="F264" s="146"/>
      <c r="G264" s="147"/>
      <c r="H264" s="114"/>
      <c r="I264" s="114"/>
      <c r="J264" s="113"/>
      <c r="K264" s="112"/>
      <c r="L264" s="112"/>
      <c r="M264" s="112"/>
      <c r="N264" s="112"/>
      <c r="O264" s="114"/>
      <c r="P264" s="127"/>
      <c r="Q264" s="127"/>
      <c r="R264" s="114"/>
      <c r="S264" s="129"/>
      <c r="T264" s="148"/>
      <c r="U264" s="120"/>
      <c r="V264" s="112"/>
      <c r="W264" s="116"/>
      <c r="X264" s="116"/>
      <c r="Y264" s="120">
        <v>5</v>
      </c>
      <c r="Z264" s="120"/>
      <c r="AA264" s="116"/>
      <c r="AB264" s="118"/>
      <c r="AC264" s="118"/>
      <c r="AD264" s="118"/>
      <c r="AE264" s="117"/>
      <c r="AF264" s="118"/>
      <c r="AG264" s="117"/>
      <c r="AH264" s="121"/>
      <c r="AI264" s="116"/>
      <c r="AJ264" s="116"/>
      <c r="AK264" s="116"/>
      <c r="AL264" s="116"/>
      <c r="AM264" s="116"/>
      <c r="AN264" s="121"/>
      <c r="AO264" s="116"/>
      <c r="AP264" s="116"/>
      <c r="AQ264" s="121"/>
      <c r="AR264" s="116"/>
      <c r="AS264" s="116"/>
      <c r="AT264" s="121"/>
    </row>
    <row r="265" spans="1:46" ht="21.1">
      <c r="A265" s="82" t="s">
        <v>243</v>
      </c>
      <c r="B265" s="239"/>
      <c r="C265" s="214"/>
      <c r="D265" s="133"/>
      <c r="E265" s="134"/>
      <c r="F265" s="135"/>
      <c r="G265" s="136"/>
      <c r="H265" s="96" t="s">
        <v>375</v>
      </c>
      <c r="I265" s="96" t="s">
        <v>370</v>
      </c>
      <c r="J265" s="104" t="s">
        <v>375</v>
      </c>
      <c r="K265" s="75" t="s">
        <v>370</v>
      </c>
      <c r="L265" s="75" t="s">
        <v>375</v>
      </c>
      <c r="M265" s="75" t="s">
        <v>375</v>
      </c>
      <c r="N265" s="75" t="s">
        <v>375</v>
      </c>
      <c r="O265" s="96" t="s">
        <v>375</v>
      </c>
      <c r="P265" s="105"/>
      <c r="Q265" s="105"/>
      <c r="R265" s="96" t="s">
        <v>370</v>
      </c>
      <c r="S265" s="75" t="s">
        <v>370</v>
      </c>
      <c r="T265" s="106" t="s">
        <v>375</v>
      </c>
      <c r="U265" s="110" t="s">
        <v>370</v>
      </c>
      <c r="V265" s="100" t="s">
        <v>370</v>
      </c>
      <c r="W265" s="102" t="s">
        <v>370</v>
      </c>
      <c r="X265" s="102" t="s">
        <v>370</v>
      </c>
      <c r="Y265" s="101" t="s">
        <v>339</v>
      </c>
      <c r="Z265" s="101" t="s">
        <v>339</v>
      </c>
      <c r="AA265" s="102" t="s">
        <v>339</v>
      </c>
      <c r="AB265" s="99" t="s">
        <v>339</v>
      </c>
      <c r="AC265" s="99" t="s">
        <v>339</v>
      </c>
      <c r="AD265" s="99" t="s">
        <v>339</v>
      </c>
      <c r="AE265" s="98"/>
      <c r="AF265" s="99"/>
      <c r="AG265" s="98"/>
      <c r="AH265" s="103"/>
      <c r="AI265" s="102"/>
      <c r="AJ265" s="102"/>
      <c r="AK265" s="102"/>
      <c r="AL265" s="102"/>
      <c r="AM265" s="100"/>
      <c r="AN265" s="103"/>
      <c r="AO265" s="100"/>
      <c r="AP265" s="100"/>
      <c r="AQ265" s="103"/>
      <c r="AR265" s="102"/>
      <c r="AS265" s="102"/>
      <c r="AT265" s="103"/>
    </row>
    <row r="266" spans="1:46" ht="16.3">
      <c r="A266" s="234" t="s">
        <v>1</v>
      </c>
      <c r="B266" s="240">
        <f>SUM(J266+K266+L266+M266+N266+S266+V266+W266+X266+AA266+AI266+AJ266+AI266+AM266+AP266+AQ266+AS266+AT266+AU266+AV266+AN266)</f>
        <v>5</v>
      </c>
      <c r="C266" s="215">
        <f>SUM(J266+K266+L266+M266+N266+S266+W266+X266+V266+AA266+AJ266+AI266+AJ266+AN266+AQ266+AM266+AT266+AU266+AV266+AW266+AP266+AS266)+24</f>
        <v>29</v>
      </c>
      <c r="D266" s="139"/>
      <c r="E266" s="140"/>
      <c r="F266" s="135"/>
      <c r="G266" s="136"/>
      <c r="H266" s="96"/>
      <c r="I266" s="96">
        <v>1</v>
      </c>
      <c r="J266" s="104"/>
      <c r="K266" s="75">
        <v>1</v>
      </c>
      <c r="L266" s="75"/>
      <c r="M266" s="75"/>
      <c r="N266" s="75"/>
      <c r="O266" s="96"/>
      <c r="P266" s="105"/>
      <c r="Q266" s="105"/>
      <c r="R266" s="96">
        <v>1</v>
      </c>
      <c r="S266" s="75">
        <v>1</v>
      </c>
      <c r="T266" s="106"/>
      <c r="U266" s="110">
        <v>1</v>
      </c>
      <c r="V266" s="100">
        <v>1</v>
      </c>
      <c r="W266" s="100">
        <v>1</v>
      </c>
      <c r="X266" s="100">
        <v>1</v>
      </c>
      <c r="Y266" s="110"/>
      <c r="Z266" s="110"/>
      <c r="AA266" s="100"/>
      <c r="AB266" s="109"/>
      <c r="AC266" s="109"/>
      <c r="AD266" s="109"/>
      <c r="AE266" s="108"/>
      <c r="AF266" s="109"/>
      <c r="AG266" s="108"/>
      <c r="AH266" s="111"/>
      <c r="AI266" s="100"/>
      <c r="AJ266" s="100"/>
      <c r="AK266" s="100"/>
      <c r="AL266" s="100"/>
      <c r="AM266" s="100"/>
      <c r="AN266" s="111"/>
      <c r="AO266" s="100"/>
      <c r="AP266" s="100"/>
      <c r="AQ266" s="111"/>
      <c r="AR266" s="100"/>
      <c r="AS266" s="100"/>
      <c r="AT266" s="111"/>
    </row>
    <row r="267" spans="1:46" ht="16.3">
      <c r="A267" s="234" t="s">
        <v>2</v>
      </c>
      <c r="B267" s="240">
        <f>SUM(J267+K267+L267+M267+N267+S267+V267+W267+X267+AA267+AI267+AJ267+AI267+AM267+AP267+AQ267+AS267+AT267+AU267+AV267)+1</f>
        <v>5</v>
      </c>
      <c r="C267" s="215">
        <f>SUM(J267+K267+L267+M267+N267+S267+W267+X267+V267+AA267+AJ267+AI267+AJ267+AN267+AQ267+AM267+AT267+AU267+AV267+AW267+AP267+AS267)+29</f>
        <v>33</v>
      </c>
      <c r="D267" s="139"/>
      <c r="E267" s="140"/>
      <c r="F267" s="135"/>
      <c r="G267" s="136"/>
      <c r="H267" s="96">
        <v>1</v>
      </c>
      <c r="I267" s="96"/>
      <c r="J267" s="104">
        <v>1</v>
      </c>
      <c r="K267" s="75"/>
      <c r="L267" s="75">
        <v>1</v>
      </c>
      <c r="M267" s="75">
        <v>1</v>
      </c>
      <c r="N267" s="75">
        <v>1</v>
      </c>
      <c r="O267" s="96">
        <v>1</v>
      </c>
      <c r="P267" s="105"/>
      <c r="Q267" s="105"/>
      <c r="R267" s="96"/>
      <c r="S267" s="75"/>
      <c r="T267" s="106">
        <v>1</v>
      </c>
      <c r="U267" s="110"/>
      <c r="V267" s="100"/>
      <c r="W267" s="100"/>
      <c r="X267" s="100"/>
      <c r="Y267" s="110"/>
      <c r="Z267" s="110"/>
      <c r="AA267" s="100"/>
      <c r="AB267" s="109"/>
      <c r="AC267" s="109"/>
      <c r="AD267" s="109"/>
      <c r="AE267" s="108"/>
      <c r="AF267" s="109"/>
      <c r="AG267" s="108"/>
      <c r="AH267" s="111"/>
      <c r="AI267" s="100"/>
      <c r="AJ267" s="100"/>
      <c r="AK267" s="100"/>
      <c r="AL267" s="100"/>
      <c r="AM267" s="100"/>
      <c r="AN267" s="111"/>
      <c r="AO267" s="100"/>
      <c r="AP267" s="100"/>
      <c r="AQ267" s="111"/>
      <c r="AR267" s="100"/>
      <c r="AS267" s="100"/>
      <c r="AT267" s="111"/>
    </row>
    <row r="268" spans="1:46" ht="16.3">
      <c r="A268" s="91" t="s">
        <v>363</v>
      </c>
      <c r="B268" s="239">
        <f>SUM(B266+B267)</f>
        <v>10</v>
      </c>
      <c r="C268" s="214">
        <f>SUM(C266+C267)</f>
        <v>62</v>
      </c>
      <c r="D268" s="133"/>
      <c r="E268" s="134"/>
      <c r="F268" s="135"/>
      <c r="G268" s="136"/>
      <c r="H268" s="96"/>
      <c r="I268" s="96"/>
      <c r="J268" s="104"/>
      <c r="K268" s="75"/>
      <c r="L268" s="75"/>
      <c r="M268" s="75"/>
      <c r="N268" s="75"/>
      <c r="O268" s="96"/>
      <c r="P268" s="105"/>
      <c r="Q268" s="105"/>
      <c r="R268" s="96"/>
      <c r="S268" s="75"/>
      <c r="T268" s="106"/>
      <c r="U268" s="110"/>
      <c r="V268" s="100"/>
      <c r="W268" s="100"/>
      <c r="X268" s="100"/>
      <c r="Y268" s="110"/>
      <c r="Z268" s="110"/>
      <c r="AA268" s="100"/>
      <c r="AB268" s="109"/>
      <c r="AC268" s="109"/>
      <c r="AD268" s="109"/>
      <c r="AE268" s="108"/>
      <c r="AF268" s="109"/>
      <c r="AG268" s="108"/>
      <c r="AH268" s="111"/>
      <c r="AI268" s="100"/>
      <c r="AJ268" s="100"/>
      <c r="AK268" s="100"/>
      <c r="AL268" s="100"/>
      <c r="AM268" s="100"/>
      <c r="AN268" s="111"/>
      <c r="AO268" s="100"/>
      <c r="AP268" s="100"/>
      <c r="AQ268" s="111"/>
      <c r="AR268" s="100"/>
      <c r="AS268" s="100"/>
      <c r="AT268" s="111"/>
    </row>
    <row r="269" spans="1:46" ht="16.3">
      <c r="A269" s="91" t="s">
        <v>3</v>
      </c>
      <c r="B269" s="239">
        <f>SUM(J269+K269+L269+M269+N269+S269+V269+W269+X269+AA269+AI269+AJ269+AI269+AM269+AP269+AQ269+AS269+AT269+AU269+AV269)</f>
        <v>0</v>
      </c>
      <c r="C269" s="214">
        <f>SUM(J269+K269+L269+M269+N269+S269+W269+X269+V269+AA269+AJ269+AI269+AJ269+AN269+AQ269+AM269+AT269+AU269+AV269+AW269+AP269+AS269)</f>
        <v>0</v>
      </c>
      <c r="D269" s="133"/>
      <c r="E269" s="134"/>
      <c r="F269" s="135"/>
      <c r="G269" s="136"/>
      <c r="H269" s="96"/>
      <c r="I269" s="96"/>
      <c r="J269" s="104"/>
      <c r="K269" s="75"/>
      <c r="L269" s="75"/>
      <c r="M269" s="75"/>
      <c r="N269" s="75"/>
      <c r="O269" s="96"/>
      <c r="P269" s="105"/>
      <c r="Q269" s="105"/>
      <c r="R269" s="96"/>
      <c r="S269" s="75"/>
      <c r="T269" s="106"/>
      <c r="U269" s="110"/>
      <c r="V269" s="100"/>
      <c r="W269" s="100"/>
      <c r="X269" s="100"/>
      <c r="Y269" s="110"/>
      <c r="Z269" s="110"/>
      <c r="AA269" s="100"/>
      <c r="AB269" s="109"/>
      <c r="AC269" s="109"/>
      <c r="AD269" s="109"/>
      <c r="AE269" s="108"/>
      <c r="AF269" s="109"/>
      <c r="AG269" s="108"/>
      <c r="AH269" s="111"/>
      <c r="AI269" s="100"/>
      <c r="AJ269" s="100"/>
      <c r="AK269" s="100"/>
      <c r="AL269" s="100"/>
      <c r="AM269" s="100"/>
      <c r="AN269" s="111"/>
      <c r="AO269" s="100"/>
      <c r="AP269" s="100"/>
      <c r="AQ269" s="111"/>
      <c r="AR269" s="100"/>
      <c r="AS269" s="100"/>
      <c r="AT269" s="111"/>
    </row>
    <row r="270" spans="1:46" ht="17" thickBot="1">
      <c r="A270" s="92" t="s">
        <v>4</v>
      </c>
      <c r="B270" s="241">
        <f>SUM(J270+K270+L270+M270+N270+S270+V270+W270+X270+AA270+AI270+AJ270+AI270+AM270+AP270+AQ270+AS270+AT270+AU270+AV270)</f>
        <v>0</v>
      </c>
      <c r="C270" s="217">
        <f>SUM(J270+K270+L270+M270+N270+S270+W270+X270+V270+AA270+AJ270+AI270+AJ270+AN270+AQ270+AM270+AT270+AU270+AV270+AW270+AP270+AS270)</f>
        <v>0</v>
      </c>
      <c r="D270" s="144"/>
      <c r="E270" s="145"/>
      <c r="F270" s="146"/>
      <c r="G270" s="147"/>
      <c r="H270" s="114"/>
      <c r="I270" s="114"/>
      <c r="J270" s="113"/>
      <c r="K270" s="112"/>
      <c r="L270" s="112"/>
      <c r="M270" s="112"/>
      <c r="N270" s="112"/>
      <c r="O270" s="114"/>
      <c r="P270" s="127"/>
      <c r="Q270" s="127"/>
      <c r="R270" s="114"/>
      <c r="S270" s="112"/>
      <c r="T270" s="119"/>
      <c r="U270" s="120"/>
      <c r="V270" s="112"/>
      <c r="W270" s="116"/>
      <c r="X270" s="116"/>
      <c r="Y270" s="120"/>
      <c r="Z270" s="120"/>
      <c r="AA270" s="116"/>
      <c r="AB270" s="118"/>
      <c r="AC270" s="118"/>
      <c r="AD270" s="118"/>
      <c r="AE270" s="117"/>
      <c r="AF270" s="118"/>
      <c r="AG270" s="117"/>
      <c r="AH270" s="121"/>
      <c r="AI270" s="116"/>
      <c r="AJ270" s="116"/>
      <c r="AK270" s="116"/>
      <c r="AL270" s="116"/>
      <c r="AM270" s="116"/>
      <c r="AN270" s="121"/>
      <c r="AO270" s="116"/>
      <c r="AP270" s="116"/>
      <c r="AQ270" s="121"/>
      <c r="AR270" s="116"/>
      <c r="AS270" s="116"/>
      <c r="AT270" s="121"/>
    </row>
    <row r="271" spans="1:46" ht="21.1">
      <c r="A271" s="82" t="s">
        <v>133</v>
      </c>
      <c r="B271" s="239"/>
      <c r="C271" s="214"/>
      <c r="D271" s="133"/>
      <c r="E271" s="134"/>
      <c r="F271" s="135"/>
      <c r="G271" s="136"/>
      <c r="H271" s="96" t="s">
        <v>370</v>
      </c>
      <c r="I271" s="96"/>
      <c r="J271" s="104" t="s">
        <v>370</v>
      </c>
      <c r="K271" s="75" t="s">
        <v>375</v>
      </c>
      <c r="L271" s="75" t="s">
        <v>370</v>
      </c>
      <c r="M271" s="75" t="s">
        <v>370</v>
      </c>
      <c r="N271" s="75" t="s">
        <v>370</v>
      </c>
      <c r="O271" s="96"/>
      <c r="P271" s="105"/>
      <c r="Q271" s="105"/>
      <c r="R271" s="96"/>
      <c r="S271" s="128"/>
      <c r="T271" s="137"/>
      <c r="U271" s="110"/>
      <c r="V271" s="100" t="s">
        <v>375</v>
      </c>
      <c r="W271" s="100"/>
      <c r="X271" s="100" t="s">
        <v>375</v>
      </c>
      <c r="Y271" s="110" t="s">
        <v>370</v>
      </c>
      <c r="Z271" s="110" t="s">
        <v>370</v>
      </c>
      <c r="AA271" s="100" t="s">
        <v>370</v>
      </c>
      <c r="AB271" s="109" t="s">
        <v>816</v>
      </c>
      <c r="AC271" s="109" t="s">
        <v>816</v>
      </c>
      <c r="AD271" s="109" t="s">
        <v>775</v>
      </c>
      <c r="AE271" s="108"/>
      <c r="AF271" s="109" t="s">
        <v>370</v>
      </c>
      <c r="AG271" s="108"/>
      <c r="AH271" s="111"/>
      <c r="AI271" s="100"/>
      <c r="AJ271" s="100"/>
      <c r="AK271" s="100"/>
      <c r="AL271" s="100"/>
      <c r="AM271" s="100"/>
      <c r="AN271" s="111"/>
      <c r="AO271" s="100"/>
      <c r="AP271" s="100"/>
      <c r="AQ271" s="111"/>
      <c r="AR271" s="100"/>
      <c r="AS271" s="100"/>
      <c r="AT271" s="111"/>
    </row>
    <row r="272" spans="1:46" ht="16.3">
      <c r="A272" s="234" t="s">
        <v>1</v>
      </c>
      <c r="B272" s="240">
        <f>SUM(J272+K272+L272+M272+N272+S272+V272+W272+X272+AA272+AI272+AJ272+AI272+AM272+AP272+AQ272+AS272+AT272+AU272+AV272+AN272)+10</f>
        <v>15</v>
      </c>
      <c r="C272" s="215">
        <f>SUM(J272+K272+L272+M272+N272+S272+W272+X272+V272+AA272+AJ272+AI272+AJ272+AN272+AQ272+AM272+AT272+AU272+AV272+AW272+AP272+AS272)+10</f>
        <v>15</v>
      </c>
      <c r="D272" s="139"/>
      <c r="E272" s="140"/>
      <c r="F272" s="135"/>
      <c r="G272" s="136"/>
      <c r="H272" s="96">
        <v>1</v>
      </c>
      <c r="I272" s="96"/>
      <c r="J272" s="104">
        <v>1</v>
      </c>
      <c r="K272" s="75"/>
      <c r="L272" s="75">
        <v>1</v>
      </c>
      <c r="M272" s="75">
        <v>1</v>
      </c>
      <c r="N272" s="75">
        <v>1</v>
      </c>
      <c r="O272" s="96"/>
      <c r="P272" s="105"/>
      <c r="Q272" s="105"/>
      <c r="R272" s="96"/>
      <c r="S272" s="128"/>
      <c r="T272" s="137"/>
      <c r="U272" s="110"/>
      <c r="V272" s="100"/>
      <c r="W272" s="100"/>
      <c r="X272" s="100"/>
      <c r="Y272" s="110">
        <v>1</v>
      </c>
      <c r="Z272" s="110">
        <v>1</v>
      </c>
      <c r="AA272" s="100">
        <v>1</v>
      </c>
      <c r="AB272" s="109"/>
      <c r="AC272" s="109"/>
      <c r="AD272" s="109"/>
      <c r="AE272" s="108"/>
      <c r="AF272" s="109">
        <v>1</v>
      </c>
      <c r="AG272" s="108"/>
      <c r="AH272" s="111"/>
      <c r="AI272" s="100"/>
      <c r="AJ272" s="100"/>
      <c r="AK272" s="100"/>
      <c r="AL272" s="100"/>
      <c r="AM272" s="100"/>
      <c r="AN272" s="111"/>
      <c r="AO272" s="100"/>
      <c r="AP272" s="100"/>
      <c r="AQ272" s="111"/>
      <c r="AR272" s="100"/>
      <c r="AS272" s="100"/>
      <c r="AT272" s="111"/>
    </row>
    <row r="273" spans="1:46" ht="16.3">
      <c r="A273" s="234" t="s">
        <v>2</v>
      </c>
      <c r="B273" s="240">
        <f>SUM(J273+K273+L273+M273+N273+S273+V273+W273+X273+AA273+AI273+AJ273+AI273+AM273+AP273+AQ273+AS273+AT273+AU273+AV273)+31</f>
        <v>34</v>
      </c>
      <c r="C273" s="215">
        <f>SUM(J273+K273+L273+M273+N273+S273+W273+X273+V273+AA273+AJ273+AI273+AJ273+AN273+AQ273+AM273+AT273+AU273+AV273+AW273+AP273+AS273)+31</f>
        <v>34</v>
      </c>
      <c r="D273" s="139"/>
      <c r="E273" s="140"/>
      <c r="F273" s="135"/>
      <c r="G273" s="136"/>
      <c r="H273" s="96"/>
      <c r="I273" s="96"/>
      <c r="J273" s="104"/>
      <c r="K273" s="75">
        <v>1</v>
      </c>
      <c r="L273" s="75"/>
      <c r="M273" s="75"/>
      <c r="N273" s="75"/>
      <c r="O273" s="96"/>
      <c r="P273" s="105"/>
      <c r="Q273" s="105"/>
      <c r="R273" s="96"/>
      <c r="S273" s="128"/>
      <c r="T273" s="137"/>
      <c r="U273" s="110"/>
      <c r="V273" s="100">
        <v>1</v>
      </c>
      <c r="W273" s="100"/>
      <c r="X273" s="100">
        <v>1</v>
      </c>
      <c r="Y273" s="110"/>
      <c r="Z273" s="110"/>
      <c r="AA273" s="100"/>
      <c r="AB273" s="109"/>
      <c r="AC273" s="109"/>
      <c r="AD273" s="109"/>
      <c r="AE273" s="108"/>
      <c r="AF273" s="109"/>
      <c r="AG273" s="108"/>
      <c r="AH273" s="111"/>
      <c r="AI273" s="100"/>
      <c r="AJ273" s="100"/>
      <c r="AK273" s="100"/>
      <c r="AL273" s="100"/>
      <c r="AM273" s="100"/>
      <c r="AN273" s="111"/>
      <c r="AO273" s="100"/>
      <c r="AP273" s="100"/>
      <c r="AQ273" s="111"/>
      <c r="AR273" s="100"/>
      <c r="AS273" s="100"/>
      <c r="AT273" s="111"/>
    </row>
    <row r="274" spans="1:46" ht="16.3">
      <c r="A274" s="91" t="s">
        <v>363</v>
      </c>
      <c r="B274" s="239">
        <f>SUM(B272+B273)</f>
        <v>49</v>
      </c>
      <c r="C274" s="214">
        <f>SUM(C272+C273)</f>
        <v>49</v>
      </c>
      <c r="D274" s="133"/>
      <c r="E274" s="134"/>
      <c r="F274" s="135"/>
      <c r="G274" s="136"/>
      <c r="H274" s="96"/>
      <c r="I274" s="96"/>
      <c r="J274" s="104"/>
      <c r="K274" s="75"/>
      <c r="L274" s="75"/>
      <c r="M274" s="75"/>
      <c r="N274" s="75"/>
      <c r="O274" s="96"/>
      <c r="P274" s="105"/>
      <c r="Q274" s="105"/>
      <c r="R274" s="96"/>
      <c r="S274" s="128"/>
      <c r="T274" s="137"/>
      <c r="U274" s="110"/>
      <c r="V274" s="100"/>
      <c r="W274" s="100"/>
      <c r="X274" s="100"/>
      <c r="Y274" s="110"/>
      <c r="Z274" s="110"/>
      <c r="AA274" s="100"/>
      <c r="AB274" s="109"/>
      <c r="AC274" s="109"/>
      <c r="AD274" s="109"/>
      <c r="AE274" s="108"/>
      <c r="AF274" s="109"/>
      <c r="AG274" s="108"/>
      <c r="AH274" s="111"/>
      <c r="AI274" s="100"/>
      <c r="AJ274" s="100"/>
      <c r="AK274" s="100"/>
      <c r="AL274" s="100"/>
      <c r="AM274" s="100"/>
      <c r="AN274" s="111"/>
      <c r="AO274" s="100"/>
      <c r="AP274" s="100"/>
      <c r="AQ274" s="111"/>
      <c r="AR274" s="100"/>
      <c r="AS274" s="100"/>
      <c r="AT274" s="111"/>
    </row>
    <row r="275" spans="1:46" ht="16.3">
      <c r="A275" s="234" t="s">
        <v>362</v>
      </c>
      <c r="B275" s="240">
        <f>SUM(J275+K275+L275+M275+N275+S275+V275+W275+X275+AA275+AI275+AJ275+AI275+AM275+AP275+AQ275+AS275+AT275+AU275+AV275)+1</f>
        <v>1</v>
      </c>
      <c r="C275" s="215">
        <f>SUM(J275+K275+L275+M275+N275+S275+W275+X275+V275+AA275+AJ275+AI275+AJ275+AN275+AQ275+AM275+AT275+AU275+AV275+AW275+AP275+AS275)+1</f>
        <v>1</v>
      </c>
      <c r="D275" s="133"/>
      <c r="E275" s="134"/>
      <c r="F275" s="135"/>
      <c r="G275" s="136"/>
      <c r="H275" s="96"/>
      <c r="I275" s="96"/>
      <c r="J275" s="104"/>
      <c r="K275" s="75"/>
      <c r="L275" s="75"/>
      <c r="M275" s="75"/>
      <c r="N275" s="75"/>
      <c r="O275" s="96"/>
      <c r="P275" s="105"/>
      <c r="Q275" s="105"/>
      <c r="R275" s="96"/>
      <c r="S275" s="128"/>
      <c r="T275" s="137"/>
      <c r="U275" s="110"/>
      <c r="V275" s="100"/>
      <c r="W275" s="100"/>
      <c r="X275" s="100"/>
      <c r="Y275" s="110"/>
      <c r="Z275" s="110"/>
      <c r="AA275" s="100"/>
      <c r="AB275" s="109"/>
      <c r="AC275" s="109"/>
      <c r="AD275" s="109"/>
      <c r="AE275" s="108"/>
      <c r="AF275" s="109"/>
      <c r="AG275" s="108"/>
      <c r="AH275" s="111"/>
      <c r="AI275" s="100"/>
      <c r="AJ275" s="100"/>
      <c r="AK275" s="100"/>
      <c r="AL275" s="100"/>
      <c r="AM275" s="100"/>
      <c r="AN275" s="111"/>
      <c r="AO275" s="100"/>
      <c r="AP275" s="100"/>
      <c r="AQ275" s="111"/>
      <c r="AR275" s="100"/>
      <c r="AS275" s="100"/>
      <c r="AT275" s="111"/>
    </row>
    <row r="276" spans="1:46" ht="16.3">
      <c r="A276" s="91" t="s">
        <v>3</v>
      </c>
      <c r="B276" s="239">
        <f>SUM(J276+K276+L276+M276+N276+S276+V276+W276+X276+AA276+AI276+AJ276+AI276+AM276+AP276+AQ276+AS276+AT276+AU276+AV276)+4</f>
        <v>4</v>
      </c>
      <c r="C276" s="214">
        <f>SUM(J276+K276+L276+M276+N276+S276+W276+X276+V276+AA276+AJ276+AI276+AJ276+AN276+AQ276+AM276+AT276+AU276+AV276+AW276+AP276+AS276)+4</f>
        <v>4</v>
      </c>
      <c r="D276" s="133"/>
      <c r="E276" s="134"/>
      <c r="F276" s="135"/>
      <c r="G276" s="136"/>
      <c r="H276" s="96"/>
      <c r="I276" s="96"/>
      <c r="J276" s="104"/>
      <c r="K276" s="75"/>
      <c r="L276" s="75"/>
      <c r="M276" s="75"/>
      <c r="N276" s="75"/>
      <c r="O276" s="96"/>
      <c r="P276" s="105"/>
      <c r="Q276" s="105"/>
      <c r="R276" s="96"/>
      <c r="S276" s="128"/>
      <c r="T276" s="137"/>
      <c r="U276" s="110"/>
      <c r="V276" s="100"/>
      <c r="W276" s="100"/>
      <c r="X276" s="100"/>
      <c r="Y276" s="110"/>
      <c r="Z276" s="110"/>
      <c r="AA276" s="100"/>
      <c r="AB276" s="109"/>
      <c r="AC276" s="109"/>
      <c r="AD276" s="109"/>
      <c r="AE276" s="108"/>
      <c r="AF276" s="109"/>
      <c r="AG276" s="108"/>
      <c r="AH276" s="111"/>
      <c r="AI276" s="100"/>
      <c r="AJ276" s="100"/>
      <c r="AK276" s="100"/>
      <c r="AL276" s="100"/>
      <c r="AM276" s="100"/>
      <c r="AN276" s="111"/>
      <c r="AO276" s="100"/>
      <c r="AP276" s="100"/>
      <c r="AQ276" s="111"/>
      <c r="AR276" s="100"/>
      <c r="AS276" s="100"/>
      <c r="AT276" s="111"/>
    </row>
    <row r="277" spans="1:46" ht="17" thickBot="1">
      <c r="A277" s="92" t="s">
        <v>4</v>
      </c>
      <c r="B277" s="241">
        <f>SUM(J277+K277+L277+M277+N277+S277+V277+W277+X277+AA277+AI277+AJ277+AI277+AM277+AP277+AQ277+AS277+AT277+AU277+AV277)+20</f>
        <v>20</v>
      </c>
      <c r="C277" s="217">
        <f>SUM(J277+K277+L277+M277+N277+S277+W277+X277+V277+AA277+AJ277+AI277+AJ277+AN277+AQ277+AM277+AT277+AU277+AV277+AW277+AP277+AS277)+20</f>
        <v>20</v>
      </c>
      <c r="D277" s="144"/>
      <c r="E277" s="145"/>
      <c r="F277" s="146"/>
      <c r="G277" s="147"/>
      <c r="H277" s="114"/>
      <c r="I277" s="114"/>
      <c r="J277" s="113"/>
      <c r="K277" s="112"/>
      <c r="L277" s="112"/>
      <c r="M277" s="112"/>
      <c r="N277" s="112"/>
      <c r="O277" s="114"/>
      <c r="P277" s="127"/>
      <c r="Q277" s="127"/>
      <c r="R277" s="114"/>
      <c r="S277" s="129"/>
      <c r="T277" s="148"/>
      <c r="U277" s="120"/>
      <c r="V277" s="116"/>
      <c r="W277" s="116"/>
      <c r="X277" s="116"/>
      <c r="Y277" s="120"/>
      <c r="Z277" s="120"/>
      <c r="AA277" s="116"/>
      <c r="AB277" s="118"/>
      <c r="AC277" s="118"/>
      <c r="AD277" s="118"/>
      <c r="AE277" s="117"/>
      <c r="AF277" s="118"/>
      <c r="AG277" s="117"/>
      <c r="AH277" s="121"/>
      <c r="AI277" s="116"/>
      <c r="AJ277" s="116"/>
      <c r="AK277" s="116"/>
      <c r="AL277" s="116"/>
      <c r="AM277" s="116"/>
      <c r="AN277" s="121"/>
      <c r="AO277" s="116"/>
      <c r="AP277" s="116"/>
      <c r="AQ277" s="121"/>
      <c r="AR277" s="116"/>
      <c r="AS277" s="116"/>
      <c r="AT277" s="121"/>
    </row>
    <row r="278" spans="1:46" ht="21.1">
      <c r="A278" s="82" t="s">
        <v>132</v>
      </c>
      <c r="B278" s="239"/>
      <c r="C278" s="214"/>
      <c r="D278" s="133"/>
      <c r="E278" s="134"/>
      <c r="F278" s="135"/>
      <c r="G278" s="136"/>
      <c r="H278" s="96"/>
      <c r="I278" s="96" t="s">
        <v>375</v>
      </c>
      <c r="J278" s="104"/>
      <c r="K278" s="75"/>
      <c r="L278" s="75"/>
      <c r="M278" s="75"/>
      <c r="N278" s="75"/>
      <c r="O278" s="96" t="s">
        <v>370</v>
      </c>
      <c r="P278" s="105"/>
      <c r="Q278" s="105"/>
      <c r="R278" s="96" t="s">
        <v>375</v>
      </c>
      <c r="S278" s="128" t="s">
        <v>375</v>
      </c>
      <c r="T278" s="137"/>
      <c r="U278" s="110" t="s">
        <v>375</v>
      </c>
      <c r="V278" s="100"/>
      <c r="W278" s="100" t="s">
        <v>375</v>
      </c>
      <c r="X278" s="100"/>
      <c r="Y278" s="110" t="s">
        <v>375</v>
      </c>
      <c r="Z278" s="110" t="s">
        <v>393</v>
      </c>
      <c r="AA278" s="100" t="s">
        <v>393</v>
      </c>
      <c r="AB278" s="109">
        <v>3</v>
      </c>
      <c r="AC278" s="109" t="s">
        <v>370</v>
      </c>
      <c r="AD278" s="109"/>
      <c r="AE278" s="108"/>
      <c r="AF278" s="109" t="s">
        <v>375</v>
      </c>
      <c r="AG278" s="108"/>
      <c r="AH278" s="111"/>
      <c r="AI278" s="100"/>
      <c r="AJ278" s="100"/>
      <c r="AK278" s="100"/>
      <c r="AL278" s="100"/>
      <c r="AM278" s="100"/>
      <c r="AN278" s="111"/>
      <c r="AO278" s="100"/>
      <c r="AP278" s="100"/>
      <c r="AQ278" s="111"/>
      <c r="AR278" s="100"/>
      <c r="AS278" s="100"/>
      <c r="AT278" s="111"/>
    </row>
    <row r="279" spans="1:46" ht="16.3">
      <c r="A279" s="246" t="s">
        <v>1</v>
      </c>
      <c r="B279" s="240">
        <f t="shared" ref="B279" si="71">SUM(J279+K279+L279+M279+N279+S279+V279+W279+X279+AA279+AI279+AJ279+AI279+AM279+AP279+AQ279+AS279+AT279+AU279+AV279+AN279)</f>
        <v>0</v>
      </c>
      <c r="C279" s="215">
        <f t="shared" ref="C279" si="72">SUM(J279+K279+L279+M279+N279+S279+W279+X279+V279+AA279+AJ279+AI279+AJ279+AN279+AQ279+AM279+AT279+AU279+AV279+AW279+AP279+AS279)</f>
        <v>0</v>
      </c>
      <c r="D279" s="133"/>
      <c r="E279" s="134"/>
      <c r="F279" s="135"/>
      <c r="G279" s="136"/>
      <c r="H279" s="96"/>
      <c r="I279" s="96"/>
      <c r="J279" s="104"/>
      <c r="K279" s="75"/>
      <c r="L279" s="75"/>
      <c r="M279" s="75"/>
      <c r="N279" s="75"/>
      <c r="O279" s="96">
        <v>1</v>
      </c>
      <c r="P279" s="105"/>
      <c r="Q279" s="105"/>
      <c r="R279" s="96"/>
      <c r="S279" s="128"/>
      <c r="T279" s="137"/>
      <c r="U279" s="110"/>
      <c r="V279" s="100"/>
      <c r="W279" s="100"/>
      <c r="X279" s="100"/>
      <c r="Y279" s="110"/>
      <c r="Z279" s="110"/>
      <c r="AA279" s="100"/>
      <c r="AB279" s="109">
        <v>1</v>
      </c>
      <c r="AC279" s="109">
        <v>1</v>
      </c>
      <c r="AD279" s="109"/>
      <c r="AE279" s="108"/>
      <c r="AF279" s="109"/>
      <c r="AG279" s="108"/>
      <c r="AH279" s="111"/>
      <c r="AI279" s="100"/>
      <c r="AJ279" s="100"/>
      <c r="AK279" s="100"/>
      <c r="AL279" s="100"/>
      <c r="AM279" s="100"/>
      <c r="AN279" s="111"/>
      <c r="AO279" s="100"/>
      <c r="AP279" s="100"/>
      <c r="AQ279" s="111"/>
      <c r="AR279" s="100"/>
      <c r="AS279" s="100"/>
      <c r="AT279" s="111"/>
    </row>
    <row r="280" spans="1:46" ht="16.3">
      <c r="A280" s="246" t="s">
        <v>2</v>
      </c>
      <c r="B280" s="240">
        <f>SUM(J280+K280+L280+M280+N280+S280+V280+W280+X280+AA280+AI280+AJ280+AI280+AM280+AP280+AQ280+AS280+AT280+AU280+AV280)+3</f>
        <v>5</v>
      </c>
      <c r="C280" s="215">
        <f>SUM(J280+K280+L280+M280+N280+S280+W280+X280+V280+AA280+AJ280+AI280+AJ280+AN280+AQ280+AM280+AT280+AU280+AV280+AW280+AP280+AS280)+3</f>
        <v>5</v>
      </c>
      <c r="D280" s="133"/>
      <c r="E280" s="134"/>
      <c r="F280" s="135"/>
      <c r="G280" s="136"/>
      <c r="H280" s="96"/>
      <c r="I280" s="96">
        <v>1</v>
      </c>
      <c r="J280" s="104"/>
      <c r="K280" s="75"/>
      <c r="L280" s="75"/>
      <c r="M280" s="75"/>
      <c r="N280" s="75"/>
      <c r="O280" s="96"/>
      <c r="P280" s="105"/>
      <c r="Q280" s="105"/>
      <c r="R280" s="96">
        <v>1</v>
      </c>
      <c r="S280" s="128">
        <v>1</v>
      </c>
      <c r="T280" s="137"/>
      <c r="U280" s="110">
        <v>1</v>
      </c>
      <c r="V280" s="100"/>
      <c r="W280" s="100">
        <v>1</v>
      </c>
      <c r="X280" s="100"/>
      <c r="Y280" s="110">
        <v>1</v>
      </c>
      <c r="Z280" s="110"/>
      <c r="AA280" s="100"/>
      <c r="AB280" s="109"/>
      <c r="AC280" s="109"/>
      <c r="AD280" s="109"/>
      <c r="AE280" s="108"/>
      <c r="AF280" s="109">
        <v>1</v>
      </c>
      <c r="AG280" s="108"/>
      <c r="AH280" s="111"/>
      <c r="AI280" s="100"/>
      <c r="AJ280" s="100"/>
      <c r="AK280" s="100"/>
      <c r="AL280" s="100"/>
      <c r="AM280" s="100"/>
      <c r="AN280" s="111"/>
      <c r="AO280" s="100"/>
      <c r="AP280" s="100"/>
      <c r="AQ280" s="111"/>
      <c r="AR280" s="100"/>
      <c r="AS280" s="100"/>
      <c r="AT280" s="111"/>
    </row>
    <row r="281" spans="1:46" ht="16.3">
      <c r="A281" s="91" t="s">
        <v>363</v>
      </c>
      <c r="B281" s="239">
        <f t="shared" ref="B281:C281" si="73">SUM(B279+B280)</f>
        <v>5</v>
      </c>
      <c r="C281" s="214">
        <f t="shared" si="73"/>
        <v>5</v>
      </c>
      <c r="D281" s="133"/>
      <c r="E281" s="134"/>
      <c r="F281" s="135"/>
      <c r="G281" s="136"/>
      <c r="H281" s="96"/>
      <c r="I281" s="96"/>
      <c r="J281" s="104"/>
      <c r="K281" s="75"/>
      <c r="L281" s="75"/>
      <c r="M281" s="75"/>
      <c r="N281" s="75"/>
      <c r="O281" s="96"/>
      <c r="P281" s="105"/>
      <c r="Q281" s="105"/>
      <c r="R281" s="96"/>
      <c r="S281" s="128"/>
      <c r="T281" s="137"/>
      <c r="U281" s="110"/>
      <c r="V281" s="100"/>
      <c r="W281" s="100"/>
      <c r="X281" s="100"/>
      <c r="Y281" s="110"/>
      <c r="Z281" s="110"/>
      <c r="AA281" s="100"/>
      <c r="AB281" s="109"/>
      <c r="AC281" s="109"/>
      <c r="AD281" s="109"/>
      <c r="AE281" s="108"/>
      <c r="AF281" s="109"/>
      <c r="AG281" s="108"/>
      <c r="AH281" s="111"/>
      <c r="AI281" s="100"/>
      <c r="AJ281" s="100"/>
      <c r="AK281" s="100"/>
      <c r="AL281" s="100"/>
      <c r="AM281" s="100"/>
      <c r="AN281" s="111"/>
      <c r="AO281" s="100"/>
      <c r="AP281" s="100"/>
      <c r="AQ281" s="111"/>
      <c r="AR281" s="100"/>
      <c r="AS281" s="100"/>
      <c r="AT281" s="111"/>
    </row>
    <row r="282" spans="1:46" ht="16.3">
      <c r="A282" s="91" t="s">
        <v>3</v>
      </c>
      <c r="B282" s="239">
        <f t="shared" ref="B282:B283" si="74">SUM(J282+K282+L282+M282+N282+S282+V282+W282+X282+AA282+AI282+AJ282+AI282+AM282+AP282+AQ282+AS282+AT282+AU282+AV282)</f>
        <v>0</v>
      </c>
      <c r="C282" s="214">
        <f t="shared" ref="C282:C283" si="75">SUM(J282+K282+L282+M282+N282+S282+W282+X282+V282+AA282+AJ282+AI282+AJ282+AN282+AQ282+AM282+AT282+AU282+AV282+AW282+AP282+AS282)</f>
        <v>0</v>
      </c>
      <c r="D282" s="133"/>
      <c r="E282" s="134"/>
      <c r="F282" s="135"/>
      <c r="G282" s="136"/>
      <c r="H282" s="96"/>
      <c r="I282" s="96"/>
      <c r="J282" s="104"/>
      <c r="K282" s="75"/>
      <c r="L282" s="75"/>
      <c r="M282" s="75"/>
      <c r="N282" s="75"/>
      <c r="O282" s="96"/>
      <c r="P282" s="105"/>
      <c r="Q282" s="105"/>
      <c r="R282" s="96"/>
      <c r="S282" s="128"/>
      <c r="T282" s="137"/>
      <c r="U282" s="110"/>
      <c r="V282" s="100"/>
      <c r="W282" s="100"/>
      <c r="X282" s="100"/>
      <c r="Y282" s="110"/>
      <c r="Z282" s="110"/>
      <c r="AA282" s="100"/>
      <c r="AB282" s="109"/>
      <c r="AC282" s="109"/>
      <c r="AD282" s="109"/>
      <c r="AE282" s="108"/>
      <c r="AF282" s="109"/>
      <c r="AG282" s="108"/>
      <c r="AH282" s="111"/>
      <c r="AI282" s="100"/>
      <c r="AJ282" s="100"/>
      <c r="AK282" s="100"/>
      <c r="AL282" s="100"/>
      <c r="AM282" s="100"/>
      <c r="AN282" s="111"/>
      <c r="AO282" s="100"/>
      <c r="AP282" s="100"/>
      <c r="AQ282" s="111"/>
      <c r="AR282" s="100"/>
      <c r="AS282" s="100"/>
      <c r="AT282" s="111"/>
    </row>
    <row r="283" spans="1:46" ht="17" thickBot="1">
      <c r="A283" s="92" t="s">
        <v>4</v>
      </c>
      <c r="B283" s="241">
        <f t="shared" si="74"/>
        <v>0</v>
      </c>
      <c r="C283" s="217">
        <f t="shared" si="75"/>
        <v>0</v>
      </c>
      <c r="D283" s="144"/>
      <c r="E283" s="145"/>
      <c r="F283" s="146"/>
      <c r="G283" s="147"/>
      <c r="H283" s="114"/>
      <c r="I283" s="114"/>
      <c r="J283" s="113"/>
      <c r="K283" s="112"/>
      <c r="L283" s="112"/>
      <c r="M283" s="112"/>
      <c r="N283" s="112"/>
      <c r="O283" s="114"/>
      <c r="P283" s="127"/>
      <c r="Q283" s="127"/>
      <c r="R283" s="114"/>
      <c r="S283" s="129"/>
      <c r="T283" s="148"/>
      <c r="U283" s="120"/>
      <c r="V283" s="116"/>
      <c r="W283" s="112"/>
      <c r="X283" s="100"/>
      <c r="Y283" s="110"/>
      <c r="Z283" s="110"/>
      <c r="AA283" s="100"/>
      <c r="AB283" s="109"/>
      <c r="AC283" s="109"/>
      <c r="AD283" s="109"/>
      <c r="AE283" s="108"/>
      <c r="AF283" s="109"/>
      <c r="AG283" s="108"/>
      <c r="AH283" s="111"/>
      <c r="AI283" s="100"/>
      <c r="AJ283" s="100"/>
      <c r="AK283" s="100"/>
      <c r="AL283" s="100"/>
      <c r="AM283" s="100"/>
      <c r="AN283" s="111"/>
      <c r="AO283" s="100"/>
      <c r="AP283" s="100"/>
      <c r="AQ283" s="111"/>
      <c r="AR283" s="100"/>
      <c r="AS283" s="100"/>
      <c r="AT283" s="111"/>
    </row>
    <row r="284" spans="1:46" ht="21.1">
      <c r="A284" s="82" t="s">
        <v>50</v>
      </c>
      <c r="B284" s="239"/>
      <c r="C284" s="214"/>
      <c r="D284" s="133"/>
      <c r="E284" s="134"/>
      <c r="F284" s="135"/>
      <c r="G284" s="136"/>
      <c r="H284" s="96" t="s">
        <v>339</v>
      </c>
      <c r="I284" s="96" t="s">
        <v>339</v>
      </c>
      <c r="J284" s="104" t="s">
        <v>339</v>
      </c>
      <c r="K284" s="75" t="s">
        <v>339</v>
      </c>
      <c r="L284" s="75" t="s">
        <v>339</v>
      </c>
      <c r="M284" s="75" t="s">
        <v>339</v>
      </c>
      <c r="N284" s="75" t="s">
        <v>339</v>
      </c>
      <c r="O284" s="96" t="s">
        <v>339</v>
      </c>
      <c r="P284" s="105"/>
      <c r="Q284" s="105"/>
      <c r="R284" s="96" t="s">
        <v>339</v>
      </c>
      <c r="S284" s="128" t="s">
        <v>339</v>
      </c>
      <c r="T284" s="137" t="s">
        <v>339</v>
      </c>
      <c r="U284" s="110" t="s">
        <v>339</v>
      </c>
      <c r="V284" s="100" t="s">
        <v>339</v>
      </c>
      <c r="W284" s="100" t="s">
        <v>339</v>
      </c>
      <c r="X284" s="102" t="s">
        <v>339</v>
      </c>
      <c r="Y284" s="101" t="s">
        <v>339</v>
      </c>
      <c r="Z284" s="101" t="s">
        <v>339</v>
      </c>
      <c r="AA284" s="102" t="s">
        <v>339</v>
      </c>
      <c r="AB284" s="99" t="s">
        <v>339</v>
      </c>
      <c r="AC284" s="99" t="s">
        <v>339</v>
      </c>
      <c r="AD284" s="99" t="s">
        <v>339</v>
      </c>
      <c r="AE284" s="98"/>
      <c r="AF284" s="99"/>
      <c r="AG284" s="98"/>
      <c r="AH284" s="103"/>
      <c r="AI284" s="102"/>
      <c r="AJ284" s="102"/>
      <c r="AK284" s="102"/>
      <c r="AL284" s="102"/>
      <c r="AM284" s="102"/>
      <c r="AN284" s="103"/>
      <c r="AO284" s="102"/>
      <c r="AP284" s="102"/>
      <c r="AQ284" s="103"/>
      <c r="AR284" s="102"/>
      <c r="AS284" s="102"/>
      <c r="AT284" s="103"/>
    </row>
    <row r="285" spans="1:46" ht="16.3">
      <c r="A285" s="246" t="s">
        <v>1</v>
      </c>
      <c r="B285" s="240">
        <f>SUM(J285+K285+L285+M285+N285+S285+V285+W285+X285+AA285+AI285+AJ285+AI285+AM285+AP285+AQ285+AS285+AT285+AU285+AV285+AN285)+20</f>
        <v>20</v>
      </c>
      <c r="C285" s="215">
        <f>SUM(J285+K285+L285+M285+N285+S285+W285+X285+V285+AA285+AJ285+AI285+AJ285+AN285+AQ285+AM285+AT285+AU285+AV285+AW285+AP285+AS285)+20</f>
        <v>20</v>
      </c>
      <c r="D285" s="139"/>
      <c r="E285" s="140"/>
      <c r="F285" s="135"/>
      <c r="G285" s="136"/>
      <c r="H285" s="96"/>
      <c r="I285" s="96"/>
      <c r="J285" s="104"/>
      <c r="K285" s="75"/>
      <c r="L285" s="75"/>
      <c r="M285" s="75"/>
      <c r="N285" s="75"/>
      <c r="O285" s="96"/>
      <c r="P285" s="105"/>
      <c r="Q285" s="105"/>
      <c r="R285" s="96"/>
      <c r="S285" s="128"/>
      <c r="T285" s="137"/>
      <c r="U285" s="110"/>
      <c r="V285" s="100"/>
      <c r="W285" s="100"/>
      <c r="X285" s="100"/>
      <c r="Y285" s="110"/>
      <c r="Z285" s="110"/>
      <c r="AA285" s="100"/>
      <c r="AB285" s="109"/>
      <c r="AC285" s="109"/>
      <c r="AD285" s="109"/>
      <c r="AE285" s="108"/>
      <c r="AF285" s="109"/>
      <c r="AG285" s="108"/>
      <c r="AH285" s="111"/>
      <c r="AI285" s="100"/>
      <c r="AJ285" s="100"/>
      <c r="AK285" s="100"/>
      <c r="AL285" s="100"/>
      <c r="AM285" s="100"/>
      <c r="AN285" s="111"/>
      <c r="AO285" s="100"/>
      <c r="AP285" s="100"/>
      <c r="AQ285" s="111"/>
      <c r="AR285" s="100"/>
      <c r="AS285" s="100"/>
      <c r="AT285" s="111"/>
    </row>
    <row r="286" spans="1:46" ht="16.3">
      <c r="A286" s="246" t="s">
        <v>2</v>
      </c>
      <c r="B286" s="240">
        <f>SUM(J286+K286+L286+M286+N286+S286+V286+W286+X286+AA286+AI286+AJ286+AI286+AM286+AP286+AQ286+AS286+AT286+AU286+AV286)+46</f>
        <v>46</v>
      </c>
      <c r="C286" s="215">
        <f>SUM(J286+K286+L286+M286+N286+S286+W286+X286+V286+AA286+AJ286+AI286+AJ286+AN286+AQ286+AM286+AT286+AU286+AV286+AW286+AP286+AS286)+46</f>
        <v>46</v>
      </c>
      <c r="D286" s="139"/>
      <c r="E286" s="140"/>
      <c r="F286" s="135"/>
      <c r="G286" s="136"/>
      <c r="H286" s="96"/>
      <c r="I286" s="96"/>
      <c r="J286" s="104"/>
      <c r="K286" s="75"/>
      <c r="L286" s="75"/>
      <c r="M286" s="75"/>
      <c r="N286" s="75"/>
      <c r="O286" s="96"/>
      <c r="P286" s="105"/>
      <c r="Q286" s="105"/>
      <c r="R286" s="96"/>
      <c r="S286" s="128"/>
      <c r="T286" s="137"/>
      <c r="U286" s="110"/>
      <c r="V286" s="100"/>
      <c r="W286" s="100"/>
      <c r="X286" s="100"/>
      <c r="Y286" s="110"/>
      <c r="Z286" s="110"/>
      <c r="AA286" s="100"/>
      <c r="AB286" s="109"/>
      <c r="AC286" s="109"/>
      <c r="AD286" s="109"/>
      <c r="AE286" s="108"/>
      <c r="AF286" s="109"/>
      <c r="AG286" s="108"/>
      <c r="AH286" s="111"/>
      <c r="AI286" s="100"/>
      <c r="AJ286" s="100"/>
      <c r="AK286" s="100"/>
      <c r="AL286" s="100"/>
      <c r="AM286" s="100"/>
      <c r="AN286" s="111"/>
      <c r="AO286" s="100"/>
      <c r="AP286" s="100"/>
      <c r="AQ286" s="111"/>
      <c r="AR286" s="100"/>
      <c r="AS286" s="100"/>
      <c r="AT286" s="111"/>
    </row>
    <row r="287" spans="1:46" ht="16.3">
      <c r="A287" s="91" t="s">
        <v>363</v>
      </c>
      <c r="B287" s="239">
        <f t="shared" ref="B287:C287" si="76">SUM(B285+B286)</f>
        <v>66</v>
      </c>
      <c r="C287" s="214">
        <f t="shared" si="76"/>
        <v>66</v>
      </c>
      <c r="D287" s="133"/>
      <c r="E287" s="134"/>
      <c r="F287" s="135"/>
      <c r="G287" s="136"/>
      <c r="H287" s="96"/>
      <c r="I287" s="96"/>
      <c r="J287" s="104"/>
      <c r="K287" s="75"/>
      <c r="L287" s="75"/>
      <c r="M287" s="75"/>
      <c r="N287" s="75"/>
      <c r="O287" s="96"/>
      <c r="P287" s="105"/>
      <c r="Q287" s="105"/>
      <c r="R287" s="96"/>
      <c r="S287" s="128"/>
      <c r="T287" s="137"/>
      <c r="U287" s="110"/>
      <c r="V287" s="100"/>
      <c r="W287" s="100"/>
      <c r="X287" s="100"/>
      <c r="Y287" s="110"/>
      <c r="Z287" s="110"/>
      <c r="AA287" s="100"/>
      <c r="AB287" s="109"/>
      <c r="AC287" s="109"/>
      <c r="AD287" s="109"/>
      <c r="AE287" s="108"/>
      <c r="AF287" s="109"/>
      <c r="AG287" s="108"/>
      <c r="AH287" s="111"/>
      <c r="AI287" s="100"/>
      <c r="AJ287" s="100"/>
      <c r="AK287" s="100"/>
      <c r="AL287" s="100"/>
      <c r="AM287" s="100"/>
      <c r="AN287" s="111"/>
      <c r="AO287" s="100"/>
      <c r="AP287" s="100"/>
      <c r="AQ287" s="111"/>
      <c r="AR287" s="100"/>
      <c r="AS287" s="100"/>
      <c r="AT287" s="111"/>
    </row>
    <row r="288" spans="1:46" ht="16.3">
      <c r="A288" s="91" t="s">
        <v>3</v>
      </c>
      <c r="B288" s="239">
        <f>SUM(J288+K288+L288+M288+N288+S288+V288+W288+X288+AA288+AI288+AJ288+AI288+AM288+AP288+AQ288+AS288+AT288+AU288+AV288)+8</f>
        <v>8</v>
      </c>
      <c r="C288" s="214">
        <f>SUM(J288+K288+L288+M288+N288+S288+W288+X288+V288+AA288+AJ288+AI288+AJ288+AN288+AQ288+AM288+AT288+AU288+AV288+AW288+AP288+AS288)+8</f>
        <v>8</v>
      </c>
      <c r="D288" s="133"/>
      <c r="E288" s="134"/>
      <c r="F288" s="135"/>
      <c r="G288" s="136"/>
      <c r="H288" s="96"/>
      <c r="I288" s="96"/>
      <c r="J288" s="104"/>
      <c r="K288" s="75"/>
      <c r="L288" s="75"/>
      <c r="M288" s="75"/>
      <c r="N288" s="75"/>
      <c r="O288" s="96"/>
      <c r="P288" s="105"/>
      <c r="Q288" s="105"/>
      <c r="R288" s="96"/>
      <c r="S288" s="128"/>
      <c r="T288" s="137"/>
      <c r="U288" s="110"/>
      <c r="V288" s="100"/>
      <c r="W288" s="100"/>
      <c r="X288" s="100"/>
      <c r="Y288" s="110"/>
      <c r="Z288" s="110"/>
      <c r="AA288" s="100"/>
      <c r="AB288" s="109"/>
      <c r="AC288" s="109"/>
      <c r="AD288" s="109"/>
      <c r="AE288" s="108"/>
      <c r="AF288" s="109"/>
      <c r="AG288" s="108"/>
      <c r="AH288" s="111"/>
      <c r="AI288" s="100"/>
      <c r="AJ288" s="100"/>
      <c r="AK288" s="100"/>
      <c r="AL288" s="100"/>
      <c r="AM288" s="100"/>
      <c r="AN288" s="111"/>
      <c r="AO288" s="100"/>
      <c r="AP288" s="100"/>
      <c r="AQ288" s="111"/>
      <c r="AR288" s="100"/>
      <c r="AS288" s="100"/>
      <c r="AT288" s="111"/>
    </row>
    <row r="289" spans="1:46" ht="17" thickBot="1">
      <c r="A289" s="92" t="s">
        <v>4</v>
      </c>
      <c r="B289" s="241">
        <f>SUM(J289+K289+L289+M289+N289+S289+V289+W289+X289+AA289+AI289+AJ289+AI289+AM289+AP289+AQ289+AS289+AT289+AU289+AV289)+40</f>
        <v>40</v>
      </c>
      <c r="C289" s="217">
        <f>SUM(J289+K289+L289+M289+N289+S289+W289+X289+V289+AA289+AJ289+AI289+AJ289+AN289+AQ289+AM289+AT289+AU289+AV289+AW289+AP289+AS289)+40</f>
        <v>40</v>
      </c>
      <c r="D289" s="144"/>
      <c r="E289" s="145"/>
      <c r="F289" s="146"/>
      <c r="G289" s="147"/>
      <c r="H289" s="114"/>
      <c r="I289" s="114"/>
      <c r="J289" s="113"/>
      <c r="K289" s="112"/>
      <c r="L289" s="112"/>
      <c r="M289" s="112"/>
      <c r="N289" s="112"/>
      <c r="O289" s="114"/>
      <c r="P289" s="127"/>
      <c r="Q289" s="127"/>
      <c r="R289" s="114"/>
      <c r="S289" s="129"/>
      <c r="T289" s="148"/>
      <c r="U289" s="120"/>
      <c r="V289" s="112"/>
      <c r="W289" s="100"/>
      <c r="X289" s="100"/>
      <c r="Y289" s="110"/>
      <c r="Z289" s="110"/>
      <c r="AA289" s="100"/>
      <c r="AB289" s="109"/>
      <c r="AC289" s="109"/>
      <c r="AD289" s="109"/>
      <c r="AE289" s="108"/>
      <c r="AF289" s="109"/>
      <c r="AG289" s="108"/>
      <c r="AH289" s="111"/>
      <c r="AI289" s="100"/>
      <c r="AJ289" s="100"/>
      <c r="AK289" s="100"/>
      <c r="AL289" s="100"/>
      <c r="AM289" s="100"/>
      <c r="AN289" s="111"/>
      <c r="AO289" s="100"/>
      <c r="AP289" s="116"/>
      <c r="AQ289" s="121"/>
      <c r="AR289" s="116"/>
      <c r="AS289" s="112"/>
      <c r="AT289" s="111"/>
    </row>
    <row r="290" spans="1:46" ht="21.1">
      <c r="A290" s="82" t="s">
        <v>115</v>
      </c>
      <c r="B290" s="239"/>
      <c r="C290" s="214"/>
      <c r="D290" s="133"/>
      <c r="E290" s="134"/>
      <c r="F290" s="135"/>
      <c r="G290" s="136"/>
      <c r="H290" s="96" t="s">
        <v>371</v>
      </c>
      <c r="I290" s="96"/>
      <c r="J290" s="104" t="s">
        <v>375</v>
      </c>
      <c r="K290" s="75" t="s">
        <v>375</v>
      </c>
      <c r="L290" s="75" t="s">
        <v>375</v>
      </c>
      <c r="M290" s="75" t="s">
        <v>375</v>
      </c>
      <c r="N290" s="75" t="s">
        <v>375</v>
      </c>
      <c r="O290" s="96"/>
      <c r="P290" s="105"/>
      <c r="Q290" s="105"/>
      <c r="R290" s="96" t="s">
        <v>371</v>
      </c>
      <c r="S290" s="128" t="s">
        <v>371</v>
      </c>
      <c r="T290" s="137" t="s">
        <v>375</v>
      </c>
      <c r="U290" s="110" t="s">
        <v>375</v>
      </c>
      <c r="V290" s="100" t="s">
        <v>375</v>
      </c>
      <c r="W290" s="102" t="s">
        <v>371</v>
      </c>
      <c r="X290" s="102" t="s">
        <v>375</v>
      </c>
      <c r="Y290" s="101" t="s">
        <v>375</v>
      </c>
      <c r="Z290" s="101" t="s">
        <v>375</v>
      </c>
      <c r="AA290" s="102" t="s">
        <v>393</v>
      </c>
      <c r="AB290" s="99" t="s">
        <v>1001</v>
      </c>
      <c r="AC290" s="99" t="s">
        <v>654</v>
      </c>
      <c r="AD290" s="99"/>
      <c r="AE290" s="98"/>
      <c r="AF290" s="99" t="s">
        <v>375</v>
      </c>
      <c r="AG290" s="98"/>
      <c r="AH290" s="103"/>
      <c r="AI290" s="102"/>
      <c r="AJ290" s="102"/>
      <c r="AK290" s="102"/>
      <c r="AL290" s="102"/>
      <c r="AM290" s="102"/>
      <c r="AN290" s="103"/>
      <c r="AO290" s="102"/>
      <c r="AP290" s="100"/>
      <c r="AQ290" s="111"/>
      <c r="AR290" s="100"/>
      <c r="AS290" s="100"/>
      <c r="AT290" s="103"/>
    </row>
    <row r="291" spans="1:46" ht="16.3">
      <c r="A291" s="246" t="s">
        <v>1</v>
      </c>
      <c r="B291" s="240">
        <f>SUM(J291+K291+L291+M291+N291+S291+V291+W291+X291+AA291+AI291+AJ291+AI291+AM291+AP291+AQ291+AS291+AT291+AU291+AV291+AN291)+63</f>
        <v>65</v>
      </c>
      <c r="C291" s="215">
        <f>SUM(J291+K291+L291+M291+N291+S291+W291+X291+V291+AA291+AJ291+AI291+AJ291+AN291+AQ291+AM291+AT291+AU291+AV291+AW291+AP291+AS291)+78</f>
        <v>80</v>
      </c>
      <c r="D291" s="139"/>
      <c r="E291" s="140"/>
      <c r="F291" s="135"/>
      <c r="G291" s="136"/>
      <c r="H291" s="96">
        <v>1</v>
      </c>
      <c r="I291" s="96"/>
      <c r="J291" s="104"/>
      <c r="K291" s="75"/>
      <c r="L291" s="75"/>
      <c r="M291" s="75"/>
      <c r="N291" s="75"/>
      <c r="O291" s="96"/>
      <c r="P291" s="105"/>
      <c r="Q291" s="105"/>
      <c r="R291" s="96">
        <v>1</v>
      </c>
      <c r="S291" s="128">
        <v>1</v>
      </c>
      <c r="T291" s="137"/>
      <c r="U291" s="110"/>
      <c r="V291" s="100"/>
      <c r="W291" s="100">
        <v>1</v>
      </c>
      <c r="X291" s="100"/>
      <c r="Y291" s="110"/>
      <c r="Z291" s="110"/>
      <c r="AA291" s="100"/>
      <c r="AB291" s="109">
        <v>1</v>
      </c>
      <c r="AC291" s="109">
        <v>1</v>
      </c>
      <c r="AD291" s="109"/>
      <c r="AE291" s="108"/>
      <c r="AF291" s="109"/>
      <c r="AG291" s="108"/>
      <c r="AH291" s="111"/>
      <c r="AI291" s="100"/>
      <c r="AJ291" s="100"/>
      <c r="AK291" s="100"/>
      <c r="AL291" s="100"/>
      <c r="AM291" s="100"/>
      <c r="AN291" s="111"/>
      <c r="AO291" s="100"/>
      <c r="AP291" s="100"/>
      <c r="AQ291" s="111"/>
      <c r="AR291" s="100"/>
      <c r="AS291" s="100"/>
      <c r="AT291" s="111"/>
    </row>
    <row r="292" spans="1:46" ht="16.3">
      <c r="A292" s="246" t="s">
        <v>2</v>
      </c>
      <c r="B292" s="240">
        <f>SUM(J292+K292+L292+M292+N292+S292+V292+W292+X292+AA292+AI292+AJ292+AI292+AM292+AP292+AQ292+AS292+AT292+AU292+AV292)+36</f>
        <v>43</v>
      </c>
      <c r="C292" s="215">
        <f>SUM(J292+K292+L292+M292+N292+S292+W292+X292+V292+AA292+AJ292+AI292+AJ292+AN292+AQ292+AM292+AT292+AU292+AV292+AW292+AP292+AS292)+64</f>
        <v>71</v>
      </c>
      <c r="D292" s="139"/>
      <c r="E292" s="140"/>
      <c r="F292" s="135"/>
      <c r="G292" s="136"/>
      <c r="H292" s="96"/>
      <c r="I292" s="96"/>
      <c r="J292" s="104">
        <v>1</v>
      </c>
      <c r="K292" s="75">
        <v>1</v>
      </c>
      <c r="L292" s="75">
        <v>1</v>
      </c>
      <c r="M292" s="75">
        <v>1</v>
      </c>
      <c r="N292" s="75">
        <v>1</v>
      </c>
      <c r="O292" s="96"/>
      <c r="P292" s="105"/>
      <c r="Q292" s="105"/>
      <c r="R292" s="96"/>
      <c r="S292" s="128"/>
      <c r="T292" s="137">
        <v>1</v>
      </c>
      <c r="U292" s="110">
        <v>1</v>
      </c>
      <c r="V292" s="100">
        <v>1</v>
      </c>
      <c r="W292" s="100"/>
      <c r="X292" s="100">
        <v>1</v>
      </c>
      <c r="Y292" s="110">
        <v>1</v>
      </c>
      <c r="Z292" s="110">
        <v>1</v>
      </c>
      <c r="AA292" s="100"/>
      <c r="AB292" s="109"/>
      <c r="AC292" s="109"/>
      <c r="AD292" s="109"/>
      <c r="AE292" s="108"/>
      <c r="AF292" s="109">
        <v>1</v>
      </c>
      <c r="AG292" s="108"/>
      <c r="AH292" s="111"/>
      <c r="AI292" s="100"/>
      <c r="AJ292" s="100"/>
      <c r="AK292" s="100"/>
      <c r="AL292" s="100"/>
      <c r="AM292" s="100"/>
      <c r="AN292" s="111"/>
      <c r="AO292" s="100"/>
      <c r="AP292" s="100"/>
      <c r="AQ292" s="111"/>
      <c r="AR292" s="100"/>
      <c r="AS292" s="100"/>
      <c r="AT292" s="111"/>
    </row>
    <row r="293" spans="1:46" ht="16.3">
      <c r="A293" s="91" t="s">
        <v>363</v>
      </c>
      <c r="B293" s="239">
        <f t="shared" ref="B293" si="77">SUM(B291+B292)</f>
        <v>108</v>
      </c>
      <c r="C293" s="214">
        <f t="shared" ref="C293" si="78">SUM(C291+C292)</f>
        <v>151</v>
      </c>
      <c r="D293" s="133"/>
      <c r="E293" s="134"/>
      <c r="F293" s="135"/>
      <c r="G293" s="136"/>
      <c r="H293" s="96"/>
      <c r="I293" s="96"/>
      <c r="J293" s="104"/>
      <c r="K293" s="75"/>
      <c r="L293" s="75"/>
      <c r="M293" s="75"/>
      <c r="N293" s="75"/>
      <c r="O293" s="96"/>
      <c r="P293" s="105"/>
      <c r="Q293" s="105"/>
      <c r="R293" s="96"/>
      <c r="S293" s="128"/>
      <c r="T293" s="137"/>
      <c r="U293" s="110"/>
      <c r="V293" s="100"/>
      <c r="W293" s="100"/>
      <c r="X293" s="100"/>
      <c r="Y293" s="110"/>
      <c r="Z293" s="110"/>
      <c r="AA293" s="100"/>
      <c r="AB293" s="109"/>
      <c r="AC293" s="109"/>
      <c r="AD293" s="109"/>
      <c r="AE293" s="108"/>
      <c r="AF293" s="109"/>
      <c r="AG293" s="108"/>
      <c r="AH293" s="111"/>
      <c r="AI293" s="100"/>
      <c r="AJ293" s="100"/>
      <c r="AK293" s="100"/>
      <c r="AL293" s="100"/>
      <c r="AM293" s="100"/>
      <c r="AN293" s="111"/>
      <c r="AO293" s="100"/>
      <c r="AP293" s="100"/>
      <c r="AQ293" s="111"/>
      <c r="AR293" s="100"/>
      <c r="AS293" s="100"/>
      <c r="AT293" s="111"/>
    </row>
    <row r="294" spans="1:46" ht="16.3">
      <c r="A294" s="246" t="s">
        <v>366</v>
      </c>
      <c r="B294" s="240">
        <f>SUM(J294+K294+L294+M294+N294+S294+V294+W294+X294+AA294+AI294+AJ294+AI294+AM294+AP294+AQ294+AS294+AT294+AU294+AV294)+1</f>
        <v>1</v>
      </c>
      <c r="C294" s="215">
        <f>SUM(J294+K294+L294+M294+N294+S294+W294+X294+V294+AA294+AJ294+AI294+AJ294+AN294+AQ294+AM294+AT294+AU294+AV294+AW294+AP294+AS294)+2</f>
        <v>2</v>
      </c>
      <c r="D294" s="133"/>
      <c r="E294" s="134"/>
      <c r="F294" s="135"/>
      <c r="G294" s="136"/>
      <c r="H294" s="96"/>
      <c r="I294" s="96"/>
      <c r="J294" s="104"/>
      <c r="K294" s="75"/>
      <c r="L294" s="75"/>
      <c r="M294" s="75"/>
      <c r="N294" s="75"/>
      <c r="O294" s="96"/>
      <c r="P294" s="105"/>
      <c r="Q294" s="105"/>
      <c r="R294" s="96"/>
      <c r="S294" s="128"/>
      <c r="T294" s="137"/>
      <c r="U294" s="110"/>
      <c r="V294" s="100"/>
      <c r="W294" s="100"/>
      <c r="X294" s="100"/>
      <c r="Y294" s="110"/>
      <c r="Z294" s="110"/>
      <c r="AA294" s="100"/>
      <c r="AB294" s="109">
        <v>1</v>
      </c>
      <c r="AC294" s="109">
        <v>1</v>
      </c>
      <c r="AD294" s="109"/>
      <c r="AE294" s="108"/>
      <c r="AF294" s="109"/>
      <c r="AG294" s="108"/>
      <c r="AH294" s="111"/>
      <c r="AI294" s="100"/>
      <c r="AJ294" s="100"/>
      <c r="AK294" s="100"/>
      <c r="AL294" s="100"/>
      <c r="AM294" s="100"/>
      <c r="AN294" s="111"/>
      <c r="AO294" s="100"/>
      <c r="AP294" s="100"/>
      <c r="AQ294" s="111"/>
      <c r="AR294" s="100"/>
      <c r="AS294" s="100"/>
      <c r="AT294" s="111"/>
    </row>
    <row r="295" spans="1:46" ht="16.3">
      <c r="A295" s="246" t="s">
        <v>362</v>
      </c>
      <c r="B295" s="240">
        <f>SUM(J295+K295+L295+M295+N295+S295+V295+W295+X295+AA295+AI295+AJ295+AI295+AM295+AP295+AQ295+AS295+AT295+AU295+AV295)+4</f>
        <v>4</v>
      </c>
      <c r="C295" s="215">
        <f>SUM(J295+K295+L295+M295+N295+S295+W295+X295+V295+AA295+AJ295+AI295+AJ295+AN295+AQ295+AM295+AT295+AU295+AV295+AW295+AP295+AS295)+4</f>
        <v>4</v>
      </c>
      <c r="D295" s="139"/>
      <c r="E295" s="140"/>
      <c r="F295" s="135"/>
      <c r="G295" s="136"/>
      <c r="H295" s="96"/>
      <c r="I295" s="96"/>
      <c r="J295" s="104"/>
      <c r="K295" s="75"/>
      <c r="L295" s="75"/>
      <c r="M295" s="75"/>
      <c r="N295" s="75"/>
      <c r="O295" s="96"/>
      <c r="P295" s="105"/>
      <c r="Q295" s="105"/>
      <c r="R295" s="96"/>
      <c r="S295" s="128"/>
      <c r="T295" s="137"/>
      <c r="U295" s="110"/>
      <c r="V295" s="100"/>
      <c r="W295" s="100"/>
      <c r="X295" s="100"/>
      <c r="Y295" s="110"/>
      <c r="Z295" s="110"/>
      <c r="AA295" s="100"/>
      <c r="AB295" s="109"/>
      <c r="AC295" s="109"/>
      <c r="AD295" s="109"/>
      <c r="AE295" s="108"/>
      <c r="AF295" s="109"/>
      <c r="AG295" s="108"/>
      <c r="AH295" s="111"/>
      <c r="AI295" s="100"/>
      <c r="AJ295" s="100"/>
      <c r="AK295" s="100"/>
      <c r="AL295" s="100"/>
      <c r="AM295" s="100"/>
      <c r="AN295" s="111"/>
      <c r="AO295" s="100"/>
      <c r="AP295" s="100"/>
      <c r="AQ295" s="111"/>
      <c r="AR295" s="100"/>
      <c r="AS295" s="100"/>
      <c r="AT295" s="111"/>
    </row>
    <row r="296" spans="1:46" ht="16.3">
      <c r="A296" s="91" t="s">
        <v>3</v>
      </c>
      <c r="B296" s="239">
        <f>SUM(J296+K296+L296+M296+N296+S296+V296+W296+X296+AA296+AI296+AJ296+AI296+AM296+AP296+AQ296+AS296+AT296+AU296+AV296)+39</f>
        <v>39</v>
      </c>
      <c r="C296" s="214">
        <f>SUM(J296+K296+L296+M296+N296+S296+W296+X296+V296+AA296+AJ296+AI296+AJ296+AN296+AQ296+AM296+AT296+AU296+AV296+AW296+AP296+AS296)+44</f>
        <v>44</v>
      </c>
      <c r="D296" s="133"/>
      <c r="E296" s="134"/>
      <c r="F296" s="135"/>
      <c r="G296" s="136"/>
      <c r="H296" s="96"/>
      <c r="I296" s="96"/>
      <c r="J296" s="104"/>
      <c r="K296" s="75"/>
      <c r="L296" s="75"/>
      <c r="M296" s="75"/>
      <c r="N296" s="75"/>
      <c r="O296" s="96"/>
      <c r="P296" s="105"/>
      <c r="Q296" s="105"/>
      <c r="R296" s="96"/>
      <c r="S296" s="128"/>
      <c r="T296" s="137"/>
      <c r="U296" s="110"/>
      <c r="V296" s="100"/>
      <c r="W296" s="100"/>
      <c r="X296" s="100"/>
      <c r="Y296" s="110"/>
      <c r="Z296" s="110"/>
      <c r="AA296" s="100"/>
      <c r="AB296" s="109"/>
      <c r="AC296" s="109"/>
      <c r="AD296" s="109"/>
      <c r="AE296" s="108"/>
      <c r="AF296" s="109"/>
      <c r="AG296" s="108"/>
      <c r="AH296" s="111"/>
      <c r="AI296" s="100"/>
      <c r="AJ296" s="100"/>
      <c r="AK296" s="100"/>
      <c r="AL296" s="100"/>
      <c r="AM296" s="100"/>
      <c r="AN296" s="111"/>
      <c r="AO296" s="100"/>
      <c r="AP296" s="100"/>
      <c r="AQ296" s="111"/>
      <c r="AR296" s="100"/>
      <c r="AS296" s="100"/>
      <c r="AT296" s="111"/>
    </row>
    <row r="297" spans="1:46" ht="17" thickBot="1">
      <c r="A297" s="92" t="s">
        <v>4</v>
      </c>
      <c r="B297" s="241">
        <f>SUM(J297+K297+L297+M297+N297+S297+V297+W297+X297+AA297+AI297+AJ297+AI297+AM297+AP297+AQ297+AS297+AT297+AU297+AV297)+195</f>
        <v>195</v>
      </c>
      <c r="C297" s="217">
        <f>SUM(J297+K297+L297+M297+N297+S297+W297+X297+V297+AA297+AJ297+AI297+AJ297+AN297+AQ297+AM297+AT297+AU297+AV297+AW297+AP297+AS297)+220</f>
        <v>220</v>
      </c>
      <c r="D297" s="144"/>
      <c r="E297" s="145"/>
      <c r="F297" s="146"/>
      <c r="G297" s="147"/>
      <c r="H297" s="114"/>
      <c r="I297" s="114"/>
      <c r="J297" s="113"/>
      <c r="K297" s="112"/>
      <c r="L297" s="112"/>
      <c r="M297" s="112"/>
      <c r="N297" s="112"/>
      <c r="O297" s="114"/>
      <c r="P297" s="127"/>
      <c r="Q297" s="127"/>
      <c r="R297" s="114"/>
      <c r="S297" s="129"/>
      <c r="T297" s="148"/>
      <c r="U297" s="120"/>
      <c r="V297" s="112"/>
      <c r="W297" s="116"/>
      <c r="X297" s="116"/>
      <c r="Y297" s="120"/>
      <c r="Z297" s="120"/>
      <c r="AA297" s="116"/>
      <c r="AB297" s="118"/>
      <c r="AC297" s="118"/>
      <c r="AD297" s="118"/>
      <c r="AE297" s="117"/>
      <c r="AF297" s="118"/>
      <c r="AG297" s="117"/>
      <c r="AH297" s="121"/>
      <c r="AI297" s="116"/>
      <c r="AJ297" s="116"/>
      <c r="AK297" s="116"/>
      <c r="AL297" s="116"/>
      <c r="AM297" s="116"/>
      <c r="AN297" s="121"/>
      <c r="AO297" s="116"/>
      <c r="AP297" s="116"/>
      <c r="AQ297" s="121"/>
      <c r="AR297" s="116"/>
      <c r="AS297" s="116"/>
      <c r="AT297" s="121"/>
    </row>
    <row r="298" spans="1:46" ht="21.1">
      <c r="A298" s="86" t="s">
        <v>275</v>
      </c>
      <c r="B298" s="239"/>
      <c r="C298" s="214"/>
      <c r="D298" s="133"/>
      <c r="E298" s="134"/>
      <c r="F298" s="135"/>
      <c r="G298" s="136"/>
      <c r="H298" s="96" t="s">
        <v>501</v>
      </c>
      <c r="I298" s="96" t="s">
        <v>371</v>
      </c>
      <c r="J298" s="104">
        <v>2</v>
      </c>
      <c r="K298" s="75" t="s">
        <v>371</v>
      </c>
      <c r="L298" s="75" t="s">
        <v>371</v>
      </c>
      <c r="M298" s="75" t="s">
        <v>371</v>
      </c>
      <c r="N298" s="75" t="s">
        <v>371</v>
      </c>
      <c r="O298" s="96" t="s">
        <v>375</v>
      </c>
      <c r="P298" s="105"/>
      <c r="Q298" s="105"/>
      <c r="R298" s="96"/>
      <c r="S298" s="128"/>
      <c r="T298" s="137" t="s">
        <v>371</v>
      </c>
      <c r="U298" s="110" t="s">
        <v>371</v>
      </c>
      <c r="V298" s="100" t="s">
        <v>371</v>
      </c>
      <c r="W298" s="100" t="s">
        <v>375</v>
      </c>
      <c r="X298" s="100" t="s">
        <v>371</v>
      </c>
      <c r="Y298" s="110" t="s">
        <v>371</v>
      </c>
      <c r="Z298" s="110" t="s">
        <v>371</v>
      </c>
      <c r="AA298" s="100" t="s">
        <v>968</v>
      </c>
      <c r="AB298" s="109"/>
      <c r="AC298" s="109"/>
      <c r="AD298" s="109"/>
      <c r="AE298" s="108"/>
      <c r="AF298" s="109">
        <v>2</v>
      </c>
      <c r="AG298" s="108"/>
      <c r="AH298" s="111"/>
      <c r="AI298" s="100"/>
      <c r="AJ298" s="100"/>
      <c r="AK298" s="100"/>
      <c r="AL298" s="100"/>
      <c r="AM298" s="100"/>
      <c r="AN298" s="111"/>
      <c r="AO298" s="100"/>
      <c r="AP298" s="100"/>
      <c r="AQ298" s="111"/>
      <c r="AR298" s="100"/>
      <c r="AS298" s="100"/>
      <c r="AT298" s="111"/>
    </row>
    <row r="299" spans="1:46" ht="16.3">
      <c r="A299" s="246" t="s">
        <v>1</v>
      </c>
      <c r="B299" s="240">
        <f>SUM(J299+K299+L299+M299+N299+S299+V299+W299+X299+AA299+AI299+AJ299+AI299+AM299+AP299+AQ299+AS299+AT299+AU299+AV299+AN299)+27</f>
        <v>35</v>
      </c>
      <c r="C299" s="215">
        <f>SUM(J299+K299+L299+M299+N299+S299+W299+X299+V299+AA299+AJ299+AI299+AJ299+AN299+AQ299+AM299+AT299+AU299+AV299+AW299+AP299+AS299)+51</f>
        <v>59</v>
      </c>
      <c r="D299" s="139"/>
      <c r="E299" s="140"/>
      <c r="F299" s="135"/>
      <c r="G299" s="136"/>
      <c r="H299" s="96"/>
      <c r="I299" s="96">
        <v>1</v>
      </c>
      <c r="J299" s="104">
        <v>1</v>
      </c>
      <c r="K299" s="75">
        <v>1</v>
      </c>
      <c r="L299" s="75">
        <v>1</v>
      </c>
      <c r="M299" s="75">
        <v>1</v>
      </c>
      <c r="N299" s="75">
        <v>1</v>
      </c>
      <c r="O299" s="96"/>
      <c r="P299" s="105"/>
      <c r="Q299" s="105"/>
      <c r="R299" s="96"/>
      <c r="S299" s="128"/>
      <c r="T299" s="137">
        <v>1</v>
      </c>
      <c r="U299" s="110">
        <v>1</v>
      </c>
      <c r="V299" s="100">
        <v>1</v>
      </c>
      <c r="W299" s="100"/>
      <c r="X299" s="100">
        <v>1</v>
      </c>
      <c r="Y299" s="110">
        <v>1</v>
      </c>
      <c r="Z299" s="110">
        <v>1</v>
      </c>
      <c r="AA299" s="100">
        <v>1</v>
      </c>
      <c r="AB299" s="109"/>
      <c r="AC299" s="109"/>
      <c r="AD299" s="109"/>
      <c r="AE299" s="108"/>
      <c r="AF299" s="109">
        <v>1</v>
      </c>
      <c r="AG299" s="108"/>
      <c r="AH299" s="111"/>
      <c r="AI299" s="100"/>
      <c r="AJ299" s="100"/>
      <c r="AK299" s="100"/>
      <c r="AL299" s="100"/>
      <c r="AM299" s="100"/>
      <c r="AN299" s="111"/>
      <c r="AO299" s="100"/>
      <c r="AP299" s="100"/>
      <c r="AQ299" s="111"/>
      <c r="AR299" s="100"/>
      <c r="AS299" s="100"/>
      <c r="AT299" s="111"/>
    </row>
    <row r="300" spans="1:46" ht="16.3">
      <c r="A300" s="246" t="s">
        <v>2</v>
      </c>
      <c r="B300" s="240">
        <f>SUM(J300+K300+L300+M300+N300+S300+V300+W300+X300+AA300+AI300+AJ300+AI300+AM300+AP300+AQ300+AS300+AT300+AU300+AV300)+5</f>
        <v>6</v>
      </c>
      <c r="C300" s="215">
        <f>SUM(J300+K300+L300+M300+N300+S300+W300+X300+V300+AA300+AJ300+AI300+AJ300+AN300+AQ300+AM300+AT300+AU300+AV300+AW300+AP300+AS300)+35</f>
        <v>36</v>
      </c>
      <c r="D300" s="139"/>
      <c r="E300" s="140"/>
      <c r="F300" s="135"/>
      <c r="G300" s="136"/>
      <c r="H300" s="96"/>
      <c r="I300" s="96"/>
      <c r="J300" s="104"/>
      <c r="K300" s="75"/>
      <c r="L300" s="75"/>
      <c r="M300" s="75"/>
      <c r="N300" s="75"/>
      <c r="O300" s="96">
        <v>1</v>
      </c>
      <c r="P300" s="105"/>
      <c r="Q300" s="105"/>
      <c r="R300" s="96"/>
      <c r="S300" s="128"/>
      <c r="T300" s="137"/>
      <c r="U300" s="110"/>
      <c r="V300" s="100"/>
      <c r="W300" s="100">
        <v>1</v>
      </c>
      <c r="X300" s="100"/>
      <c r="Y300" s="110"/>
      <c r="Z300" s="110"/>
      <c r="AA300" s="100"/>
      <c r="AB300" s="109"/>
      <c r="AC300" s="109"/>
      <c r="AD300" s="109"/>
      <c r="AE300" s="108"/>
      <c r="AF300" s="109"/>
      <c r="AG300" s="108"/>
      <c r="AH300" s="111"/>
      <c r="AI300" s="100"/>
      <c r="AJ300" s="100"/>
      <c r="AK300" s="100"/>
      <c r="AL300" s="100"/>
      <c r="AM300" s="100"/>
      <c r="AN300" s="111"/>
      <c r="AO300" s="100"/>
      <c r="AP300" s="100"/>
      <c r="AQ300" s="111"/>
      <c r="AR300" s="100"/>
      <c r="AS300" s="100"/>
      <c r="AT300" s="111"/>
    </row>
    <row r="301" spans="1:46" ht="16.3">
      <c r="A301" s="91" t="s">
        <v>363</v>
      </c>
      <c r="B301" s="239">
        <f>SUM(B299+B300)</f>
        <v>41</v>
      </c>
      <c r="C301" s="214">
        <f>SUM(C299+C300)</f>
        <v>95</v>
      </c>
      <c r="D301" s="133"/>
      <c r="E301" s="134"/>
      <c r="F301" s="135"/>
      <c r="G301" s="136"/>
      <c r="H301" s="96"/>
      <c r="I301" s="96"/>
      <c r="J301" s="104"/>
      <c r="K301" s="75"/>
      <c r="L301" s="75"/>
      <c r="M301" s="75"/>
      <c r="N301" s="75"/>
      <c r="O301" s="96"/>
      <c r="P301" s="105"/>
      <c r="Q301" s="105"/>
      <c r="R301" s="96"/>
      <c r="S301" s="128"/>
      <c r="T301" s="137"/>
      <c r="U301" s="110"/>
      <c r="V301" s="100"/>
      <c r="W301" s="100"/>
      <c r="X301" s="100"/>
      <c r="Y301" s="110"/>
      <c r="Z301" s="110"/>
      <c r="AA301" s="100"/>
      <c r="AB301" s="109"/>
      <c r="AC301" s="109"/>
      <c r="AD301" s="109"/>
      <c r="AE301" s="108"/>
      <c r="AF301" s="109"/>
      <c r="AG301" s="108"/>
      <c r="AH301" s="111"/>
      <c r="AI301" s="100"/>
      <c r="AJ301" s="100"/>
      <c r="AK301" s="100"/>
      <c r="AL301" s="100"/>
      <c r="AM301" s="100"/>
      <c r="AN301" s="111"/>
      <c r="AO301" s="100"/>
      <c r="AP301" s="100"/>
      <c r="AQ301" s="111"/>
      <c r="AR301" s="100"/>
      <c r="AS301" s="100"/>
      <c r="AT301" s="111"/>
    </row>
    <row r="302" spans="1:46" ht="16.3">
      <c r="A302" s="246" t="s">
        <v>362</v>
      </c>
      <c r="B302" s="240">
        <f>SUM(J302+K302+L302+M302+N302+S302+V302+W302+X302+AA302+AI302+AJ302+AI302+AM302+AP302+AQ302+AS302+AT302+AU302+AV302)+1</f>
        <v>1</v>
      </c>
      <c r="C302" s="215">
        <f>SUM(J302+K302+L302+M302+N302+S302+W302+X302+V302+AA302+AJ302+AI302+AJ302+AN302+AQ302+AM302+AT302+AU302+AV302+AW302+AP302+AS302)+4</f>
        <v>4</v>
      </c>
      <c r="D302" s="133"/>
      <c r="E302" s="134"/>
      <c r="F302" s="135"/>
      <c r="G302" s="136"/>
      <c r="H302" s="96"/>
      <c r="I302" s="96"/>
      <c r="J302" s="104"/>
      <c r="K302" s="75"/>
      <c r="L302" s="75"/>
      <c r="M302" s="75"/>
      <c r="N302" s="75"/>
      <c r="O302" s="96"/>
      <c r="P302" s="105"/>
      <c r="Q302" s="105"/>
      <c r="R302" s="96"/>
      <c r="S302" s="128"/>
      <c r="T302" s="137"/>
      <c r="U302" s="110"/>
      <c r="V302" s="100"/>
      <c r="W302" s="100"/>
      <c r="X302" s="100"/>
      <c r="Y302" s="110"/>
      <c r="Z302" s="110"/>
      <c r="AA302" s="100"/>
      <c r="AB302" s="109"/>
      <c r="AC302" s="109"/>
      <c r="AD302" s="109"/>
      <c r="AE302" s="108"/>
      <c r="AF302" s="109"/>
      <c r="AG302" s="108"/>
      <c r="AH302" s="111"/>
      <c r="AI302" s="100"/>
      <c r="AJ302" s="100"/>
      <c r="AK302" s="100"/>
      <c r="AL302" s="100"/>
      <c r="AM302" s="100"/>
      <c r="AN302" s="111"/>
      <c r="AO302" s="100"/>
      <c r="AP302" s="100"/>
      <c r="AQ302" s="111"/>
      <c r="AR302" s="100"/>
      <c r="AS302" s="100"/>
      <c r="AT302" s="111"/>
    </row>
    <row r="303" spans="1:46" ht="16.3">
      <c r="A303" s="91" t="s">
        <v>3</v>
      </c>
      <c r="B303" s="239">
        <f>SUM(J303+K303+L303+M303+N303+S303+V303+W303+X303+AA303+AI303+AJ303+AI303+AM303+AP303+AQ303+AS303+AT303+AU303+AV303)+11</f>
        <v>18</v>
      </c>
      <c r="C303" s="214">
        <f>SUM(J303+K303+L303+M303+N303+S303+W303+X303+V303+AA303+AJ303+AI303+AJ303+AN303+AQ303+AM303+AT303+AU303+AV303+AW303+AP303+AS303)+25</f>
        <v>32</v>
      </c>
      <c r="D303" s="133"/>
      <c r="E303" s="134"/>
      <c r="F303" s="135"/>
      <c r="G303" s="136"/>
      <c r="H303" s="96"/>
      <c r="I303" s="96">
        <v>2</v>
      </c>
      <c r="J303" s="104">
        <v>1</v>
      </c>
      <c r="K303" s="75"/>
      <c r="L303" s="75">
        <v>1</v>
      </c>
      <c r="M303" s="75">
        <v>2</v>
      </c>
      <c r="N303" s="75">
        <v>1</v>
      </c>
      <c r="O303" s="96"/>
      <c r="P303" s="105"/>
      <c r="Q303" s="105"/>
      <c r="R303" s="96"/>
      <c r="S303" s="128"/>
      <c r="T303" s="137"/>
      <c r="U303" s="110">
        <v>1</v>
      </c>
      <c r="V303" s="100">
        <v>1</v>
      </c>
      <c r="W303" s="100">
        <v>1</v>
      </c>
      <c r="X303" s="100"/>
      <c r="Y303" s="110"/>
      <c r="Z303" s="110">
        <v>1</v>
      </c>
      <c r="AA303" s="100"/>
      <c r="AB303" s="109"/>
      <c r="AC303" s="109"/>
      <c r="AD303" s="109"/>
      <c r="AE303" s="108"/>
      <c r="AF303" s="109">
        <v>2</v>
      </c>
      <c r="AG303" s="108"/>
      <c r="AH303" s="111"/>
      <c r="AI303" s="100"/>
      <c r="AJ303" s="100"/>
      <c r="AK303" s="100"/>
      <c r="AL303" s="100"/>
      <c r="AM303" s="100"/>
      <c r="AN303" s="111"/>
      <c r="AO303" s="100"/>
      <c r="AP303" s="100"/>
      <c r="AQ303" s="111"/>
      <c r="AR303" s="100"/>
      <c r="AS303" s="100"/>
      <c r="AT303" s="111"/>
    </row>
    <row r="304" spans="1:46" ht="17" thickBot="1">
      <c r="A304" s="92" t="s">
        <v>4</v>
      </c>
      <c r="B304" s="241">
        <f>SUM(J304+K304+L304+M304+N304+S304+V304+W304+X304+AA304+AI304+AJ304+AI304+AM304+AP304+AQ304+AS304+AT304+AU304+AV304)+55</f>
        <v>90</v>
      </c>
      <c r="C304" s="217">
        <f>SUM(J304+K304+L304+M304+N304+S304+W304+X304+V304+AA304+AJ304+AI304+AJ304+AN304+AQ304+AM304+AT304+AU304+AV304+AW304+AP304+AS304)+125</f>
        <v>160</v>
      </c>
      <c r="D304" s="144"/>
      <c r="E304" s="145"/>
      <c r="F304" s="146"/>
      <c r="G304" s="147"/>
      <c r="H304" s="114"/>
      <c r="I304" s="114">
        <v>10</v>
      </c>
      <c r="J304" s="113">
        <v>5</v>
      </c>
      <c r="K304" s="112"/>
      <c r="L304" s="112">
        <v>5</v>
      </c>
      <c r="M304" s="112">
        <v>10</v>
      </c>
      <c r="N304" s="112">
        <v>5</v>
      </c>
      <c r="O304" s="114"/>
      <c r="P304" s="127"/>
      <c r="Q304" s="127"/>
      <c r="R304" s="114"/>
      <c r="S304" s="129"/>
      <c r="T304" s="148"/>
      <c r="U304" s="120">
        <v>5</v>
      </c>
      <c r="V304" s="116">
        <v>5</v>
      </c>
      <c r="W304" s="116">
        <v>5</v>
      </c>
      <c r="X304" s="112"/>
      <c r="Y304" s="110"/>
      <c r="Z304" s="110">
        <v>5</v>
      </c>
      <c r="AA304" s="100"/>
      <c r="AB304" s="109"/>
      <c r="AC304" s="109"/>
      <c r="AD304" s="109"/>
      <c r="AE304" s="108"/>
      <c r="AF304" s="109">
        <v>10</v>
      </c>
      <c r="AG304" s="108"/>
      <c r="AH304" s="111"/>
      <c r="AI304" s="100"/>
      <c r="AJ304" s="100"/>
      <c r="AK304" s="100"/>
      <c r="AL304" s="100"/>
      <c r="AM304" s="100"/>
      <c r="AN304" s="111"/>
      <c r="AO304" s="100"/>
      <c r="AP304" s="100"/>
      <c r="AQ304" s="111"/>
      <c r="AR304" s="100"/>
      <c r="AS304" s="100"/>
      <c r="AT304" s="111"/>
    </row>
    <row r="305" spans="1:46" ht="21.1">
      <c r="A305" s="86" t="s">
        <v>676</v>
      </c>
      <c r="B305" s="239"/>
      <c r="C305" s="214"/>
      <c r="D305" s="133"/>
      <c r="E305" s="134"/>
      <c r="F305" s="135"/>
      <c r="G305" s="136"/>
      <c r="H305" s="96"/>
      <c r="I305" s="96"/>
      <c r="J305" s="104"/>
      <c r="K305" s="75"/>
      <c r="L305" s="75"/>
      <c r="M305" s="75"/>
      <c r="N305" s="75"/>
      <c r="O305" s="96"/>
      <c r="P305" s="105"/>
      <c r="Q305" s="105"/>
      <c r="R305" s="96"/>
      <c r="S305" s="128"/>
      <c r="T305" s="137"/>
      <c r="U305" s="110"/>
      <c r="V305" s="100"/>
      <c r="W305" s="100"/>
      <c r="X305" s="100"/>
      <c r="Y305" s="101"/>
      <c r="Z305" s="101"/>
      <c r="AA305" s="102"/>
      <c r="AB305" s="99"/>
      <c r="AC305" s="99"/>
      <c r="AD305" s="99" t="s">
        <v>393</v>
      </c>
      <c r="AE305" s="98"/>
      <c r="AF305" s="99"/>
      <c r="AG305" s="98"/>
      <c r="AH305" s="103"/>
      <c r="AI305" s="102"/>
      <c r="AJ305" s="102"/>
      <c r="AK305" s="102"/>
      <c r="AL305" s="102"/>
      <c r="AM305" s="102"/>
      <c r="AN305" s="103"/>
      <c r="AO305" s="102"/>
      <c r="AP305" s="102"/>
      <c r="AQ305" s="103"/>
      <c r="AR305" s="102"/>
      <c r="AS305" s="102"/>
      <c r="AT305" s="103"/>
    </row>
    <row r="306" spans="1:46" ht="16.3">
      <c r="A306" s="246" t="s">
        <v>1</v>
      </c>
      <c r="B306" s="240">
        <f t="shared" ref="B306" si="79">SUM(J306+K306+L306+M306+N306+S306+V306+W306+X306+AA306+AI306+AJ306+AI306+AM306+AP306+AQ306+AS306+AT306+AU306+AV306+AN306)</f>
        <v>0</v>
      </c>
      <c r="C306" s="215">
        <f t="shared" ref="C306:C307" si="80">SUM(J306+K306+L306+M306+N306+S306+W306+X306+V306+AA306+AJ306+AI306+AJ306+AN306+AQ306+AM306+AT306+AU306+AV306+AW306+AP306+AS306)</f>
        <v>0</v>
      </c>
      <c r="D306" s="139"/>
      <c r="E306" s="140"/>
      <c r="F306" s="135"/>
      <c r="G306" s="136"/>
      <c r="H306" s="96"/>
      <c r="I306" s="96"/>
      <c r="J306" s="104"/>
      <c r="K306" s="75"/>
      <c r="L306" s="75"/>
      <c r="M306" s="75"/>
      <c r="N306" s="75"/>
      <c r="O306" s="96"/>
      <c r="P306" s="105"/>
      <c r="Q306" s="105"/>
      <c r="R306" s="96"/>
      <c r="S306" s="128"/>
      <c r="T306" s="137"/>
      <c r="U306" s="110"/>
      <c r="V306" s="100"/>
      <c r="W306" s="100"/>
      <c r="X306" s="100"/>
      <c r="Y306" s="110"/>
      <c r="Z306" s="110"/>
      <c r="AA306" s="100"/>
      <c r="AB306" s="109"/>
      <c r="AC306" s="109"/>
      <c r="AD306" s="109"/>
      <c r="AE306" s="108"/>
      <c r="AF306" s="109"/>
      <c r="AG306" s="108"/>
      <c r="AH306" s="111"/>
      <c r="AI306" s="100"/>
      <c r="AJ306" s="100"/>
      <c r="AK306" s="100"/>
      <c r="AL306" s="100"/>
      <c r="AM306" s="100"/>
      <c r="AN306" s="111"/>
      <c r="AO306" s="100"/>
      <c r="AP306" s="100"/>
      <c r="AQ306" s="111"/>
      <c r="AR306" s="100"/>
      <c r="AS306" s="100"/>
      <c r="AT306" s="111"/>
    </row>
    <row r="307" spans="1:46" ht="16.3">
      <c r="A307" s="246" t="s">
        <v>2</v>
      </c>
      <c r="B307" s="240">
        <f t="shared" ref="B307" si="81">SUM(J307+K307+L307+M307+N307+S307+V307+W307+X307+AA307+AI307+AJ307+AI307+AM307+AP307+AQ307+AS307+AT307+AU307+AV307)</f>
        <v>0</v>
      </c>
      <c r="C307" s="215">
        <f t="shared" si="80"/>
        <v>0</v>
      </c>
      <c r="D307" s="139"/>
      <c r="E307" s="140"/>
      <c r="F307" s="135"/>
      <c r="G307" s="136"/>
      <c r="H307" s="96"/>
      <c r="I307" s="96"/>
      <c r="J307" s="104"/>
      <c r="K307" s="75"/>
      <c r="L307" s="75"/>
      <c r="M307" s="75"/>
      <c r="N307" s="75"/>
      <c r="O307" s="96"/>
      <c r="P307" s="105"/>
      <c r="Q307" s="105"/>
      <c r="R307" s="96"/>
      <c r="S307" s="128"/>
      <c r="T307" s="137"/>
      <c r="U307" s="110"/>
      <c r="V307" s="100"/>
      <c r="W307" s="100"/>
      <c r="X307" s="100"/>
      <c r="Y307" s="110"/>
      <c r="Z307" s="110"/>
      <c r="AA307" s="100"/>
      <c r="AB307" s="109"/>
      <c r="AC307" s="109"/>
      <c r="AD307" s="109"/>
      <c r="AE307" s="108"/>
      <c r="AF307" s="109"/>
      <c r="AG307" s="108"/>
      <c r="AH307" s="111"/>
      <c r="AI307" s="100"/>
      <c r="AJ307" s="100"/>
      <c r="AK307" s="100"/>
      <c r="AL307" s="100"/>
      <c r="AM307" s="100"/>
      <c r="AN307" s="111"/>
      <c r="AO307" s="100"/>
      <c r="AP307" s="100"/>
      <c r="AQ307" s="111"/>
      <c r="AR307" s="100"/>
      <c r="AS307" s="100"/>
      <c r="AT307" s="111"/>
    </row>
    <row r="308" spans="1:46" ht="16.3">
      <c r="A308" s="91" t="s">
        <v>363</v>
      </c>
      <c r="B308" s="239">
        <f t="shared" ref="B308:C308" si="82">SUM(B306+B307)</f>
        <v>0</v>
      </c>
      <c r="C308" s="214">
        <f t="shared" si="82"/>
        <v>0</v>
      </c>
      <c r="D308" s="133"/>
      <c r="E308" s="134"/>
      <c r="F308" s="135"/>
      <c r="G308" s="136"/>
      <c r="H308" s="96"/>
      <c r="I308" s="96"/>
      <c r="J308" s="104"/>
      <c r="K308" s="75"/>
      <c r="L308" s="75"/>
      <c r="M308" s="75"/>
      <c r="N308" s="75"/>
      <c r="O308" s="96"/>
      <c r="P308" s="105"/>
      <c r="Q308" s="105"/>
      <c r="R308" s="96"/>
      <c r="S308" s="128"/>
      <c r="T308" s="137"/>
      <c r="U308" s="110"/>
      <c r="V308" s="100"/>
      <c r="W308" s="100"/>
      <c r="X308" s="100"/>
      <c r="Y308" s="110"/>
      <c r="Z308" s="110"/>
      <c r="AA308" s="100"/>
      <c r="AB308" s="109"/>
      <c r="AC308" s="109"/>
      <c r="AD308" s="109"/>
      <c r="AE308" s="108"/>
      <c r="AF308" s="109"/>
      <c r="AG308" s="108"/>
      <c r="AH308" s="111"/>
      <c r="AI308" s="100"/>
      <c r="AJ308" s="100"/>
      <c r="AK308" s="100"/>
      <c r="AL308" s="100"/>
      <c r="AM308" s="100"/>
      <c r="AN308" s="111"/>
      <c r="AO308" s="100"/>
      <c r="AP308" s="100"/>
      <c r="AQ308" s="111"/>
      <c r="AR308" s="100"/>
      <c r="AS308" s="100"/>
      <c r="AT308" s="111"/>
    </row>
    <row r="309" spans="1:46" ht="16.3">
      <c r="A309" s="91" t="s">
        <v>3</v>
      </c>
      <c r="B309" s="239">
        <f t="shared" ref="B309:B310" si="83">SUM(J309+K309+L309+M309+N309+S309+V309+W309+X309+AA309+AI309+AJ309+AI309+AM309+AP309+AQ309+AS309+AT309+AU309+AV309)</f>
        <v>0</v>
      </c>
      <c r="C309" s="214">
        <f t="shared" ref="C309:C310" si="84">SUM(J309+K309+L309+M309+N309+S309+W309+X309+V309+AA309+AJ309+AI309+AJ309+AN309+AQ309+AM309+AT309+AU309+AV309+AW309+AP309+AS309)</f>
        <v>0</v>
      </c>
      <c r="D309" s="133"/>
      <c r="E309" s="134"/>
      <c r="F309" s="135"/>
      <c r="G309" s="136"/>
      <c r="H309" s="96"/>
      <c r="I309" s="96"/>
      <c r="J309" s="104"/>
      <c r="K309" s="75"/>
      <c r="L309" s="75"/>
      <c r="M309" s="75"/>
      <c r="N309" s="75"/>
      <c r="O309" s="96"/>
      <c r="P309" s="105"/>
      <c r="Q309" s="105"/>
      <c r="R309" s="96"/>
      <c r="S309" s="128"/>
      <c r="T309" s="137"/>
      <c r="U309" s="110"/>
      <c r="V309" s="100"/>
      <c r="W309" s="100"/>
      <c r="X309" s="100"/>
      <c r="Y309" s="110"/>
      <c r="Z309" s="110"/>
      <c r="AA309" s="100"/>
      <c r="AB309" s="109"/>
      <c r="AC309" s="109"/>
      <c r="AD309" s="109"/>
      <c r="AE309" s="108"/>
      <c r="AF309" s="109"/>
      <c r="AG309" s="108"/>
      <c r="AH309" s="111"/>
      <c r="AI309" s="100"/>
      <c r="AJ309" s="100"/>
      <c r="AK309" s="100"/>
      <c r="AL309" s="100"/>
      <c r="AM309" s="100"/>
      <c r="AN309" s="111"/>
      <c r="AO309" s="100"/>
      <c r="AP309" s="100"/>
      <c r="AQ309" s="111"/>
      <c r="AR309" s="100"/>
      <c r="AS309" s="100"/>
      <c r="AT309" s="111"/>
    </row>
    <row r="310" spans="1:46" ht="17" thickBot="1">
      <c r="A310" s="92" t="s">
        <v>4</v>
      </c>
      <c r="B310" s="241">
        <f t="shared" si="83"/>
        <v>0</v>
      </c>
      <c r="C310" s="217">
        <f t="shared" si="84"/>
        <v>0</v>
      </c>
      <c r="D310" s="144"/>
      <c r="E310" s="145"/>
      <c r="F310" s="146"/>
      <c r="G310" s="147"/>
      <c r="H310" s="114"/>
      <c r="I310" s="114"/>
      <c r="J310" s="113"/>
      <c r="K310" s="112"/>
      <c r="L310" s="112"/>
      <c r="M310" s="112"/>
      <c r="N310" s="112"/>
      <c r="O310" s="114"/>
      <c r="P310" s="127"/>
      <c r="Q310" s="127"/>
      <c r="R310" s="114"/>
      <c r="S310" s="129"/>
      <c r="T310" s="148"/>
      <c r="U310" s="120"/>
      <c r="V310" s="112"/>
      <c r="W310" s="116"/>
      <c r="X310" s="116"/>
      <c r="Y310" s="120"/>
      <c r="Z310" s="120"/>
      <c r="AA310" s="116"/>
      <c r="AB310" s="118"/>
      <c r="AC310" s="118"/>
      <c r="AD310" s="118"/>
      <c r="AE310" s="117"/>
      <c r="AF310" s="118"/>
      <c r="AG310" s="117"/>
      <c r="AH310" s="121"/>
      <c r="AI310" s="116"/>
      <c r="AJ310" s="116"/>
      <c r="AK310" s="116"/>
      <c r="AL310" s="116"/>
      <c r="AM310" s="116"/>
      <c r="AN310" s="121"/>
      <c r="AO310" s="116"/>
      <c r="AP310" s="116"/>
      <c r="AQ310" s="121"/>
      <c r="AR310" s="116"/>
      <c r="AS310" s="116"/>
      <c r="AT310" s="121"/>
    </row>
    <row r="311" spans="1:46" ht="21.1">
      <c r="A311" s="86" t="s">
        <v>236</v>
      </c>
      <c r="B311" s="239"/>
      <c r="C311" s="214"/>
      <c r="D311" s="133"/>
      <c r="E311" s="134"/>
      <c r="F311" s="135"/>
      <c r="G311" s="136"/>
      <c r="H311" s="96" t="s">
        <v>375</v>
      </c>
      <c r="I311" s="96" t="s">
        <v>375</v>
      </c>
      <c r="J311" s="104"/>
      <c r="K311" s="75"/>
      <c r="L311" s="75"/>
      <c r="M311" s="75"/>
      <c r="N311" s="75"/>
      <c r="O311" s="96" t="s">
        <v>371</v>
      </c>
      <c r="P311" s="105"/>
      <c r="Q311" s="105"/>
      <c r="R311" s="96" t="s">
        <v>375</v>
      </c>
      <c r="S311" s="128" t="s">
        <v>375</v>
      </c>
      <c r="T311" s="137"/>
      <c r="U311" s="110"/>
      <c r="V311" s="100"/>
      <c r="W311" s="100"/>
      <c r="X311" s="100"/>
      <c r="Y311" s="101"/>
      <c r="Z311" s="101"/>
      <c r="AA311" s="102"/>
      <c r="AB311" s="99" t="s">
        <v>393</v>
      </c>
      <c r="AC311" s="99" t="s">
        <v>375</v>
      </c>
      <c r="AD311" s="99">
        <v>2</v>
      </c>
      <c r="AE311" s="98"/>
      <c r="AF311" s="99"/>
      <c r="AG311" s="98"/>
      <c r="AH311" s="103"/>
      <c r="AI311" s="102"/>
      <c r="AJ311" s="102"/>
      <c r="AK311" s="102"/>
      <c r="AL311" s="102"/>
      <c r="AM311" s="102"/>
      <c r="AN311" s="103"/>
      <c r="AO311" s="102"/>
      <c r="AP311" s="100"/>
      <c r="AQ311" s="103"/>
      <c r="AR311" s="102"/>
      <c r="AS311" s="102"/>
      <c r="AT311" s="103"/>
    </row>
    <row r="312" spans="1:46" ht="16.3">
      <c r="A312" s="246" t="s">
        <v>1</v>
      </c>
      <c r="B312" s="240">
        <f t="shared" ref="B312" si="85">SUM(J312+K312+L312+M312+N312+S312+V312+W312+X312+AA312+AI312+AJ312+AI312+AM312+AP312+AQ312+AS312+AT312+AU312+AV312+AN312)</f>
        <v>0</v>
      </c>
      <c r="C312" s="215">
        <f t="shared" ref="C312:C313" si="86">SUM(J312+K312+L312+M312+N312+S312+W312+X312+V312+AA312+AJ312+AI312+AJ312+AN312+AQ312+AM312+AT312+AU312+AV312+AW312+AP312+AS312)</f>
        <v>0</v>
      </c>
      <c r="D312" s="133"/>
      <c r="E312" s="134"/>
      <c r="F312" s="135"/>
      <c r="G312" s="136"/>
      <c r="H312" s="96"/>
      <c r="I312" s="96"/>
      <c r="J312" s="104"/>
      <c r="K312" s="75"/>
      <c r="L312" s="75"/>
      <c r="M312" s="75"/>
      <c r="N312" s="75"/>
      <c r="O312" s="96">
        <v>1</v>
      </c>
      <c r="P312" s="105"/>
      <c r="Q312" s="105"/>
      <c r="R312" s="96"/>
      <c r="S312" s="128"/>
      <c r="T312" s="137"/>
      <c r="U312" s="110"/>
      <c r="V312" s="100"/>
      <c r="W312" s="100"/>
      <c r="X312" s="100"/>
      <c r="Y312" s="110"/>
      <c r="Z312" s="110"/>
      <c r="AA312" s="100"/>
      <c r="AB312" s="109"/>
      <c r="AC312" s="109"/>
      <c r="AD312" s="109">
        <v>1</v>
      </c>
      <c r="AE312" s="108"/>
      <c r="AF312" s="109"/>
      <c r="AG312" s="108"/>
      <c r="AH312" s="111"/>
      <c r="AI312" s="100"/>
      <c r="AJ312" s="100"/>
      <c r="AK312" s="100"/>
      <c r="AL312" s="100"/>
      <c r="AM312" s="100"/>
      <c r="AN312" s="111"/>
      <c r="AO312" s="100"/>
      <c r="AP312" s="100"/>
      <c r="AQ312" s="111"/>
      <c r="AR312" s="100"/>
      <c r="AS312" s="100"/>
      <c r="AT312" s="111"/>
    </row>
    <row r="313" spans="1:46" ht="16.3">
      <c r="A313" s="246" t="s">
        <v>2</v>
      </c>
      <c r="B313" s="240">
        <f t="shared" ref="B313" si="87">SUM(J313+K313+L313+M313+N313+S313+V313+W313+X313+AA313+AI313+AJ313+AI313+AM313+AP313+AQ313+AS313+AT313+AU313+AV313)</f>
        <v>1</v>
      </c>
      <c r="C313" s="215">
        <f t="shared" si="86"/>
        <v>1</v>
      </c>
      <c r="D313" s="133"/>
      <c r="E313" s="134"/>
      <c r="F313" s="135"/>
      <c r="G313" s="136"/>
      <c r="H313" s="96">
        <v>1</v>
      </c>
      <c r="I313" s="96">
        <v>1</v>
      </c>
      <c r="J313" s="104"/>
      <c r="K313" s="75"/>
      <c r="L313" s="75"/>
      <c r="M313" s="75"/>
      <c r="N313" s="75"/>
      <c r="O313" s="96"/>
      <c r="P313" s="105"/>
      <c r="Q313" s="105"/>
      <c r="R313" s="96">
        <v>1</v>
      </c>
      <c r="S313" s="128">
        <v>1</v>
      </c>
      <c r="T313" s="137"/>
      <c r="U313" s="110"/>
      <c r="V313" s="100"/>
      <c r="W313" s="100"/>
      <c r="X313" s="100"/>
      <c r="Y313" s="110"/>
      <c r="Z313" s="110"/>
      <c r="AA313" s="100"/>
      <c r="AB313" s="109"/>
      <c r="AC313" s="109">
        <v>1</v>
      </c>
      <c r="AD313" s="109"/>
      <c r="AE313" s="108"/>
      <c r="AF313" s="109"/>
      <c r="AG313" s="108"/>
      <c r="AH313" s="111"/>
      <c r="AI313" s="100"/>
      <c r="AJ313" s="100"/>
      <c r="AK313" s="100"/>
      <c r="AL313" s="100"/>
      <c r="AM313" s="100"/>
      <c r="AN313" s="111"/>
      <c r="AO313" s="100"/>
      <c r="AP313" s="100"/>
      <c r="AQ313" s="111"/>
      <c r="AR313" s="100"/>
      <c r="AS313" s="100"/>
      <c r="AT313" s="111"/>
    </row>
    <row r="314" spans="1:46" ht="16.3">
      <c r="A314" s="91" t="s">
        <v>363</v>
      </c>
      <c r="B314" s="239">
        <f t="shared" ref="B314:C314" si="88">SUM(B312+B313)</f>
        <v>1</v>
      </c>
      <c r="C314" s="214">
        <f t="shared" si="88"/>
        <v>1</v>
      </c>
      <c r="D314" s="133"/>
      <c r="E314" s="134"/>
      <c r="F314" s="135"/>
      <c r="G314" s="136"/>
      <c r="H314" s="96"/>
      <c r="I314" s="96"/>
      <c r="J314" s="104"/>
      <c r="K314" s="75"/>
      <c r="L314" s="75"/>
      <c r="M314" s="75"/>
      <c r="N314" s="75"/>
      <c r="O314" s="96"/>
      <c r="P314" s="105"/>
      <c r="Q314" s="105"/>
      <c r="R314" s="96"/>
      <c r="S314" s="128"/>
      <c r="T314" s="137"/>
      <c r="U314" s="110"/>
      <c r="V314" s="100"/>
      <c r="W314" s="100"/>
      <c r="X314" s="100"/>
      <c r="Y314" s="110"/>
      <c r="Z314" s="110"/>
      <c r="AA314" s="100"/>
      <c r="AB314" s="109"/>
      <c r="AC314" s="109"/>
      <c r="AD314" s="109"/>
      <c r="AE314" s="108"/>
      <c r="AF314" s="109"/>
      <c r="AG314" s="108"/>
      <c r="AH314" s="111"/>
      <c r="AI314" s="100"/>
      <c r="AJ314" s="100"/>
      <c r="AK314" s="100"/>
      <c r="AL314" s="100"/>
      <c r="AM314" s="100"/>
      <c r="AN314" s="111"/>
      <c r="AO314" s="100"/>
      <c r="AP314" s="100"/>
      <c r="AQ314" s="111"/>
      <c r="AR314" s="100"/>
      <c r="AS314" s="100"/>
      <c r="AT314" s="111"/>
    </row>
    <row r="315" spans="1:46" ht="16.3">
      <c r="A315" s="91" t="s">
        <v>3</v>
      </c>
      <c r="B315" s="239">
        <f t="shared" ref="B315:B316" si="89">SUM(J315+K315+L315+M315+N315+S315+V315+W315+X315+AA315+AI315+AJ315+AI315+AM315+AP315+AQ315+AS315+AT315+AU315+AV315)</f>
        <v>0</v>
      </c>
      <c r="C315" s="214">
        <f t="shared" ref="C315:C316" si="90">SUM(J315+K315+L315+M315+N315+S315+W315+X315+V315+AA315+AJ315+AI315+AJ315+AN315+AQ315+AM315+AT315+AU315+AV315+AW315+AP315+AS315)</f>
        <v>0</v>
      </c>
      <c r="D315" s="133"/>
      <c r="E315" s="134"/>
      <c r="F315" s="135"/>
      <c r="G315" s="136"/>
      <c r="H315" s="96"/>
      <c r="I315" s="96"/>
      <c r="J315" s="104"/>
      <c r="K315" s="75"/>
      <c r="L315" s="75"/>
      <c r="M315" s="75"/>
      <c r="N315" s="75"/>
      <c r="O315" s="96">
        <v>2</v>
      </c>
      <c r="P315" s="105"/>
      <c r="Q315" s="105"/>
      <c r="R315" s="96"/>
      <c r="S315" s="128"/>
      <c r="T315" s="137"/>
      <c r="U315" s="110"/>
      <c r="V315" s="100"/>
      <c r="W315" s="100"/>
      <c r="X315" s="100"/>
      <c r="Y315" s="110"/>
      <c r="Z315" s="110"/>
      <c r="AA315" s="100"/>
      <c r="AB315" s="109"/>
      <c r="AC315" s="109">
        <v>1</v>
      </c>
      <c r="AD315" s="109"/>
      <c r="AE315" s="108"/>
      <c r="AF315" s="109"/>
      <c r="AG315" s="108"/>
      <c r="AH315" s="111"/>
      <c r="AI315" s="100"/>
      <c r="AJ315" s="100"/>
      <c r="AK315" s="100"/>
      <c r="AL315" s="100"/>
      <c r="AM315" s="100"/>
      <c r="AN315" s="111"/>
      <c r="AO315" s="100"/>
      <c r="AP315" s="100"/>
      <c r="AQ315" s="111"/>
      <c r="AR315" s="100"/>
      <c r="AS315" s="100"/>
      <c r="AT315" s="111"/>
    </row>
    <row r="316" spans="1:46" ht="17" thickBot="1">
      <c r="A316" s="92" t="s">
        <v>4</v>
      </c>
      <c r="B316" s="241">
        <f t="shared" si="89"/>
        <v>0</v>
      </c>
      <c r="C316" s="217">
        <f t="shared" si="90"/>
        <v>0</v>
      </c>
      <c r="D316" s="144"/>
      <c r="E316" s="145"/>
      <c r="F316" s="146"/>
      <c r="G316" s="147"/>
      <c r="H316" s="114"/>
      <c r="I316" s="114"/>
      <c r="J316" s="113"/>
      <c r="K316" s="112"/>
      <c r="L316" s="112"/>
      <c r="M316" s="112"/>
      <c r="N316" s="112"/>
      <c r="O316" s="114">
        <v>10</v>
      </c>
      <c r="P316" s="127"/>
      <c r="Q316" s="127"/>
      <c r="R316" s="114"/>
      <c r="S316" s="129"/>
      <c r="T316" s="148"/>
      <c r="U316" s="120"/>
      <c r="V316" s="112"/>
      <c r="W316" s="116"/>
      <c r="X316" s="116"/>
      <c r="Y316" s="120"/>
      <c r="Z316" s="120"/>
      <c r="AA316" s="116"/>
      <c r="AB316" s="118"/>
      <c r="AC316" s="118">
        <v>5</v>
      </c>
      <c r="AD316" s="118"/>
      <c r="AE316" s="117"/>
      <c r="AF316" s="118"/>
      <c r="AG316" s="117"/>
      <c r="AH316" s="121"/>
      <c r="AI316" s="116"/>
      <c r="AJ316" s="116"/>
      <c r="AK316" s="116"/>
      <c r="AL316" s="116"/>
      <c r="AM316" s="116"/>
      <c r="AN316" s="121"/>
      <c r="AO316" s="116"/>
      <c r="AP316" s="116"/>
      <c r="AQ316" s="121"/>
      <c r="AR316" s="116"/>
      <c r="AS316" s="116"/>
      <c r="AT316" s="121"/>
    </row>
    <row r="317" spans="1:46" ht="21.1">
      <c r="A317" s="82" t="s">
        <v>252</v>
      </c>
      <c r="B317" s="239"/>
      <c r="C317" s="214"/>
      <c r="D317" s="133"/>
      <c r="E317" s="134"/>
      <c r="F317" s="135"/>
      <c r="G317" s="136"/>
      <c r="H317" s="96"/>
      <c r="I317" s="96"/>
      <c r="J317" s="104">
        <v>4</v>
      </c>
      <c r="K317" s="75" t="s">
        <v>372</v>
      </c>
      <c r="L317" s="75" t="s">
        <v>375</v>
      </c>
      <c r="M317" s="75" t="s">
        <v>375</v>
      </c>
      <c r="N317" s="75" t="s">
        <v>339</v>
      </c>
      <c r="O317" s="96" t="s">
        <v>339</v>
      </c>
      <c r="P317" s="105"/>
      <c r="Q317" s="105"/>
      <c r="R317" s="96" t="s">
        <v>339</v>
      </c>
      <c r="S317" s="128" t="s">
        <v>339</v>
      </c>
      <c r="T317" s="137" t="s">
        <v>339</v>
      </c>
      <c r="U317" s="110" t="s">
        <v>339</v>
      </c>
      <c r="V317" s="100" t="s">
        <v>339</v>
      </c>
      <c r="W317" s="102" t="s">
        <v>339</v>
      </c>
      <c r="X317" s="102" t="s">
        <v>339</v>
      </c>
      <c r="Y317" s="101"/>
      <c r="Z317" s="101"/>
      <c r="AA317" s="102"/>
      <c r="AB317" s="99">
        <v>4</v>
      </c>
      <c r="AC317" s="99">
        <v>4</v>
      </c>
      <c r="AD317" s="99">
        <v>4</v>
      </c>
      <c r="AE317" s="98"/>
      <c r="AF317" s="99" t="s">
        <v>375</v>
      </c>
      <c r="AG317" s="98"/>
      <c r="AH317" s="103"/>
      <c r="AI317" s="102"/>
      <c r="AJ317" s="102"/>
      <c r="AK317" s="102"/>
      <c r="AL317" s="102"/>
      <c r="AM317" s="102"/>
      <c r="AN317" s="103"/>
      <c r="AO317" s="102"/>
      <c r="AP317" s="102"/>
      <c r="AQ317" s="103"/>
      <c r="AR317" s="102"/>
      <c r="AS317" s="102"/>
      <c r="AT317" s="103"/>
    </row>
    <row r="318" spans="1:46" ht="16.3">
      <c r="A318" s="246" t="s">
        <v>1</v>
      </c>
      <c r="B318" s="240">
        <f>SUM(J318+K318+L318+M318+N318+S318+V318+W318+X318+AA318+AI318+AJ318+AI318+AM318+AP318+AQ318+AS318+AT318+AU318+AV318+AN318)+31</f>
        <v>33</v>
      </c>
      <c r="C318" s="215">
        <f>SUM(J318+K318+L318+M318+N318+S318+W318+X318+V318+AA318+AJ318+AI318+AJ318+AN318+AQ318+AM318+AT318+AU318+AV318+AW318+AP318+AS318)+31</f>
        <v>33</v>
      </c>
      <c r="D318" s="139"/>
      <c r="E318" s="140"/>
      <c r="F318" s="135"/>
      <c r="G318" s="136"/>
      <c r="H318" s="96"/>
      <c r="I318" s="96"/>
      <c r="J318" s="104">
        <v>1</v>
      </c>
      <c r="K318" s="75">
        <v>1</v>
      </c>
      <c r="L318" s="75"/>
      <c r="M318" s="75"/>
      <c r="N318" s="75"/>
      <c r="O318" s="96"/>
      <c r="P318" s="105"/>
      <c r="Q318" s="105"/>
      <c r="R318" s="96"/>
      <c r="S318" s="128"/>
      <c r="T318" s="137"/>
      <c r="U318" s="110"/>
      <c r="V318" s="100"/>
      <c r="W318" s="100"/>
      <c r="X318" s="100"/>
      <c r="Y318" s="110"/>
      <c r="Z318" s="110"/>
      <c r="AA318" s="100"/>
      <c r="AB318" s="109">
        <v>1</v>
      </c>
      <c r="AC318" s="109">
        <v>1</v>
      </c>
      <c r="AD318" s="109">
        <v>1</v>
      </c>
      <c r="AE318" s="108"/>
      <c r="AF318" s="109"/>
      <c r="AG318" s="108"/>
      <c r="AH318" s="111"/>
      <c r="AI318" s="100"/>
      <c r="AJ318" s="100"/>
      <c r="AK318" s="100"/>
      <c r="AL318" s="100"/>
      <c r="AM318" s="100"/>
      <c r="AN318" s="111"/>
      <c r="AO318" s="100"/>
      <c r="AP318" s="100"/>
      <c r="AQ318" s="111"/>
      <c r="AR318" s="100"/>
      <c r="AS318" s="100"/>
      <c r="AT318" s="111"/>
    </row>
    <row r="319" spans="1:46" ht="16.3">
      <c r="A319" s="246" t="s">
        <v>2</v>
      </c>
      <c r="B319" s="240">
        <f>SUM(J319+K319+L319+M319+N319+S319+V319+W319+X319+AA319+AI319+AJ319+AI319+AM319+AP319+AQ319+AS319+AT319+AU319+AV319)+6</f>
        <v>8</v>
      </c>
      <c r="C319" s="215">
        <f>SUM(J319+K319+L319+M319+N319+S319+W319+X319+V319+AA319+AJ319+AI319+AJ319+AN319+AQ319+AM319+AT319+AU319+AV319+AW319+AP319+AS319)+6</f>
        <v>8</v>
      </c>
      <c r="D319" s="139"/>
      <c r="E319" s="140"/>
      <c r="F319" s="135"/>
      <c r="G319" s="136"/>
      <c r="H319" s="96"/>
      <c r="I319" s="96"/>
      <c r="J319" s="104"/>
      <c r="K319" s="75"/>
      <c r="L319" s="75">
        <v>1</v>
      </c>
      <c r="M319" s="75">
        <v>1</v>
      </c>
      <c r="N319" s="75"/>
      <c r="O319" s="96"/>
      <c r="P319" s="105"/>
      <c r="Q319" s="105"/>
      <c r="R319" s="96"/>
      <c r="S319" s="128"/>
      <c r="T319" s="137"/>
      <c r="U319" s="110"/>
      <c r="V319" s="100"/>
      <c r="W319" s="100"/>
      <c r="X319" s="100"/>
      <c r="Y319" s="110"/>
      <c r="Z319" s="110"/>
      <c r="AA319" s="100"/>
      <c r="AB319" s="109"/>
      <c r="AC319" s="109"/>
      <c r="AD319" s="109"/>
      <c r="AE319" s="108"/>
      <c r="AF319" s="109">
        <v>1</v>
      </c>
      <c r="AG319" s="108"/>
      <c r="AH319" s="111"/>
      <c r="AI319" s="100"/>
      <c r="AJ319" s="100"/>
      <c r="AK319" s="100"/>
      <c r="AL319" s="100"/>
      <c r="AM319" s="100"/>
      <c r="AN319" s="111"/>
      <c r="AO319" s="100"/>
      <c r="AP319" s="100"/>
      <c r="AQ319" s="111"/>
      <c r="AR319" s="100"/>
      <c r="AS319" s="100"/>
      <c r="AT319" s="111"/>
    </row>
    <row r="320" spans="1:46" ht="16.3">
      <c r="A320" s="91" t="s">
        <v>363</v>
      </c>
      <c r="B320" s="239">
        <f t="shared" ref="B320:C320" si="91">SUM(B318+B319)</f>
        <v>41</v>
      </c>
      <c r="C320" s="214">
        <f t="shared" si="91"/>
        <v>41</v>
      </c>
      <c r="D320" s="133"/>
      <c r="E320" s="134"/>
      <c r="F320" s="135"/>
      <c r="G320" s="136"/>
      <c r="H320" s="96"/>
      <c r="I320" s="96"/>
      <c r="J320" s="104"/>
      <c r="K320" s="75"/>
      <c r="L320" s="75"/>
      <c r="M320" s="75"/>
      <c r="N320" s="75"/>
      <c r="O320" s="96"/>
      <c r="P320" s="105"/>
      <c r="Q320" s="105"/>
      <c r="R320" s="96"/>
      <c r="S320" s="128"/>
      <c r="T320" s="137"/>
      <c r="U320" s="110"/>
      <c r="V320" s="100"/>
      <c r="W320" s="100"/>
      <c r="X320" s="100"/>
      <c r="Y320" s="110"/>
      <c r="Z320" s="110"/>
      <c r="AA320" s="100"/>
      <c r="AB320" s="109"/>
      <c r="AC320" s="109"/>
      <c r="AD320" s="109"/>
      <c r="AE320" s="108"/>
      <c r="AF320" s="109"/>
      <c r="AG320" s="108"/>
      <c r="AH320" s="111"/>
      <c r="AI320" s="100"/>
      <c r="AJ320" s="100"/>
      <c r="AK320" s="100"/>
      <c r="AL320" s="100"/>
      <c r="AM320" s="100"/>
      <c r="AN320" s="111"/>
      <c r="AO320" s="100"/>
      <c r="AP320" s="100"/>
      <c r="AQ320" s="111"/>
      <c r="AR320" s="100"/>
      <c r="AS320" s="100"/>
      <c r="AT320" s="111"/>
    </row>
    <row r="321" spans="1:46" ht="16.3">
      <c r="A321" s="91" t="s">
        <v>3</v>
      </c>
      <c r="B321" s="239">
        <f>SUM(J321+K321+L321+M321+N321+S321+V321+W321+X321+AA321+AI321+AJ321+AI321+AM321+AP321+AQ321+AS321+AT321+AU321+AV321)+3</f>
        <v>3</v>
      </c>
      <c r="C321" s="214">
        <f>SUM(J321+K321+L321+M321+N321+S321+W321+X321+V321+AA321+AJ321+AI321+AJ321+AN321+AQ321+AM321+AT321+AU321+AV321+AW321+AP321+AS321)+3</f>
        <v>3</v>
      </c>
      <c r="D321" s="133"/>
      <c r="E321" s="134"/>
      <c r="F321" s="135"/>
      <c r="G321" s="136"/>
      <c r="H321" s="96"/>
      <c r="I321" s="96"/>
      <c r="J321" s="104"/>
      <c r="K321" s="75"/>
      <c r="L321" s="75"/>
      <c r="M321" s="75"/>
      <c r="N321" s="75"/>
      <c r="O321" s="96"/>
      <c r="P321" s="105"/>
      <c r="Q321" s="105"/>
      <c r="R321" s="96"/>
      <c r="S321" s="128"/>
      <c r="T321" s="137"/>
      <c r="U321" s="110"/>
      <c r="V321" s="100"/>
      <c r="W321" s="100"/>
      <c r="X321" s="100"/>
      <c r="Y321" s="110"/>
      <c r="Z321" s="110"/>
      <c r="AA321" s="100"/>
      <c r="AB321" s="109"/>
      <c r="AC321" s="109"/>
      <c r="AD321" s="109"/>
      <c r="AE321" s="108"/>
      <c r="AF321" s="109"/>
      <c r="AG321" s="108"/>
      <c r="AH321" s="111"/>
      <c r="AI321" s="100"/>
      <c r="AJ321" s="100"/>
      <c r="AK321" s="100"/>
      <c r="AL321" s="100"/>
      <c r="AM321" s="100"/>
      <c r="AN321" s="111"/>
      <c r="AO321" s="100"/>
      <c r="AP321" s="100"/>
      <c r="AQ321" s="111"/>
      <c r="AR321" s="100"/>
      <c r="AS321" s="100"/>
      <c r="AT321" s="111"/>
    </row>
    <row r="322" spans="1:46" ht="17" thickBot="1">
      <c r="A322" s="92" t="s">
        <v>4</v>
      </c>
      <c r="B322" s="241">
        <f>SUM(J322+K322+L322+M322+N322+S322+V322+W322+X322+AA322+AI322+AJ322+AI322+AM322+AP322+AQ322+AS322+AT322+AU322+AV322)+15</f>
        <v>15</v>
      </c>
      <c r="C322" s="217">
        <f>SUM(J322+K322+L322+M322+N322+S322+W322+X322+V322+AA322+AJ322+AI322+AJ322+AN322+AQ322+AM322+AT322+AU322+AV322+AW322+AP322+AS322)+15</f>
        <v>15</v>
      </c>
      <c r="D322" s="144"/>
      <c r="E322" s="145"/>
      <c r="F322" s="146"/>
      <c r="G322" s="147"/>
      <c r="H322" s="114"/>
      <c r="I322" s="114"/>
      <c r="J322" s="113"/>
      <c r="K322" s="112"/>
      <c r="L322" s="112"/>
      <c r="M322" s="112"/>
      <c r="N322" s="112"/>
      <c r="O322" s="114"/>
      <c r="P322" s="127"/>
      <c r="Q322" s="127"/>
      <c r="R322" s="114"/>
      <c r="S322" s="129"/>
      <c r="T322" s="148"/>
      <c r="U322" s="120"/>
      <c r="V322" s="112"/>
      <c r="W322" s="116"/>
      <c r="X322" s="116"/>
      <c r="Y322" s="120"/>
      <c r="Z322" s="120"/>
      <c r="AA322" s="116"/>
      <c r="AB322" s="118"/>
      <c r="AC322" s="118"/>
      <c r="AD322" s="118"/>
      <c r="AE322" s="117"/>
      <c r="AF322" s="118"/>
      <c r="AG322" s="117"/>
      <c r="AH322" s="121"/>
      <c r="AI322" s="116"/>
      <c r="AJ322" s="116"/>
      <c r="AK322" s="116"/>
      <c r="AL322" s="116"/>
      <c r="AM322" s="116"/>
      <c r="AN322" s="121"/>
      <c r="AO322" s="116"/>
      <c r="AP322" s="116"/>
      <c r="AQ322" s="121"/>
      <c r="AR322" s="116"/>
      <c r="AS322" s="116"/>
      <c r="AT322" s="121"/>
    </row>
    <row r="323" spans="1:46" ht="21.1">
      <c r="A323" s="82" t="s">
        <v>224</v>
      </c>
      <c r="B323" s="239"/>
      <c r="C323" s="214"/>
      <c r="D323" s="133"/>
      <c r="E323" s="134"/>
      <c r="F323" s="135"/>
      <c r="G323" s="136"/>
      <c r="H323" s="96" t="s">
        <v>394</v>
      </c>
      <c r="I323" s="96" t="s">
        <v>394</v>
      </c>
      <c r="J323" s="104" t="s">
        <v>394</v>
      </c>
      <c r="K323" s="104" t="s">
        <v>394</v>
      </c>
      <c r="L323" s="75">
        <v>4</v>
      </c>
      <c r="M323" s="75">
        <v>4</v>
      </c>
      <c r="N323" s="75">
        <v>4</v>
      </c>
      <c r="O323" s="96"/>
      <c r="P323" s="105"/>
      <c r="Q323" s="105"/>
      <c r="R323" s="96" t="s">
        <v>394</v>
      </c>
      <c r="S323" s="128">
        <v>4</v>
      </c>
      <c r="T323" s="137">
        <v>4</v>
      </c>
      <c r="U323" s="110">
        <v>4</v>
      </c>
      <c r="V323" s="100" t="s">
        <v>372</v>
      </c>
      <c r="W323" s="100" t="s">
        <v>375</v>
      </c>
      <c r="X323" s="100">
        <v>4</v>
      </c>
      <c r="Y323" s="110">
        <v>4</v>
      </c>
      <c r="Z323" s="110">
        <v>4</v>
      </c>
      <c r="AA323" s="100">
        <v>4</v>
      </c>
      <c r="AB323" s="109"/>
      <c r="AC323" s="109"/>
      <c r="AD323" s="109"/>
      <c r="AE323" s="108"/>
      <c r="AF323" s="109"/>
      <c r="AG323" s="108"/>
      <c r="AH323" s="111"/>
      <c r="AI323" s="100"/>
      <c r="AJ323" s="100"/>
      <c r="AK323" s="100"/>
      <c r="AL323" s="100"/>
      <c r="AM323" s="100"/>
      <c r="AN323" s="111"/>
      <c r="AO323" s="100"/>
      <c r="AP323" s="100"/>
      <c r="AQ323" s="111"/>
      <c r="AR323" s="100"/>
      <c r="AS323" s="100"/>
      <c r="AT323" s="111"/>
    </row>
    <row r="324" spans="1:46" ht="16.3">
      <c r="A324" s="246" t="s">
        <v>1</v>
      </c>
      <c r="B324" s="240">
        <f>SUM(J324+K324+L324+M324+N324+S324+V324+W324+X324+AA324+AI324+AJ324+AI324+AM324+AP324+AQ324+AS324+AT324+AU324+AV324+AN324)+1</f>
        <v>8</v>
      </c>
      <c r="C324" s="215">
        <f>SUM(J324+K324+L324+M324+N324+S324+W324+X324+V324+AA324+AJ324+AI324+AJ324+AN324+AQ324+AM324+AT324+AU324+AV324+AW324+AP324+AS324)+16</f>
        <v>23</v>
      </c>
      <c r="D324" s="133"/>
      <c r="E324" s="134"/>
      <c r="F324" s="135"/>
      <c r="G324" s="136"/>
      <c r="H324" s="96"/>
      <c r="I324" s="96"/>
      <c r="J324" s="104"/>
      <c r="K324" s="75"/>
      <c r="L324" s="75">
        <v>1</v>
      </c>
      <c r="M324" s="75">
        <v>1</v>
      </c>
      <c r="N324" s="75">
        <v>1</v>
      </c>
      <c r="O324" s="96"/>
      <c r="P324" s="105"/>
      <c r="Q324" s="105"/>
      <c r="R324" s="96"/>
      <c r="S324" s="128">
        <v>1</v>
      </c>
      <c r="T324" s="137">
        <v>1</v>
      </c>
      <c r="U324" s="110">
        <v>1</v>
      </c>
      <c r="V324" s="100">
        <v>1</v>
      </c>
      <c r="W324" s="100"/>
      <c r="X324" s="100">
        <v>1</v>
      </c>
      <c r="Y324" s="110">
        <v>1</v>
      </c>
      <c r="Z324" s="110">
        <v>1</v>
      </c>
      <c r="AA324" s="100">
        <v>1</v>
      </c>
      <c r="AB324" s="109"/>
      <c r="AC324" s="109"/>
      <c r="AD324" s="109"/>
      <c r="AE324" s="108"/>
      <c r="AF324" s="109"/>
      <c r="AG324" s="108"/>
      <c r="AH324" s="111"/>
      <c r="AI324" s="100"/>
      <c r="AJ324" s="100"/>
      <c r="AK324" s="100"/>
      <c r="AL324" s="100"/>
      <c r="AM324" s="100"/>
      <c r="AN324" s="111"/>
      <c r="AO324" s="100"/>
      <c r="AP324" s="100"/>
      <c r="AQ324" s="111"/>
      <c r="AR324" s="100"/>
      <c r="AS324" s="100"/>
      <c r="AT324" s="111"/>
    </row>
    <row r="325" spans="1:46" ht="16.3">
      <c r="A325" s="246" t="s">
        <v>2</v>
      </c>
      <c r="B325" s="240">
        <f>SUM(J325+K325+L325+M325+N325+S325+V325+W325+X325+AA325+AI325+AJ325+AI325+AM325+AP325+AQ325+AS325+AT325+AU325+AV325)+1</f>
        <v>2</v>
      </c>
      <c r="C325" s="215">
        <f>SUM(J325+K325+L325+M325+N325+S325+W325+X325+V325+AA325+AJ325+AI325+AJ325+AN325+AQ325+AM325+AT325+AU325+AV325+AW325+AP325+AS325)+3</f>
        <v>4</v>
      </c>
      <c r="D325" s="133"/>
      <c r="E325" s="134"/>
      <c r="F325" s="135"/>
      <c r="G325" s="136"/>
      <c r="H325" s="96"/>
      <c r="I325" s="96"/>
      <c r="J325" s="104"/>
      <c r="K325" s="75"/>
      <c r="L325" s="75"/>
      <c r="M325" s="75"/>
      <c r="N325" s="75"/>
      <c r="O325" s="96"/>
      <c r="P325" s="105"/>
      <c r="Q325" s="105"/>
      <c r="R325" s="96"/>
      <c r="S325" s="128"/>
      <c r="T325" s="137"/>
      <c r="U325" s="110"/>
      <c r="V325" s="100"/>
      <c r="W325" s="100">
        <v>1</v>
      </c>
      <c r="X325" s="100"/>
      <c r="Y325" s="110"/>
      <c r="Z325" s="110"/>
      <c r="AA325" s="100"/>
      <c r="AB325" s="109"/>
      <c r="AC325" s="109"/>
      <c r="AD325" s="109"/>
      <c r="AE325" s="108"/>
      <c r="AF325" s="109"/>
      <c r="AG325" s="108"/>
      <c r="AH325" s="111"/>
      <c r="AI325" s="100"/>
      <c r="AJ325" s="100"/>
      <c r="AK325" s="100"/>
      <c r="AL325" s="100"/>
      <c r="AM325" s="100"/>
      <c r="AN325" s="111"/>
      <c r="AO325" s="100"/>
      <c r="AP325" s="100"/>
      <c r="AQ325" s="111"/>
      <c r="AR325" s="100"/>
      <c r="AS325" s="100"/>
      <c r="AT325" s="111"/>
    </row>
    <row r="326" spans="1:46" ht="16.3">
      <c r="A326" s="91" t="s">
        <v>363</v>
      </c>
      <c r="B326" s="239">
        <f>SUM(B324+B325)</f>
        <v>10</v>
      </c>
      <c r="C326" s="214">
        <f>SUM(C324+C325)</f>
        <v>27</v>
      </c>
      <c r="D326" s="133"/>
      <c r="E326" s="134"/>
      <c r="F326" s="135"/>
      <c r="G326" s="136"/>
      <c r="H326" s="96"/>
      <c r="I326" s="96"/>
      <c r="J326" s="104"/>
      <c r="K326" s="75"/>
      <c r="L326" s="75"/>
      <c r="M326" s="75"/>
      <c r="N326" s="75"/>
      <c r="O326" s="96"/>
      <c r="P326" s="105"/>
      <c r="Q326" s="105"/>
      <c r="R326" s="96"/>
      <c r="S326" s="128"/>
      <c r="T326" s="137"/>
      <c r="U326" s="110"/>
      <c r="V326" s="100"/>
      <c r="W326" s="100"/>
      <c r="X326" s="100"/>
      <c r="Y326" s="110"/>
      <c r="Z326" s="110"/>
      <c r="AA326" s="100"/>
      <c r="AB326" s="109"/>
      <c r="AC326" s="109"/>
      <c r="AD326" s="109"/>
      <c r="AE326" s="108"/>
      <c r="AF326" s="109"/>
      <c r="AG326" s="108"/>
      <c r="AH326" s="111"/>
      <c r="AI326" s="100"/>
      <c r="AJ326" s="100"/>
      <c r="AK326" s="100"/>
      <c r="AL326" s="100"/>
      <c r="AM326" s="100"/>
      <c r="AN326" s="111"/>
      <c r="AO326" s="100"/>
      <c r="AP326" s="100"/>
      <c r="AQ326" s="111"/>
      <c r="AR326" s="100"/>
      <c r="AS326" s="100"/>
      <c r="AT326" s="111"/>
    </row>
    <row r="327" spans="1:46" ht="16.3">
      <c r="A327" s="246" t="s">
        <v>362</v>
      </c>
      <c r="B327" s="240">
        <f t="shared" ref="B327:B329" si="92">SUM(J327+K327+L327+M327+N327+S327+V327+W327+X327+AA327+AI327+AJ327+AI327+AM327+AP327+AQ327+AS327+AT327+AU327+AV327)</f>
        <v>0</v>
      </c>
      <c r="C327" s="215">
        <f>SUM(J327+K327+L327+M327+N327+S327+W327+X327+V327+AA327+AJ327+AI327+AJ327+AN327+AQ327+AM327+AT327+AU327+AV327+AW327+AP327+AS327)+1</f>
        <v>1</v>
      </c>
      <c r="D327" s="133"/>
      <c r="E327" s="134"/>
      <c r="F327" s="135"/>
      <c r="G327" s="136"/>
      <c r="H327" s="96"/>
      <c r="I327" s="96"/>
      <c r="J327" s="104"/>
      <c r="K327" s="75"/>
      <c r="L327" s="75"/>
      <c r="M327" s="75"/>
      <c r="N327" s="75"/>
      <c r="O327" s="96"/>
      <c r="P327" s="105"/>
      <c r="Q327" s="105"/>
      <c r="R327" s="96"/>
      <c r="S327" s="128"/>
      <c r="T327" s="137"/>
      <c r="U327" s="110"/>
      <c r="V327" s="100"/>
      <c r="W327" s="100"/>
      <c r="X327" s="100"/>
      <c r="Y327" s="110"/>
      <c r="Z327" s="110"/>
      <c r="AA327" s="100"/>
      <c r="AB327" s="109"/>
      <c r="AC327" s="109"/>
      <c r="AD327" s="109"/>
      <c r="AE327" s="108"/>
      <c r="AF327" s="109"/>
      <c r="AG327" s="108"/>
      <c r="AH327" s="111"/>
      <c r="AI327" s="100"/>
      <c r="AJ327" s="100"/>
      <c r="AK327" s="100"/>
      <c r="AL327" s="100"/>
      <c r="AM327" s="100"/>
      <c r="AN327" s="111"/>
      <c r="AO327" s="100"/>
      <c r="AP327" s="100"/>
      <c r="AQ327" s="111"/>
      <c r="AR327" s="100"/>
      <c r="AS327" s="100"/>
      <c r="AT327" s="111"/>
    </row>
    <row r="328" spans="1:46" ht="16.3">
      <c r="A328" s="91" t="s">
        <v>3</v>
      </c>
      <c r="B328" s="239">
        <f t="shared" si="92"/>
        <v>0</v>
      </c>
      <c r="C328" s="214">
        <f>SUM(J328+K328+L328+M328+N328+S328+W328+X328+V328+AA328+AJ328+AI328+AJ328+AN328+AQ328+AM328+AT328+AU328+AV328+AW328+AP328+AS328)+1</f>
        <v>1</v>
      </c>
      <c r="D328" s="133"/>
      <c r="E328" s="134"/>
      <c r="F328" s="135"/>
      <c r="G328" s="136"/>
      <c r="H328" s="96"/>
      <c r="I328" s="96"/>
      <c r="J328" s="104"/>
      <c r="K328" s="75"/>
      <c r="L328" s="75"/>
      <c r="M328" s="75"/>
      <c r="N328" s="75"/>
      <c r="O328" s="96"/>
      <c r="P328" s="105"/>
      <c r="Q328" s="105"/>
      <c r="R328" s="96"/>
      <c r="S328" s="128"/>
      <c r="T328" s="137"/>
      <c r="U328" s="110"/>
      <c r="V328" s="100"/>
      <c r="W328" s="100"/>
      <c r="X328" s="100"/>
      <c r="Y328" s="110">
        <v>1</v>
      </c>
      <c r="Z328" s="110"/>
      <c r="AA328" s="100"/>
      <c r="AB328" s="109"/>
      <c r="AC328" s="109"/>
      <c r="AD328" s="109"/>
      <c r="AE328" s="108"/>
      <c r="AF328" s="109"/>
      <c r="AG328" s="108"/>
      <c r="AH328" s="111"/>
      <c r="AI328" s="100"/>
      <c r="AJ328" s="100"/>
      <c r="AK328" s="100"/>
      <c r="AL328" s="100"/>
      <c r="AM328" s="100"/>
      <c r="AN328" s="111"/>
      <c r="AO328" s="100"/>
      <c r="AP328" s="100"/>
      <c r="AQ328" s="111"/>
      <c r="AR328" s="100"/>
      <c r="AS328" s="100"/>
      <c r="AT328" s="111"/>
    </row>
    <row r="329" spans="1:46" ht="17" thickBot="1">
      <c r="A329" s="92" t="s">
        <v>4</v>
      </c>
      <c r="B329" s="241">
        <f t="shared" si="92"/>
        <v>0</v>
      </c>
      <c r="C329" s="217">
        <f>SUM(J329+K329+L329+M329+N329+S329+W329+X329+V329+AA329+AJ329+AI329+AJ329+AN329+AQ329+AM329+AT329+AU329+AV329+AW329+AP329+AS329)+5</f>
        <v>5</v>
      </c>
      <c r="D329" s="144"/>
      <c r="E329" s="145"/>
      <c r="F329" s="146"/>
      <c r="G329" s="147"/>
      <c r="H329" s="114"/>
      <c r="I329" s="114"/>
      <c r="J329" s="113"/>
      <c r="K329" s="112"/>
      <c r="L329" s="112"/>
      <c r="M329" s="112"/>
      <c r="N329" s="112"/>
      <c r="O329" s="114"/>
      <c r="P329" s="127"/>
      <c r="Q329" s="127"/>
      <c r="R329" s="114"/>
      <c r="S329" s="129"/>
      <c r="T329" s="148"/>
      <c r="U329" s="120"/>
      <c r="V329" s="116"/>
      <c r="W329" s="116"/>
      <c r="X329" s="116"/>
      <c r="Y329" s="120">
        <v>5</v>
      </c>
      <c r="Z329" s="120"/>
      <c r="AA329" s="116"/>
      <c r="AB329" s="114"/>
      <c r="AC329" s="118"/>
      <c r="AD329" s="118"/>
      <c r="AE329" s="117"/>
      <c r="AF329" s="118"/>
      <c r="AG329" s="117"/>
      <c r="AH329" s="121"/>
      <c r="AI329" s="116"/>
      <c r="AJ329" s="116"/>
      <c r="AK329" s="116"/>
      <c r="AL329" s="116"/>
      <c r="AM329" s="116"/>
      <c r="AN329" s="121"/>
      <c r="AO329" s="116"/>
      <c r="AP329" s="116"/>
      <c r="AQ329" s="121"/>
      <c r="AR329" s="116"/>
      <c r="AS329" s="116"/>
      <c r="AT329" s="121"/>
    </row>
    <row r="330" spans="1:46" ht="21.1">
      <c r="A330" s="82" t="s">
        <v>29</v>
      </c>
      <c r="B330" s="239"/>
      <c r="C330" s="214"/>
      <c r="D330" s="133"/>
      <c r="E330" s="134"/>
      <c r="F330" s="135"/>
      <c r="G330" s="136"/>
      <c r="H330" s="96" t="s">
        <v>387</v>
      </c>
      <c r="I330" s="96" t="s">
        <v>339</v>
      </c>
      <c r="J330" s="104">
        <v>5</v>
      </c>
      <c r="K330" s="75">
        <v>5</v>
      </c>
      <c r="L330" s="75">
        <v>5</v>
      </c>
      <c r="M330" s="75" t="s">
        <v>387</v>
      </c>
      <c r="N330" s="75">
        <v>5</v>
      </c>
      <c r="O330" s="96"/>
      <c r="P330" s="105"/>
      <c r="Q330" s="105"/>
      <c r="R330" s="96"/>
      <c r="S330" s="128">
        <v>5</v>
      </c>
      <c r="T330" s="182">
        <v>5</v>
      </c>
      <c r="U330" s="110" t="s">
        <v>387</v>
      </c>
      <c r="V330" s="100">
        <v>5</v>
      </c>
      <c r="W330" s="100" t="s">
        <v>910</v>
      </c>
      <c r="X330" s="100" t="s">
        <v>703</v>
      </c>
      <c r="Y330" s="110" t="s">
        <v>387</v>
      </c>
      <c r="Z330" s="110">
        <v>5</v>
      </c>
      <c r="AA330" s="100">
        <v>5</v>
      </c>
      <c r="AB330" s="109" t="s">
        <v>816</v>
      </c>
      <c r="AC330" s="109" t="s">
        <v>816</v>
      </c>
      <c r="AD330" s="109"/>
      <c r="AE330" s="108"/>
      <c r="AF330" s="109" t="s">
        <v>387</v>
      </c>
      <c r="AG330" s="108"/>
      <c r="AH330" s="111"/>
      <c r="AI330" s="100"/>
      <c r="AJ330" s="100"/>
      <c r="AK330" s="100"/>
      <c r="AL330" s="100"/>
      <c r="AM330" s="100"/>
      <c r="AN330" s="111"/>
      <c r="AO330" s="100"/>
      <c r="AP330" s="100"/>
      <c r="AQ330" s="111"/>
      <c r="AR330" s="100"/>
      <c r="AS330" s="100"/>
      <c r="AT330" s="111"/>
    </row>
    <row r="331" spans="1:46" ht="16.3">
      <c r="A331" s="246" t="s">
        <v>1</v>
      </c>
      <c r="B331" s="240">
        <f>SUM(J331+K331+L331+M331+N331+S331+V331+W331+X331+AA331+AI331+AJ331+AI331+AM331+AP331+AQ331+AS331+AT331+AU331+AV331+AN331)+44</f>
        <v>53</v>
      </c>
      <c r="C331" s="215">
        <f>SUM(J331+K331+L331+M331+N331+S331+W331+X331+V331+AA331+AJ331+AI331+AJ331+AN331+AQ331+AM331+AT331+AU331+AV331+AW331+AP331+AS331)+69</f>
        <v>78</v>
      </c>
      <c r="D331" s="139"/>
      <c r="E331" s="140"/>
      <c r="F331" s="135"/>
      <c r="G331" s="136"/>
      <c r="H331" s="96">
        <v>1</v>
      </c>
      <c r="I331" s="96"/>
      <c r="J331" s="104">
        <v>1</v>
      </c>
      <c r="K331" s="75">
        <v>1</v>
      </c>
      <c r="L331" s="75">
        <v>1</v>
      </c>
      <c r="M331" s="75">
        <v>1</v>
      </c>
      <c r="N331" s="75">
        <v>1</v>
      </c>
      <c r="O331" s="96"/>
      <c r="P331" s="105"/>
      <c r="Q331" s="105"/>
      <c r="R331" s="96"/>
      <c r="S331" s="128">
        <v>1</v>
      </c>
      <c r="T331" s="137">
        <v>1</v>
      </c>
      <c r="U331" s="110">
        <v>1</v>
      </c>
      <c r="V331" s="100">
        <v>1</v>
      </c>
      <c r="W331" s="100">
        <v>1</v>
      </c>
      <c r="X331" s="100"/>
      <c r="Y331" s="110">
        <v>1</v>
      </c>
      <c r="Z331" s="110">
        <v>1</v>
      </c>
      <c r="AA331" s="100">
        <v>1</v>
      </c>
      <c r="AB331" s="109"/>
      <c r="AC331" s="109"/>
      <c r="AD331" s="109"/>
      <c r="AE331" s="108"/>
      <c r="AF331" s="109">
        <v>1</v>
      </c>
      <c r="AG331" s="108"/>
      <c r="AH331" s="111"/>
      <c r="AI331" s="100"/>
      <c r="AJ331" s="100"/>
      <c r="AK331" s="100"/>
      <c r="AL331" s="100"/>
      <c r="AM331" s="100"/>
      <c r="AN331" s="111"/>
      <c r="AO331" s="100"/>
      <c r="AP331" s="100"/>
      <c r="AQ331" s="111"/>
      <c r="AR331" s="100"/>
      <c r="AS331" s="100"/>
      <c r="AT331" s="111"/>
    </row>
    <row r="332" spans="1:46" ht="16.3">
      <c r="A332" s="246" t="s">
        <v>2</v>
      </c>
      <c r="B332" s="240">
        <f>SUM(J332+K332+L332+M332+N332+S332+V332+W332+X332+AA332+AI332+AJ332+AI332+AM332+AP332+AQ332+AS332+AT332+AU332+AV332)</f>
        <v>0</v>
      </c>
      <c r="C332" s="215">
        <f>SUM(J332+K332+L332+M332+N332+S332+W332+X332+V332+AA332+AJ332+AI332+AJ332+AN332+AQ332+AM332+AT332+AU332+AV332+AW332+AP332+AS332)+14</f>
        <v>14</v>
      </c>
      <c r="D332" s="139"/>
      <c r="E332" s="140"/>
      <c r="F332" s="135"/>
      <c r="G332" s="136"/>
      <c r="H332" s="96"/>
      <c r="I332" s="96"/>
      <c r="J332" s="104"/>
      <c r="K332" s="75"/>
      <c r="L332" s="75"/>
      <c r="M332" s="75"/>
      <c r="N332" s="75"/>
      <c r="O332" s="96"/>
      <c r="P332" s="105"/>
      <c r="Q332" s="105"/>
      <c r="R332" s="96"/>
      <c r="S332" s="128"/>
      <c r="T332" s="137"/>
      <c r="U332" s="110"/>
      <c r="V332" s="100"/>
      <c r="W332" s="100"/>
      <c r="X332" s="100"/>
      <c r="Y332" s="110"/>
      <c r="Z332" s="110"/>
      <c r="AA332" s="100"/>
      <c r="AB332" s="109"/>
      <c r="AC332" s="109"/>
      <c r="AD332" s="109"/>
      <c r="AE332" s="108"/>
      <c r="AF332" s="109"/>
      <c r="AG332" s="108"/>
      <c r="AH332" s="111"/>
      <c r="AI332" s="100"/>
      <c r="AJ332" s="100"/>
      <c r="AK332" s="100"/>
      <c r="AL332" s="100"/>
      <c r="AM332" s="100"/>
      <c r="AN332" s="111"/>
      <c r="AO332" s="100"/>
      <c r="AP332" s="100"/>
      <c r="AQ332" s="111"/>
      <c r="AR332" s="100"/>
      <c r="AS332" s="100"/>
      <c r="AT332" s="111"/>
    </row>
    <row r="333" spans="1:46" ht="16.3">
      <c r="A333" s="91" t="s">
        <v>363</v>
      </c>
      <c r="B333" s="239">
        <f>SUM(B331+B332)</f>
        <v>53</v>
      </c>
      <c r="C333" s="214">
        <f>SUM(C331+C332)</f>
        <v>92</v>
      </c>
      <c r="D333" s="133"/>
      <c r="E333" s="134"/>
      <c r="F333" s="135"/>
      <c r="G333" s="136"/>
      <c r="H333" s="96"/>
      <c r="I333" s="96"/>
      <c r="J333" s="104"/>
      <c r="K333" s="75"/>
      <c r="L333" s="75"/>
      <c r="M333" s="75"/>
      <c r="N333" s="75"/>
      <c r="O333" s="96"/>
      <c r="P333" s="105"/>
      <c r="Q333" s="105"/>
      <c r="R333" s="96"/>
      <c r="S333" s="128"/>
      <c r="T333" s="137"/>
      <c r="U333" s="110"/>
      <c r="V333" s="100"/>
      <c r="W333" s="100"/>
      <c r="X333" s="100"/>
      <c r="Y333" s="110"/>
      <c r="Z333" s="110"/>
      <c r="AA333" s="100"/>
      <c r="AB333" s="109"/>
      <c r="AC333" s="109"/>
      <c r="AD333" s="109"/>
      <c r="AE333" s="108"/>
      <c r="AF333" s="109"/>
      <c r="AG333" s="108"/>
      <c r="AH333" s="111"/>
      <c r="AI333" s="100"/>
      <c r="AJ333" s="100"/>
      <c r="AK333" s="100"/>
      <c r="AL333" s="100"/>
      <c r="AM333" s="100"/>
      <c r="AN333" s="111"/>
      <c r="AO333" s="100"/>
      <c r="AP333" s="100"/>
      <c r="AQ333" s="111"/>
      <c r="AR333" s="100"/>
      <c r="AS333" s="100"/>
      <c r="AT333" s="111"/>
    </row>
    <row r="334" spans="1:46" ht="16.3">
      <c r="A334" s="246" t="s">
        <v>362</v>
      </c>
      <c r="B334" s="240">
        <f>SUM(J334+K334+L334+M334+N334+S334+V334+W334+X334+AA334+AI334+AJ334+AI334+AM334+AP334+AQ334+AS334+AT334+AU334+AV334)+1</f>
        <v>1</v>
      </c>
      <c r="C334" s="215">
        <f>SUM(J334+K334+L334+M334+N334+S334+W334+X334+V334+AA334+AJ334+AI334+AJ334+AN334+AQ334+AM334+AT334+AU334+AV334+AW334+AP334+AS334)+1</f>
        <v>1</v>
      </c>
      <c r="D334" s="133"/>
      <c r="E334" s="134"/>
      <c r="F334" s="135"/>
      <c r="G334" s="136"/>
      <c r="H334" s="96"/>
      <c r="I334" s="96"/>
      <c r="J334" s="104"/>
      <c r="K334" s="75"/>
      <c r="L334" s="75"/>
      <c r="M334" s="75"/>
      <c r="N334" s="75"/>
      <c r="O334" s="96"/>
      <c r="P334" s="105"/>
      <c r="Q334" s="105"/>
      <c r="R334" s="96"/>
      <c r="S334" s="128"/>
      <c r="T334" s="137"/>
      <c r="U334" s="110"/>
      <c r="V334" s="100"/>
      <c r="W334" s="100"/>
      <c r="X334" s="100"/>
      <c r="Y334" s="110"/>
      <c r="Z334" s="110"/>
      <c r="AA334" s="100"/>
      <c r="AB334" s="109"/>
      <c r="AC334" s="109"/>
      <c r="AD334" s="109"/>
      <c r="AE334" s="108"/>
      <c r="AF334" s="109"/>
      <c r="AG334" s="108"/>
      <c r="AH334" s="111"/>
      <c r="AI334" s="100"/>
      <c r="AJ334" s="100"/>
      <c r="AK334" s="100"/>
      <c r="AL334" s="100"/>
      <c r="AM334" s="100"/>
      <c r="AN334" s="111"/>
      <c r="AO334" s="100"/>
      <c r="AP334" s="100"/>
      <c r="AQ334" s="111"/>
      <c r="AR334" s="100"/>
      <c r="AS334" s="100"/>
      <c r="AT334" s="111"/>
    </row>
    <row r="335" spans="1:46" ht="16.3">
      <c r="A335" s="246" t="s">
        <v>364</v>
      </c>
      <c r="B335" s="240">
        <f>SUM(J335+K335+L335+M335+N335+S335+V335+W335+X335+AA335+AI335+AJ335+AI335+AM335+AP335+AQ335+AS335+AT335+AU335+AV335)</f>
        <v>1</v>
      </c>
      <c r="C335" s="215">
        <f>SUM(J335+K335+L335+M335+N335+S335+W335+X335+V335+AA335+AJ335+AI335+AJ335+AN335+AQ335+AM335+AT335+AU335+AV335+AW335+AP335+AS335)</f>
        <v>1</v>
      </c>
      <c r="D335" s="133"/>
      <c r="E335" s="134"/>
      <c r="F335" s="135"/>
      <c r="G335" s="136"/>
      <c r="H335" s="96"/>
      <c r="I335" s="96"/>
      <c r="J335" s="104"/>
      <c r="K335" s="75"/>
      <c r="L335" s="75"/>
      <c r="M335" s="75"/>
      <c r="N335" s="75"/>
      <c r="O335" s="96"/>
      <c r="P335" s="105"/>
      <c r="Q335" s="105"/>
      <c r="R335" s="96"/>
      <c r="S335" s="128"/>
      <c r="T335" s="137"/>
      <c r="U335" s="110"/>
      <c r="V335" s="100"/>
      <c r="W335" s="100">
        <v>1</v>
      </c>
      <c r="X335" s="100"/>
      <c r="Y335" s="110"/>
      <c r="Z335" s="110"/>
      <c r="AA335" s="100"/>
      <c r="AB335" s="109"/>
      <c r="AC335" s="109"/>
      <c r="AD335" s="109"/>
      <c r="AE335" s="108"/>
      <c r="AF335" s="109"/>
      <c r="AG335" s="108"/>
      <c r="AH335" s="111"/>
      <c r="AI335" s="100"/>
      <c r="AJ335" s="100"/>
      <c r="AK335" s="100"/>
      <c r="AL335" s="100"/>
      <c r="AM335" s="100"/>
      <c r="AN335" s="111"/>
      <c r="AO335" s="100"/>
      <c r="AP335" s="100"/>
      <c r="AQ335" s="111"/>
      <c r="AR335" s="100"/>
      <c r="AS335" s="100"/>
      <c r="AT335" s="111"/>
    </row>
    <row r="336" spans="1:46" ht="16.3">
      <c r="A336" s="91" t="s">
        <v>3</v>
      </c>
      <c r="B336" s="239">
        <f>SUM(J336+K336+L336+M336+N336+S336+V336+W336+X336+AA336+AI336+AJ336+AI336+AM336+AP336+AQ336+AS336+AT336+AU336+AV336)+9</f>
        <v>10</v>
      </c>
      <c r="C336" s="214">
        <f>SUM(J336+K336+L336+M336+N336+S336+W336+X336+V336+AA336+AJ336+AI336+AJ336+AN336+AQ336+AM336+AT336+AU336+AV336+AW336+AP336+AS336)+15</f>
        <v>16</v>
      </c>
      <c r="D336" s="133"/>
      <c r="E336" s="134"/>
      <c r="F336" s="135"/>
      <c r="G336" s="136"/>
      <c r="H336" s="96"/>
      <c r="I336" s="96"/>
      <c r="J336" s="104"/>
      <c r="K336" s="75"/>
      <c r="L336" s="75"/>
      <c r="M336" s="75"/>
      <c r="N336" s="75"/>
      <c r="O336" s="96"/>
      <c r="P336" s="105"/>
      <c r="Q336" s="105"/>
      <c r="R336" s="96"/>
      <c r="S336" s="128"/>
      <c r="T336" s="137"/>
      <c r="U336" s="110">
        <v>1</v>
      </c>
      <c r="V336" s="100">
        <v>1</v>
      </c>
      <c r="W336" s="100"/>
      <c r="X336" s="100"/>
      <c r="Y336" s="110"/>
      <c r="Z336" s="110"/>
      <c r="AA336" s="100"/>
      <c r="AB336" s="109"/>
      <c r="AC336" s="109"/>
      <c r="AD336" s="109"/>
      <c r="AE336" s="108"/>
      <c r="AF336" s="109"/>
      <c r="AG336" s="108"/>
      <c r="AH336" s="111"/>
      <c r="AI336" s="100"/>
      <c r="AJ336" s="100"/>
      <c r="AK336" s="100"/>
      <c r="AL336" s="100"/>
      <c r="AM336" s="100"/>
      <c r="AN336" s="111"/>
      <c r="AO336" s="100"/>
      <c r="AP336" s="100"/>
      <c r="AQ336" s="111"/>
      <c r="AR336" s="100"/>
      <c r="AS336" s="100"/>
      <c r="AT336" s="111"/>
    </row>
    <row r="337" spans="1:47" ht="17" thickBot="1">
      <c r="A337" s="92" t="s">
        <v>4</v>
      </c>
      <c r="B337" s="241">
        <v>45</v>
      </c>
      <c r="C337" s="217">
        <f>SUM(J337+K337+L337+M337+N337+S337+W337+X337+V337+AA337+AJ337+AI337+AJ337+AN337+AQ337+AM337+AT337+AU337+AV337+AW337+AP337+AS337)+75</f>
        <v>80</v>
      </c>
      <c r="D337" s="144"/>
      <c r="E337" s="145"/>
      <c r="F337" s="146"/>
      <c r="G337" s="147"/>
      <c r="H337" s="114"/>
      <c r="I337" s="114"/>
      <c r="J337" s="113"/>
      <c r="K337" s="112"/>
      <c r="L337" s="112"/>
      <c r="M337" s="112"/>
      <c r="N337" s="112"/>
      <c r="O337" s="114"/>
      <c r="P337" s="127"/>
      <c r="Q337" s="127"/>
      <c r="R337" s="114"/>
      <c r="S337" s="129"/>
      <c r="T337" s="148"/>
      <c r="U337" s="120">
        <v>5</v>
      </c>
      <c r="V337" s="116">
        <v>5</v>
      </c>
      <c r="W337" s="116"/>
      <c r="X337" s="116"/>
      <c r="Y337" s="120"/>
      <c r="Z337" s="120"/>
      <c r="AA337" s="116"/>
      <c r="AB337" s="118"/>
      <c r="AC337" s="118"/>
      <c r="AD337" s="118"/>
      <c r="AE337" s="117"/>
      <c r="AF337" s="118"/>
      <c r="AG337" s="117"/>
      <c r="AH337" s="121"/>
      <c r="AI337" s="116"/>
      <c r="AJ337" s="116"/>
      <c r="AK337" s="116"/>
      <c r="AL337" s="116"/>
      <c r="AM337" s="116"/>
      <c r="AN337" s="121"/>
      <c r="AO337" s="116"/>
      <c r="AP337" s="116"/>
      <c r="AQ337" s="121"/>
      <c r="AR337" s="116"/>
      <c r="AS337" s="116"/>
      <c r="AT337" s="121"/>
    </row>
    <row r="338" spans="1:47" ht="21.1">
      <c r="A338" s="82" t="s">
        <v>297</v>
      </c>
      <c r="B338" s="239"/>
      <c r="C338" s="214"/>
      <c r="D338" s="133"/>
      <c r="E338" s="134"/>
      <c r="F338" s="135"/>
      <c r="G338" s="136"/>
      <c r="H338" s="96" t="s">
        <v>339</v>
      </c>
      <c r="I338" s="96" t="s">
        <v>339</v>
      </c>
      <c r="J338" s="122" t="s">
        <v>339</v>
      </c>
      <c r="K338" s="104"/>
      <c r="L338" s="75"/>
      <c r="M338" s="75"/>
      <c r="N338" s="75"/>
      <c r="O338" s="96" t="s">
        <v>375</v>
      </c>
      <c r="P338" s="105"/>
      <c r="Q338" s="105"/>
      <c r="R338" s="96">
        <v>5</v>
      </c>
      <c r="S338" s="128"/>
      <c r="T338" s="137"/>
      <c r="U338" s="110"/>
      <c r="V338" s="100"/>
      <c r="W338" s="100"/>
      <c r="X338" s="100"/>
      <c r="Y338" s="110"/>
      <c r="Z338" s="110"/>
      <c r="AA338" s="100"/>
      <c r="AB338" s="109" t="s">
        <v>393</v>
      </c>
      <c r="AC338" s="109" t="s">
        <v>387</v>
      </c>
      <c r="AD338" s="109">
        <v>5</v>
      </c>
      <c r="AE338" s="108"/>
      <c r="AF338" s="109"/>
      <c r="AG338" s="108"/>
      <c r="AH338" s="111"/>
      <c r="AI338" s="100"/>
      <c r="AJ338" s="100"/>
      <c r="AK338" s="100"/>
      <c r="AL338" s="100"/>
      <c r="AM338" s="100"/>
      <c r="AN338" s="111"/>
      <c r="AO338" s="100"/>
      <c r="AP338" s="100"/>
      <c r="AQ338" s="111"/>
      <c r="AR338" s="100"/>
      <c r="AS338" s="100"/>
      <c r="AT338" s="111"/>
    </row>
    <row r="339" spans="1:47" ht="16.3">
      <c r="A339" s="234" t="s">
        <v>1</v>
      </c>
      <c r="B339" s="240">
        <f t="shared" ref="B339" si="93">SUM(J339+K339+L339+M339+N339+S339+V339+W339+X339+AA339+AI339+AJ339+AI339+AM339+AP339+AQ339+AS339+AT339+AU339+AV339+AN339)</f>
        <v>0</v>
      </c>
      <c r="C339" s="215">
        <f t="shared" ref="C339" si="94">SUM(J339+K339+L339+M339+N339+S339+W339+X339+V339+AA339+AJ339+AI339+AJ339+AN339+AQ339+AM339+AT339+AU339+AV339+AW339+AP339+AS339)</f>
        <v>0</v>
      </c>
      <c r="D339" s="133"/>
      <c r="E339" s="134"/>
      <c r="F339" s="135"/>
      <c r="G339" s="136"/>
      <c r="H339" s="96"/>
      <c r="I339" s="96"/>
      <c r="J339" s="104"/>
      <c r="K339" s="75"/>
      <c r="L339" s="75"/>
      <c r="M339" s="75"/>
      <c r="N339" s="75"/>
      <c r="O339" s="96"/>
      <c r="P339" s="105"/>
      <c r="Q339" s="105"/>
      <c r="R339" s="96">
        <v>1</v>
      </c>
      <c r="S339" s="128"/>
      <c r="T339" s="137"/>
      <c r="U339" s="110"/>
      <c r="V339" s="100"/>
      <c r="W339" s="100"/>
      <c r="X339" s="100"/>
      <c r="Y339" s="110"/>
      <c r="Z339" s="110"/>
      <c r="AA339" s="100"/>
      <c r="AB339" s="109"/>
      <c r="AC339" s="109">
        <v>1</v>
      </c>
      <c r="AD339" s="109">
        <v>1</v>
      </c>
      <c r="AE339" s="108"/>
      <c r="AF339" s="109"/>
      <c r="AG339" s="108"/>
      <c r="AH339" s="111"/>
      <c r="AI339" s="100"/>
      <c r="AJ339" s="100"/>
      <c r="AK339" s="100"/>
      <c r="AL339" s="100"/>
      <c r="AM339" s="100"/>
      <c r="AN339" s="111"/>
      <c r="AO339" s="100"/>
      <c r="AP339" s="100"/>
      <c r="AQ339" s="111"/>
      <c r="AR339" s="100"/>
      <c r="AS339" s="100"/>
      <c r="AT339" s="111"/>
    </row>
    <row r="340" spans="1:47" ht="16.3">
      <c r="A340" s="234" t="s">
        <v>2</v>
      </c>
      <c r="B340" s="240">
        <f>SUM(J340+K340+L340+M340+N340+S340+V340+W340+X340+AA340+AI340+AJ340+AI340+AM340+AP340+AQ340+AS340+AT340+AU340+AV340)+1</f>
        <v>1</v>
      </c>
      <c r="C340" s="215">
        <f>SUM(J340+K340+L340+M340+N340+S340+W340+X340+V340+AA340+AJ340+AI340+AJ340+AN340+AQ340+AM340+AT340+AU340+AV340+AW340+AP340+AS340)+1</f>
        <v>1</v>
      </c>
      <c r="D340" s="133"/>
      <c r="E340" s="134"/>
      <c r="F340" s="135"/>
      <c r="G340" s="136"/>
      <c r="H340" s="96"/>
      <c r="I340" s="96"/>
      <c r="J340" s="104"/>
      <c r="K340" s="75"/>
      <c r="L340" s="75"/>
      <c r="M340" s="75"/>
      <c r="N340" s="75"/>
      <c r="O340" s="96">
        <v>1</v>
      </c>
      <c r="P340" s="105"/>
      <c r="Q340" s="105"/>
      <c r="R340" s="96"/>
      <c r="S340" s="128"/>
      <c r="T340" s="137"/>
      <c r="U340" s="110"/>
      <c r="V340" s="100"/>
      <c r="W340" s="100"/>
      <c r="X340" s="100"/>
      <c r="Y340" s="110"/>
      <c r="Z340" s="110"/>
      <c r="AA340" s="100"/>
      <c r="AB340" s="109"/>
      <c r="AC340" s="109"/>
      <c r="AD340" s="109"/>
      <c r="AE340" s="108"/>
      <c r="AF340" s="109"/>
      <c r="AG340" s="108"/>
      <c r="AH340" s="111"/>
      <c r="AI340" s="100"/>
      <c r="AJ340" s="100"/>
      <c r="AK340" s="100"/>
      <c r="AL340" s="100"/>
      <c r="AM340" s="100"/>
      <c r="AN340" s="111"/>
      <c r="AO340" s="100"/>
      <c r="AP340" s="100"/>
      <c r="AQ340" s="111"/>
      <c r="AR340" s="100"/>
      <c r="AS340" s="100"/>
      <c r="AT340" s="111"/>
    </row>
    <row r="341" spans="1:47" ht="16.3">
      <c r="A341" s="91" t="s">
        <v>363</v>
      </c>
      <c r="B341" s="239">
        <f t="shared" ref="B341:C341" si="95">SUM(B339+B340)</f>
        <v>1</v>
      </c>
      <c r="C341" s="214">
        <f t="shared" si="95"/>
        <v>1</v>
      </c>
      <c r="D341" s="133"/>
      <c r="E341" s="134"/>
      <c r="F341" s="135"/>
      <c r="G341" s="136"/>
      <c r="H341" s="96"/>
      <c r="I341" s="96"/>
      <c r="J341" s="104"/>
      <c r="K341" s="75"/>
      <c r="L341" s="75"/>
      <c r="M341" s="75"/>
      <c r="N341" s="75"/>
      <c r="O341" s="96"/>
      <c r="P341" s="105"/>
      <c r="Q341" s="105"/>
      <c r="R341" s="96"/>
      <c r="S341" s="128"/>
      <c r="T341" s="137"/>
      <c r="U341" s="110"/>
      <c r="V341" s="100"/>
      <c r="W341" s="100"/>
      <c r="X341" s="100"/>
      <c r="Y341" s="110"/>
      <c r="Z341" s="110"/>
      <c r="AA341" s="100"/>
      <c r="AB341" s="109"/>
      <c r="AC341" s="109"/>
      <c r="AD341" s="109"/>
      <c r="AE341" s="108"/>
      <c r="AF341" s="109"/>
      <c r="AG341" s="108"/>
      <c r="AH341" s="111"/>
      <c r="AI341" s="100"/>
      <c r="AJ341" s="100"/>
      <c r="AK341" s="100"/>
      <c r="AL341" s="100"/>
      <c r="AM341" s="100"/>
      <c r="AN341" s="111"/>
      <c r="AO341" s="100"/>
      <c r="AP341" s="100"/>
      <c r="AQ341" s="111"/>
      <c r="AR341" s="100"/>
      <c r="AS341" s="100"/>
      <c r="AT341" s="111"/>
    </row>
    <row r="342" spans="1:47" ht="16.3">
      <c r="A342" s="91" t="s">
        <v>3</v>
      </c>
      <c r="B342" s="239">
        <f t="shared" ref="B342:B343" si="96">SUM(J342+K342+L342+M342+N342+S342+V342+W342+X342+AA342+AI342+AJ342+AI342+AM342+AP342+AQ342+AS342+AT342+AU342+AV342)</f>
        <v>0</v>
      </c>
      <c r="C342" s="214">
        <f t="shared" ref="C342:C343" si="97">SUM(J342+K342+L342+M342+N342+S342+W342+X342+V342+AA342+AJ342+AI342+AJ342+AN342+AQ342+AM342+AT342+AU342+AV342+AW342+AP342+AS342)</f>
        <v>0</v>
      </c>
      <c r="D342" s="133"/>
      <c r="E342" s="134"/>
      <c r="F342" s="135"/>
      <c r="G342" s="136"/>
      <c r="H342" s="96"/>
      <c r="I342" s="96"/>
      <c r="J342" s="104"/>
      <c r="K342" s="75"/>
      <c r="L342" s="75"/>
      <c r="M342" s="75"/>
      <c r="N342" s="75"/>
      <c r="O342" s="96"/>
      <c r="P342" s="105"/>
      <c r="Q342" s="105"/>
      <c r="R342" s="96"/>
      <c r="S342" s="128"/>
      <c r="T342" s="137"/>
      <c r="U342" s="110"/>
      <c r="V342" s="100"/>
      <c r="W342" s="100"/>
      <c r="X342" s="100"/>
      <c r="Y342" s="110"/>
      <c r="Z342" s="110"/>
      <c r="AA342" s="100"/>
      <c r="AB342" s="109"/>
      <c r="AC342" s="109"/>
      <c r="AD342" s="109"/>
      <c r="AE342" s="108"/>
      <c r="AF342" s="109"/>
      <c r="AG342" s="108"/>
      <c r="AH342" s="111"/>
      <c r="AI342" s="100"/>
      <c r="AJ342" s="100"/>
      <c r="AK342" s="100"/>
      <c r="AL342" s="100"/>
      <c r="AM342" s="100"/>
      <c r="AN342" s="111"/>
      <c r="AO342" s="100"/>
      <c r="AP342" s="100"/>
      <c r="AQ342" s="111"/>
      <c r="AR342" s="100"/>
      <c r="AS342" s="100"/>
      <c r="AT342" s="111"/>
    </row>
    <row r="343" spans="1:47" ht="17" thickBot="1">
      <c r="A343" s="92" t="s">
        <v>4</v>
      </c>
      <c r="B343" s="241">
        <f t="shared" si="96"/>
        <v>0</v>
      </c>
      <c r="C343" s="217">
        <f t="shared" si="97"/>
        <v>0</v>
      </c>
      <c r="D343" s="144"/>
      <c r="E343" s="145"/>
      <c r="F343" s="146"/>
      <c r="G343" s="147"/>
      <c r="H343" s="114"/>
      <c r="I343" s="114"/>
      <c r="J343" s="113"/>
      <c r="K343" s="112"/>
      <c r="L343" s="112"/>
      <c r="M343" s="112"/>
      <c r="N343" s="112"/>
      <c r="O343" s="114"/>
      <c r="P343" s="127"/>
      <c r="Q343" s="127"/>
      <c r="R343" s="114"/>
      <c r="S343" s="129"/>
      <c r="T343" s="148"/>
      <c r="U343" s="120"/>
      <c r="V343" s="116"/>
      <c r="W343" s="116"/>
      <c r="X343" s="116"/>
      <c r="Y343" s="120"/>
      <c r="Z343" s="120"/>
      <c r="AA343" s="116"/>
      <c r="AB343" s="118"/>
      <c r="AC343" s="118"/>
      <c r="AD343" s="118"/>
      <c r="AE343" s="117"/>
      <c r="AF343" s="118"/>
      <c r="AG343" s="117"/>
      <c r="AH343" s="121"/>
      <c r="AI343" s="116"/>
      <c r="AJ343" s="116"/>
      <c r="AK343" s="116"/>
      <c r="AL343" s="116"/>
      <c r="AM343" s="116"/>
      <c r="AN343" s="121"/>
      <c r="AO343" s="116"/>
      <c r="AP343" s="116"/>
      <c r="AQ343" s="121"/>
      <c r="AR343" s="116"/>
      <c r="AS343" s="116"/>
      <c r="AT343" s="121"/>
    </row>
    <row r="344" spans="1:47" ht="21.1">
      <c r="A344" s="82" t="s">
        <v>131</v>
      </c>
      <c r="B344" s="239"/>
      <c r="C344" s="214"/>
      <c r="D344" s="133"/>
      <c r="E344" s="134"/>
      <c r="F344" s="135"/>
      <c r="G344" s="136"/>
      <c r="H344" s="96">
        <v>4</v>
      </c>
      <c r="I344" s="96" t="s">
        <v>387</v>
      </c>
      <c r="J344" s="104" t="s">
        <v>375</v>
      </c>
      <c r="K344" s="75">
        <v>6</v>
      </c>
      <c r="L344" s="75" t="s">
        <v>393</v>
      </c>
      <c r="M344" s="75" t="s">
        <v>375</v>
      </c>
      <c r="N344" s="75" t="s">
        <v>375</v>
      </c>
      <c r="O344" s="96">
        <v>5</v>
      </c>
      <c r="P344" s="105"/>
      <c r="Q344" s="105"/>
      <c r="R344" s="96"/>
      <c r="S344" s="128" t="s">
        <v>375</v>
      </c>
      <c r="T344" s="137" t="s">
        <v>375</v>
      </c>
      <c r="U344" s="110">
        <v>6</v>
      </c>
      <c r="V344" s="100" t="s">
        <v>382</v>
      </c>
      <c r="W344" s="100">
        <v>6</v>
      </c>
      <c r="X344" s="100">
        <v>5</v>
      </c>
      <c r="Y344" s="110" t="s">
        <v>375</v>
      </c>
      <c r="Z344" s="110" t="s">
        <v>375</v>
      </c>
      <c r="AA344" s="100" t="s">
        <v>375</v>
      </c>
      <c r="AB344" s="109">
        <v>5</v>
      </c>
      <c r="AC344" s="109">
        <v>6</v>
      </c>
      <c r="AD344" s="109">
        <v>6</v>
      </c>
      <c r="AE344" s="108"/>
      <c r="AF344" s="109" t="s">
        <v>375</v>
      </c>
      <c r="AG344" s="108"/>
      <c r="AH344" s="111"/>
      <c r="AI344" s="100"/>
      <c r="AJ344" s="100"/>
      <c r="AK344" s="100"/>
      <c r="AL344" s="100"/>
      <c r="AM344" s="100"/>
      <c r="AN344" s="111"/>
      <c r="AO344" s="100"/>
      <c r="AP344" s="100"/>
      <c r="AQ344" s="111"/>
      <c r="AR344" s="100"/>
      <c r="AS344" s="100"/>
      <c r="AT344" s="111"/>
    </row>
    <row r="345" spans="1:47" ht="16.3">
      <c r="A345" s="246" t="s">
        <v>1</v>
      </c>
      <c r="B345" s="240">
        <f>SUM(J345+K345+L345+M345+N345+S345+V345+W345+X345+AA345+AI345+AJ345+AI345+AM345+AP345+AQ345+AS345+AT345+AU345+AV345+AN345)+6</f>
        <v>10</v>
      </c>
      <c r="C345" s="215">
        <f>SUM(J345+K345+L345+M345+N345+S345+W345+X345+V345+AA345+AJ345+AI345+AJ345+AN345+AQ345+AM345+AT345+AU345+AV345+AW345+AP345+AS345)+6</f>
        <v>10</v>
      </c>
      <c r="D345" s="139"/>
      <c r="E345" s="140"/>
      <c r="F345" s="135"/>
      <c r="G345" s="136"/>
      <c r="H345" s="96">
        <v>1</v>
      </c>
      <c r="I345" s="96">
        <v>1</v>
      </c>
      <c r="J345" s="104"/>
      <c r="K345" s="75">
        <v>1</v>
      </c>
      <c r="L345" s="75"/>
      <c r="M345" s="75"/>
      <c r="N345" s="75"/>
      <c r="O345" s="96">
        <v>1</v>
      </c>
      <c r="P345" s="105"/>
      <c r="Q345" s="105"/>
      <c r="R345" s="96"/>
      <c r="S345" s="128"/>
      <c r="T345" s="137"/>
      <c r="U345" s="110">
        <v>1</v>
      </c>
      <c r="V345" s="100">
        <v>1</v>
      </c>
      <c r="W345" s="100">
        <v>1</v>
      </c>
      <c r="X345" s="100">
        <v>1</v>
      </c>
      <c r="Y345" s="110"/>
      <c r="Z345" s="110"/>
      <c r="AA345" s="100"/>
      <c r="AB345" s="109">
        <v>1</v>
      </c>
      <c r="AC345" s="109">
        <v>1</v>
      </c>
      <c r="AD345" s="109">
        <v>1</v>
      </c>
      <c r="AE345" s="108"/>
      <c r="AF345" s="109"/>
      <c r="AG345" s="108"/>
      <c r="AH345" s="111"/>
      <c r="AI345" s="100"/>
      <c r="AJ345" s="100"/>
      <c r="AK345" s="100"/>
      <c r="AL345" s="100"/>
      <c r="AM345" s="100"/>
      <c r="AN345" s="111"/>
      <c r="AO345" s="100"/>
      <c r="AP345" s="100"/>
      <c r="AQ345" s="111"/>
      <c r="AR345" s="100"/>
      <c r="AS345" s="100"/>
      <c r="AT345" s="111"/>
    </row>
    <row r="346" spans="1:47" ht="16.3">
      <c r="A346" s="246" t="s">
        <v>2</v>
      </c>
      <c r="B346" s="240">
        <f>SUM(J346+K346+L346+M346+N346+S346+V346+W346+X346+AA346+AI346+AJ346+AI346+AM346+AP346+AQ346+AS346+AT346+AU346+AV346)+11</f>
        <v>16</v>
      </c>
      <c r="C346" s="215">
        <f>SUM(J346+K346+L346+M346+N346+S346+W346+X346+V346+AA346+AJ346+AI346+AJ346+AN346+AQ346+AM346+AT346+AU346+AV346+AW346+AP346+AS346)+11</f>
        <v>16</v>
      </c>
      <c r="D346" s="139"/>
      <c r="E346" s="140"/>
      <c r="F346" s="135"/>
      <c r="G346" s="136"/>
      <c r="H346" s="96"/>
      <c r="I346" s="96"/>
      <c r="J346" s="104">
        <v>1</v>
      </c>
      <c r="K346" s="75"/>
      <c r="L346" s="75"/>
      <c r="M346" s="75">
        <v>1</v>
      </c>
      <c r="N346" s="75">
        <v>1</v>
      </c>
      <c r="O346" s="96"/>
      <c r="P346" s="105"/>
      <c r="Q346" s="105"/>
      <c r="R346" s="96"/>
      <c r="S346" s="128">
        <v>1</v>
      </c>
      <c r="T346" s="137">
        <v>1</v>
      </c>
      <c r="U346" s="110"/>
      <c r="V346" s="100"/>
      <c r="W346" s="100"/>
      <c r="X346" s="100"/>
      <c r="Y346" s="110">
        <v>1</v>
      </c>
      <c r="Z346" s="110">
        <v>1</v>
      </c>
      <c r="AA346" s="100">
        <v>1</v>
      </c>
      <c r="AB346" s="109"/>
      <c r="AC346" s="109"/>
      <c r="AD346" s="109"/>
      <c r="AE346" s="108"/>
      <c r="AF346" s="109">
        <v>1</v>
      </c>
      <c r="AG346" s="108"/>
      <c r="AH346" s="111"/>
      <c r="AI346" s="100"/>
      <c r="AJ346" s="100"/>
      <c r="AK346" s="100"/>
      <c r="AL346" s="100"/>
      <c r="AM346" s="100"/>
      <c r="AN346" s="111"/>
      <c r="AO346" s="100"/>
      <c r="AP346" s="100"/>
      <c r="AQ346" s="111"/>
      <c r="AR346" s="100"/>
      <c r="AS346" s="100"/>
      <c r="AT346" s="111"/>
    </row>
    <row r="347" spans="1:47" ht="16.3">
      <c r="A347" s="91" t="s">
        <v>363</v>
      </c>
      <c r="B347" s="239">
        <f t="shared" ref="B347:C347" si="98">SUM(B345+B346)</f>
        <v>26</v>
      </c>
      <c r="C347" s="214">
        <f t="shared" si="98"/>
        <v>26</v>
      </c>
      <c r="D347" s="133"/>
      <c r="E347" s="134"/>
      <c r="F347" s="135"/>
      <c r="G347" s="136"/>
      <c r="H347" s="96"/>
      <c r="I347" s="96"/>
      <c r="J347" s="104"/>
      <c r="K347" s="75"/>
      <c r="L347" s="75"/>
      <c r="M347" s="75"/>
      <c r="N347" s="75"/>
      <c r="O347" s="96"/>
      <c r="P347" s="105"/>
      <c r="Q347" s="105"/>
      <c r="R347" s="96"/>
      <c r="S347" s="128"/>
      <c r="T347" s="137"/>
      <c r="U347" s="110"/>
      <c r="V347" s="100"/>
      <c r="W347" s="100"/>
      <c r="X347" s="100"/>
      <c r="Y347" s="110"/>
      <c r="Z347" s="110"/>
      <c r="AA347" s="100"/>
      <c r="AB347" s="109"/>
      <c r="AC347" s="109"/>
      <c r="AD347" s="109"/>
      <c r="AE347" s="108"/>
      <c r="AF347" s="109"/>
      <c r="AG347" s="108"/>
      <c r="AH347" s="111"/>
      <c r="AI347" s="100"/>
      <c r="AJ347" s="100"/>
      <c r="AK347" s="100"/>
      <c r="AL347" s="100"/>
      <c r="AM347" s="100"/>
      <c r="AN347" s="111"/>
      <c r="AO347" s="100"/>
      <c r="AP347" s="100"/>
      <c r="AQ347" s="111"/>
      <c r="AR347" s="100"/>
      <c r="AS347" s="100"/>
      <c r="AT347" s="111"/>
    </row>
    <row r="348" spans="1:47" ht="16.3">
      <c r="A348" s="91" t="s">
        <v>3</v>
      </c>
      <c r="B348" s="239">
        <f t="shared" ref="B348:B349" si="99">SUM(J348+K348+L348+M348+N348+S348+V348+W348+X348+AA348+AI348+AJ348+AI348+AM348+AP348+AQ348+AS348+AT348+AU348+AV348)</f>
        <v>1</v>
      </c>
      <c r="C348" s="214">
        <f t="shared" ref="C348:C349" si="100">SUM(J348+K348+L348+M348+N348+S348+W348+X348+V348+AA348+AJ348+AI348+AJ348+AN348+AQ348+AM348+AT348+AU348+AV348+AW348+AP348+AS348)</f>
        <v>1</v>
      </c>
      <c r="D348" s="133"/>
      <c r="E348" s="134"/>
      <c r="F348" s="135"/>
      <c r="G348" s="136"/>
      <c r="H348" s="96"/>
      <c r="I348" s="96">
        <v>1</v>
      </c>
      <c r="J348" s="104"/>
      <c r="K348" s="75"/>
      <c r="L348" s="75"/>
      <c r="M348" s="75"/>
      <c r="N348" s="75"/>
      <c r="O348" s="96"/>
      <c r="P348" s="105"/>
      <c r="Q348" s="105"/>
      <c r="R348" s="96"/>
      <c r="S348" s="128"/>
      <c r="T348" s="137"/>
      <c r="U348" s="110"/>
      <c r="V348" s="100"/>
      <c r="W348" s="100"/>
      <c r="X348" s="100">
        <v>1</v>
      </c>
      <c r="Y348" s="110"/>
      <c r="Z348" s="110"/>
      <c r="AA348" s="100"/>
      <c r="AB348" s="109"/>
      <c r="AC348" s="109">
        <v>1</v>
      </c>
      <c r="AD348" s="109"/>
      <c r="AE348" s="108"/>
      <c r="AF348" s="109"/>
      <c r="AG348" s="108"/>
      <c r="AH348" s="111"/>
      <c r="AI348" s="100"/>
      <c r="AJ348" s="100"/>
      <c r="AK348" s="100"/>
      <c r="AL348" s="100"/>
      <c r="AM348" s="100"/>
      <c r="AN348" s="111"/>
      <c r="AO348" s="100"/>
      <c r="AP348" s="100"/>
      <c r="AQ348" s="111"/>
      <c r="AR348" s="100"/>
      <c r="AS348" s="100"/>
      <c r="AT348" s="111"/>
    </row>
    <row r="349" spans="1:47" ht="17" thickBot="1">
      <c r="A349" s="92" t="s">
        <v>4</v>
      </c>
      <c r="B349" s="241">
        <f t="shared" si="99"/>
        <v>5</v>
      </c>
      <c r="C349" s="217">
        <f t="shared" si="100"/>
        <v>5</v>
      </c>
      <c r="D349" s="144"/>
      <c r="E349" s="145"/>
      <c r="F349" s="146"/>
      <c r="G349" s="147"/>
      <c r="H349" s="114"/>
      <c r="I349" s="114">
        <v>5</v>
      </c>
      <c r="J349" s="113"/>
      <c r="K349" s="112"/>
      <c r="L349" s="112"/>
      <c r="M349" s="112"/>
      <c r="N349" s="112"/>
      <c r="O349" s="114"/>
      <c r="P349" s="127"/>
      <c r="Q349" s="127"/>
      <c r="R349" s="114"/>
      <c r="S349" s="129"/>
      <c r="T349" s="148"/>
      <c r="U349" s="120"/>
      <c r="V349" s="116"/>
      <c r="W349" s="116"/>
      <c r="X349" s="116">
        <v>5</v>
      </c>
      <c r="Y349" s="120"/>
      <c r="Z349" s="120"/>
      <c r="AA349" s="116"/>
      <c r="AB349" s="118"/>
      <c r="AC349" s="118">
        <v>5</v>
      </c>
      <c r="AD349" s="118"/>
      <c r="AE349" s="117"/>
      <c r="AF349" s="118"/>
      <c r="AG349" s="117"/>
      <c r="AH349" s="121"/>
      <c r="AI349" s="116"/>
      <c r="AJ349" s="116"/>
      <c r="AK349" s="116"/>
      <c r="AL349" s="116"/>
      <c r="AM349" s="116"/>
      <c r="AN349" s="121"/>
      <c r="AO349" s="116"/>
      <c r="AP349" s="116"/>
      <c r="AQ349" s="121"/>
      <c r="AR349" s="116"/>
      <c r="AS349" s="116"/>
      <c r="AT349" s="121"/>
    </row>
    <row r="350" spans="1:47" ht="21.1">
      <c r="A350" s="82" t="s">
        <v>226</v>
      </c>
      <c r="B350" s="239"/>
      <c r="C350" s="214"/>
      <c r="D350" s="133"/>
      <c r="E350" s="134"/>
      <c r="F350" s="135"/>
      <c r="G350" s="136"/>
      <c r="H350" s="96"/>
      <c r="I350" s="96" t="s">
        <v>372</v>
      </c>
      <c r="J350" s="104"/>
      <c r="K350" s="75"/>
      <c r="L350" s="75"/>
      <c r="M350" s="75"/>
      <c r="N350" s="75"/>
      <c r="O350" s="96">
        <v>4</v>
      </c>
      <c r="P350" s="105"/>
      <c r="Q350" s="105"/>
      <c r="R350" s="96" t="s">
        <v>339</v>
      </c>
      <c r="S350" s="128" t="s">
        <v>339</v>
      </c>
      <c r="T350" s="137" t="s">
        <v>339</v>
      </c>
      <c r="U350" s="110" t="s">
        <v>339</v>
      </c>
      <c r="V350" s="100" t="s">
        <v>339</v>
      </c>
      <c r="W350" s="100" t="s">
        <v>339</v>
      </c>
      <c r="X350" s="100" t="s">
        <v>339</v>
      </c>
      <c r="Y350" s="110" t="s">
        <v>339</v>
      </c>
      <c r="Z350" s="110" t="s">
        <v>339</v>
      </c>
      <c r="AA350" s="100" t="s">
        <v>339</v>
      </c>
      <c r="AB350" s="109" t="s">
        <v>339</v>
      </c>
      <c r="AC350" s="109" t="s">
        <v>339</v>
      </c>
      <c r="AD350" s="109" t="s">
        <v>339</v>
      </c>
      <c r="AE350" s="108"/>
      <c r="AF350" s="109"/>
      <c r="AG350" s="108"/>
      <c r="AH350" s="111"/>
      <c r="AI350" s="100"/>
      <c r="AJ350" s="100"/>
      <c r="AK350" s="100"/>
      <c r="AL350" s="100"/>
      <c r="AM350" s="100"/>
      <c r="AN350" s="111"/>
      <c r="AO350" s="100"/>
      <c r="AP350" s="100"/>
      <c r="AQ350" s="111"/>
      <c r="AR350" s="100"/>
      <c r="AS350" s="100"/>
      <c r="AT350" s="111"/>
      <c r="AU350" s="15"/>
    </row>
    <row r="351" spans="1:47" ht="16.3">
      <c r="A351" s="246" t="s">
        <v>1</v>
      </c>
      <c r="B351" s="240">
        <f>SUM(J351+K351+L351+M351+N351+S351+V351+W351+X351+AA351+AI351+AJ351+AI351+AM351+AP351+AQ351+AS351+AT351+AU351+AV351+AN351)+1</f>
        <v>1</v>
      </c>
      <c r="C351" s="215">
        <f>SUM(J351+K351+L351+M351+N351+S351+W351+X351+V351+AA351+AJ351+AI351+AJ351+AN351+AQ351+AM351+AT351+AU351+AV351+AW351+AP351+AS351)+1</f>
        <v>1</v>
      </c>
      <c r="D351" s="133"/>
      <c r="E351" s="134"/>
      <c r="F351" s="135"/>
      <c r="G351" s="136"/>
      <c r="H351" s="96"/>
      <c r="I351" s="96">
        <v>1</v>
      </c>
      <c r="J351" s="104"/>
      <c r="K351" s="75"/>
      <c r="L351" s="75"/>
      <c r="M351" s="75"/>
      <c r="N351" s="75"/>
      <c r="O351" s="96">
        <v>1</v>
      </c>
      <c r="P351" s="105"/>
      <c r="Q351" s="105"/>
      <c r="R351" s="96"/>
      <c r="S351" s="128"/>
      <c r="T351" s="137"/>
      <c r="U351" s="110"/>
      <c r="V351" s="100"/>
      <c r="W351" s="100"/>
      <c r="X351" s="100"/>
      <c r="Y351" s="110"/>
      <c r="Z351" s="110"/>
      <c r="AA351" s="100"/>
      <c r="AB351" s="109"/>
      <c r="AC351" s="109"/>
      <c r="AD351" s="109"/>
      <c r="AE351" s="108"/>
      <c r="AF351" s="109"/>
      <c r="AG351" s="108"/>
      <c r="AH351" s="111"/>
      <c r="AI351" s="100"/>
      <c r="AJ351" s="100"/>
      <c r="AK351" s="100"/>
      <c r="AL351" s="100"/>
      <c r="AM351" s="100"/>
      <c r="AN351" s="111"/>
      <c r="AO351" s="100"/>
      <c r="AP351" s="100"/>
      <c r="AQ351" s="111"/>
      <c r="AR351" s="100"/>
      <c r="AS351" s="100"/>
      <c r="AT351" s="111"/>
      <c r="AU351" s="15"/>
    </row>
    <row r="352" spans="1:47" ht="16.3">
      <c r="A352" s="246" t="s">
        <v>2</v>
      </c>
      <c r="B352" s="240">
        <f>SUM(J352+K352+L352+M352+N352+S352+V352+W352+X352+AA352+AI352+AJ352+AI352+AM352+AP352+AQ352+AS352+AT352+AU352+AV352)+1</f>
        <v>1</v>
      </c>
      <c r="C352" s="215">
        <f>SUM(J352+K352+L352+M352+N352+S352+W352+X352+V352+AA352+AJ352+AI352+AJ352+AN352+AQ352+AM352+AT352+AU352+AV352+AW352+AP352+AS352)+1</f>
        <v>1</v>
      </c>
      <c r="D352" s="133"/>
      <c r="E352" s="134"/>
      <c r="F352" s="135"/>
      <c r="G352" s="136"/>
      <c r="H352" s="96"/>
      <c r="I352" s="96"/>
      <c r="J352" s="104"/>
      <c r="K352" s="75"/>
      <c r="L352" s="75"/>
      <c r="M352" s="75"/>
      <c r="N352" s="75"/>
      <c r="O352" s="96"/>
      <c r="P352" s="105"/>
      <c r="Q352" s="105"/>
      <c r="R352" s="96"/>
      <c r="S352" s="128"/>
      <c r="T352" s="137"/>
      <c r="U352" s="110"/>
      <c r="V352" s="100"/>
      <c r="W352" s="100"/>
      <c r="X352" s="100"/>
      <c r="Y352" s="110"/>
      <c r="Z352" s="110"/>
      <c r="AA352" s="100"/>
      <c r="AB352" s="109"/>
      <c r="AC352" s="109"/>
      <c r="AD352" s="109"/>
      <c r="AE352" s="108"/>
      <c r="AF352" s="109"/>
      <c r="AG352" s="108"/>
      <c r="AH352" s="111"/>
      <c r="AI352" s="100"/>
      <c r="AJ352" s="100"/>
      <c r="AK352" s="100"/>
      <c r="AL352" s="100"/>
      <c r="AM352" s="100"/>
      <c r="AN352" s="111"/>
      <c r="AO352" s="100"/>
      <c r="AP352" s="100"/>
      <c r="AQ352" s="111"/>
      <c r="AR352" s="100"/>
      <c r="AS352" s="100"/>
      <c r="AT352" s="111"/>
      <c r="AU352" s="15"/>
    </row>
    <row r="353" spans="1:47" ht="16.3">
      <c r="A353" s="91" t="s">
        <v>363</v>
      </c>
      <c r="B353" s="239">
        <f t="shared" ref="B353:C353" si="101">SUM(B351+B352)</f>
        <v>2</v>
      </c>
      <c r="C353" s="214">
        <f t="shared" si="101"/>
        <v>2</v>
      </c>
      <c r="D353" s="133"/>
      <c r="E353" s="134"/>
      <c r="F353" s="135"/>
      <c r="G353" s="136"/>
      <c r="H353" s="96"/>
      <c r="I353" s="96"/>
      <c r="J353" s="104"/>
      <c r="K353" s="75"/>
      <c r="L353" s="75"/>
      <c r="M353" s="75"/>
      <c r="N353" s="75"/>
      <c r="O353" s="96"/>
      <c r="P353" s="105"/>
      <c r="Q353" s="105"/>
      <c r="R353" s="96"/>
      <c r="S353" s="128"/>
      <c r="T353" s="137"/>
      <c r="U353" s="110"/>
      <c r="V353" s="100"/>
      <c r="W353" s="100"/>
      <c r="X353" s="100"/>
      <c r="Y353" s="110"/>
      <c r="Z353" s="110"/>
      <c r="AA353" s="100"/>
      <c r="AB353" s="109"/>
      <c r="AC353" s="109"/>
      <c r="AD353" s="109"/>
      <c r="AE353" s="108"/>
      <c r="AF353" s="109"/>
      <c r="AG353" s="108"/>
      <c r="AH353" s="111"/>
      <c r="AI353" s="100"/>
      <c r="AJ353" s="100"/>
      <c r="AK353" s="100"/>
      <c r="AL353" s="100"/>
      <c r="AM353" s="100"/>
      <c r="AN353" s="111"/>
      <c r="AO353" s="100"/>
      <c r="AP353" s="100"/>
      <c r="AQ353" s="111"/>
      <c r="AR353" s="100"/>
      <c r="AS353" s="100"/>
      <c r="AT353" s="111"/>
      <c r="AU353" s="15"/>
    </row>
    <row r="354" spans="1:47" ht="16.3">
      <c r="A354" s="91" t="s">
        <v>3</v>
      </c>
      <c r="B354" s="239">
        <f t="shared" ref="B354:B355" si="102">SUM(J354+K354+L354+M354+N354+S354+V354+W354+X354+AA354+AI354+AJ354+AI354+AM354+AP354+AQ354+AS354+AT354+AU354+AV354)</f>
        <v>0</v>
      </c>
      <c r="C354" s="214">
        <f t="shared" ref="C354:C355" si="103">SUM(J354+K354+L354+M354+N354+S354+W354+X354+V354+AA354+AJ354+AI354+AJ354+AN354+AQ354+AM354+AT354+AU354+AV354+AW354+AP354+AS354)</f>
        <v>0</v>
      </c>
      <c r="D354" s="133"/>
      <c r="E354" s="134"/>
      <c r="F354" s="135"/>
      <c r="G354" s="136"/>
      <c r="H354" s="96"/>
      <c r="I354" s="96">
        <v>1</v>
      </c>
      <c r="J354" s="104"/>
      <c r="K354" s="75"/>
      <c r="L354" s="75"/>
      <c r="M354" s="75"/>
      <c r="N354" s="75"/>
      <c r="O354" s="96"/>
      <c r="P354" s="105"/>
      <c r="Q354" s="105"/>
      <c r="R354" s="96"/>
      <c r="S354" s="128"/>
      <c r="T354" s="137"/>
      <c r="U354" s="110"/>
      <c r="V354" s="100"/>
      <c r="W354" s="100"/>
      <c r="X354" s="100"/>
      <c r="Y354" s="110"/>
      <c r="Z354" s="110"/>
      <c r="AA354" s="100"/>
      <c r="AB354" s="109"/>
      <c r="AC354" s="109"/>
      <c r="AD354" s="109"/>
      <c r="AE354" s="108"/>
      <c r="AF354" s="109"/>
      <c r="AG354" s="108"/>
      <c r="AH354" s="111"/>
      <c r="AI354" s="100"/>
      <c r="AJ354" s="100"/>
      <c r="AK354" s="100"/>
      <c r="AL354" s="100"/>
      <c r="AM354" s="100"/>
      <c r="AN354" s="111"/>
      <c r="AO354" s="100"/>
      <c r="AP354" s="100"/>
      <c r="AQ354" s="111"/>
      <c r="AR354" s="100"/>
      <c r="AS354" s="100"/>
      <c r="AT354" s="111"/>
      <c r="AU354" s="15"/>
    </row>
    <row r="355" spans="1:47" ht="17" thickBot="1">
      <c r="A355" s="92" t="s">
        <v>4</v>
      </c>
      <c r="B355" s="241">
        <f t="shared" si="102"/>
        <v>0</v>
      </c>
      <c r="C355" s="217">
        <f t="shared" si="103"/>
        <v>0</v>
      </c>
      <c r="D355" s="144"/>
      <c r="E355" s="145"/>
      <c r="F355" s="146"/>
      <c r="G355" s="147"/>
      <c r="H355" s="114"/>
      <c r="I355" s="114">
        <v>5</v>
      </c>
      <c r="J355" s="113"/>
      <c r="K355" s="112"/>
      <c r="L355" s="112"/>
      <c r="M355" s="112"/>
      <c r="N355" s="112"/>
      <c r="O355" s="114"/>
      <c r="P355" s="127"/>
      <c r="Q355" s="127"/>
      <c r="R355" s="114"/>
      <c r="S355" s="129"/>
      <c r="T355" s="148"/>
      <c r="U355" s="120"/>
      <c r="V355" s="116"/>
      <c r="W355" s="116"/>
      <c r="X355" s="116"/>
      <c r="Y355" s="120"/>
      <c r="Z355" s="120"/>
      <c r="AA355" s="116"/>
      <c r="AB355" s="118"/>
      <c r="AC355" s="118"/>
      <c r="AD355" s="118"/>
      <c r="AE355" s="117"/>
      <c r="AF355" s="118"/>
      <c r="AG355" s="117"/>
      <c r="AH355" s="121"/>
      <c r="AI355" s="116"/>
      <c r="AJ355" s="116"/>
      <c r="AK355" s="116"/>
      <c r="AL355" s="116"/>
      <c r="AM355" s="116"/>
      <c r="AN355" s="121"/>
      <c r="AO355" s="116"/>
      <c r="AP355" s="116"/>
      <c r="AQ355" s="121"/>
      <c r="AR355" s="116"/>
      <c r="AS355" s="116"/>
      <c r="AT355" s="121"/>
      <c r="AU355" s="15"/>
    </row>
    <row r="356" spans="1:47" ht="21.1">
      <c r="A356" s="82" t="s">
        <v>425</v>
      </c>
      <c r="B356" s="239"/>
      <c r="C356" s="214"/>
      <c r="D356" s="133"/>
      <c r="E356" s="134"/>
      <c r="F356" s="135"/>
      <c r="G356" s="136"/>
      <c r="H356" s="96" t="s">
        <v>375</v>
      </c>
      <c r="I356" s="96" t="s">
        <v>375</v>
      </c>
      <c r="J356" s="104"/>
      <c r="K356" s="75"/>
      <c r="L356" s="75"/>
      <c r="M356" s="75"/>
      <c r="N356" s="75"/>
      <c r="O356" s="96" t="s">
        <v>375</v>
      </c>
      <c r="P356" s="105"/>
      <c r="Q356" s="105"/>
      <c r="R356" s="96">
        <v>7</v>
      </c>
      <c r="S356" s="128"/>
      <c r="T356" s="137"/>
      <c r="U356" s="110"/>
      <c r="V356" s="100"/>
      <c r="W356" s="100"/>
      <c r="X356" s="100"/>
      <c r="Y356" s="110"/>
      <c r="Z356" s="110"/>
      <c r="AA356" s="100" t="s">
        <v>339</v>
      </c>
      <c r="AB356" s="109" t="s">
        <v>339</v>
      </c>
      <c r="AC356" s="109" t="s">
        <v>339</v>
      </c>
      <c r="AD356" s="109"/>
      <c r="AE356" s="108"/>
      <c r="AF356" s="109"/>
      <c r="AG356" s="108"/>
      <c r="AH356" s="111"/>
      <c r="AI356" s="100"/>
      <c r="AJ356" s="100"/>
      <c r="AK356" s="100"/>
      <c r="AL356" s="100"/>
      <c r="AM356" s="100"/>
      <c r="AN356" s="111"/>
      <c r="AO356" s="100"/>
      <c r="AP356" s="100"/>
      <c r="AQ356" s="111"/>
      <c r="AR356" s="100"/>
      <c r="AS356" s="100"/>
      <c r="AT356" s="111"/>
    </row>
    <row r="357" spans="1:47" ht="16.3">
      <c r="A357" s="234" t="s">
        <v>1</v>
      </c>
      <c r="B357" s="240">
        <f t="shared" ref="B357" si="104">SUM(J357+K357+L357+M357+N357+S357+V357+W357+X357+AA357+AI357+AJ357+AI357+AM357+AP357+AQ357+AS357+AT357+AU357+AV357+AN357)</f>
        <v>0</v>
      </c>
      <c r="C357" s="215">
        <f t="shared" ref="C357:C358" si="105">SUM(J357+K357+L357+M357+N357+S357+W357+X357+V357+AA357+AJ357+AI357+AJ357+AN357+AQ357+AM357+AT357+AU357+AV357+AW357+AP357+AS357)</f>
        <v>0</v>
      </c>
      <c r="D357" s="133"/>
      <c r="E357" s="134"/>
      <c r="F357" s="135"/>
      <c r="G357" s="136"/>
      <c r="H357" s="96"/>
      <c r="I357" s="96"/>
      <c r="J357" s="104"/>
      <c r="K357" s="75"/>
      <c r="L357" s="75"/>
      <c r="M357" s="75"/>
      <c r="N357" s="75"/>
      <c r="O357" s="96"/>
      <c r="P357" s="105"/>
      <c r="Q357" s="105"/>
      <c r="R357" s="96">
        <v>1</v>
      </c>
      <c r="S357" s="128"/>
      <c r="T357" s="137"/>
      <c r="U357" s="110"/>
      <c r="V357" s="100"/>
      <c r="W357" s="100"/>
      <c r="X357" s="100"/>
      <c r="Y357" s="110"/>
      <c r="Z357" s="110"/>
      <c r="AA357" s="100"/>
      <c r="AB357" s="109"/>
      <c r="AC357" s="109"/>
      <c r="AD357" s="109"/>
      <c r="AE357" s="108"/>
      <c r="AF357" s="109"/>
      <c r="AG357" s="108"/>
      <c r="AH357" s="111"/>
      <c r="AI357" s="100"/>
      <c r="AJ357" s="100"/>
      <c r="AK357" s="100"/>
      <c r="AL357" s="100"/>
      <c r="AM357" s="100"/>
      <c r="AN357" s="111"/>
      <c r="AO357" s="100"/>
      <c r="AP357" s="100"/>
      <c r="AQ357" s="111"/>
      <c r="AR357" s="100"/>
      <c r="AS357" s="100"/>
      <c r="AT357" s="111"/>
    </row>
    <row r="358" spans="1:47" ht="16.3">
      <c r="A358" s="234" t="s">
        <v>2</v>
      </c>
      <c r="B358" s="240">
        <f t="shared" ref="B358" si="106">SUM(J358+K358+L358+M358+N358+S358+V358+W358+X358+AA358+AI358+AJ358+AI358+AM358+AP358+AQ358+AS358+AT358+AU358+AV358)</f>
        <v>0</v>
      </c>
      <c r="C358" s="215">
        <f t="shared" si="105"/>
        <v>0</v>
      </c>
      <c r="D358" s="133"/>
      <c r="E358" s="134"/>
      <c r="F358" s="135"/>
      <c r="G358" s="136"/>
      <c r="H358" s="96">
        <v>1</v>
      </c>
      <c r="I358" s="96">
        <v>1</v>
      </c>
      <c r="J358" s="104"/>
      <c r="K358" s="75"/>
      <c r="L358" s="75"/>
      <c r="M358" s="75"/>
      <c r="N358" s="75"/>
      <c r="O358" s="96">
        <v>1</v>
      </c>
      <c r="P358" s="105"/>
      <c r="Q358" s="105"/>
      <c r="R358" s="96"/>
      <c r="S358" s="128"/>
      <c r="T358" s="137"/>
      <c r="U358" s="110"/>
      <c r="V358" s="100"/>
      <c r="W358" s="100"/>
      <c r="X358" s="100"/>
      <c r="Y358" s="110"/>
      <c r="Z358" s="110"/>
      <c r="AA358" s="100"/>
      <c r="AB358" s="109"/>
      <c r="AC358" s="109"/>
      <c r="AD358" s="109"/>
      <c r="AE358" s="108"/>
      <c r="AF358" s="109"/>
      <c r="AG358" s="108"/>
      <c r="AH358" s="111"/>
      <c r="AI358" s="100"/>
      <c r="AJ358" s="100"/>
      <c r="AK358" s="100"/>
      <c r="AL358" s="100"/>
      <c r="AM358" s="100"/>
      <c r="AN358" s="111"/>
      <c r="AO358" s="100"/>
      <c r="AP358" s="100"/>
      <c r="AQ358" s="111"/>
      <c r="AR358" s="100"/>
      <c r="AS358" s="100"/>
      <c r="AT358" s="111"/>
    </row>
    <row r="359" spans="1:47" ht="16.3">
      <c r="A359" s="87" t="s">
        <v>363</v>
      </c>
      <c r="B359" s="239">
        <f t="shared" ref="B359:C359" si="107">SUM(B357+B358)</f>
        <v>0</v>
      </c>
      <c r="C359" s="214">
        <f t="shared" si="107"/>
        <v>0</v>
      </c>
      <c r="D359" s="133"/>
      <c r="E359" s="134"/>
      <c r="F359" s="135"/>
      <c r="G359" s="136"/>
      <c r="H359" s="96"/>
      <c r="I359" s="96"/>
      <c r="J359" s="104"/>
      <c r="K359" s="75"/>
      <c r="L359" s="75"/>
      <c r="M359" s="75"/>
      <c r="N359" s="75"/>
      <c r="O359" s="96"/>
      <c r="P359" s="105"/>
      <c r="Q359" s="105"/>
      <c r="R359" s="96"/>
      <c r="S359" s="128"/>
      <c r="T359" s="137"/>
      <c r="U359" s="110"/>
      <c r="V359" s="100"/>
      <c r="W359" s="100"/>
      <c r="X359" s="100"/>
      <c r="Y359" s="110"/>
      <c r="Z359" s="110"/>
      <c r="AA359" s="100"/>
      <c r="AB359" s="109"/>
      <c r="AC359" s="109"/>
      <c r="AD359" s="109"/>
      <c r="AE359" s="108"/>
      <c r="AF359" s="109"/>
      <c r="AG359" s="108"/>
      <c r="AH359" s="111"/>
      <c r="AI359" s="100"/>
      <c r="AJ359" s="100"/>
      <c r="AK359" s="100"/>
      <c r="AL359" s="100"/>
      <c r="AM359" s="100"/>
      <c r="AN359" s="111"/>
      <c r="AO359" s="100"/>
      <c r="AP359" s="100"/>
      <c r="AQ359" s="111"/>
      <c r="AR359" s="100"/>
      <c r="AS359" s="100"/>
      <c r="AT359" s="111"/>
    </row>
    <row r="360" spans="1:47" ht="16.3">
      <c r="A360" s="87" t="s">
        <v>3</v>
      </c>
      <c r="B360" s="239">
        <f t="shared" ref="B360:B361" si="108">SUM(J360+K360+L360+M360+N360+S360+V360+W360+X360+AA360+AI360+AJ360+AI360+AM360+AP360+AQ360+AS360+AT360+AU360+AV360)</f>
        <v>0</v>
      </c>
      <c r="C360" s="214">
        <f t="shared" ref="C360:C361" si="109">SUM(J360+K360+L360+M360+N360+S360+W360+X360+V360+AA360+AJ360+AI360+AJ360+AN360+AQ360+AM360+AT360+AU360+AV360+AW360+AP360+AS360)</f>
        <v>0</v>
      </c>
      <c r="D360" s="133"/>
      <c r="E360" s="134"/>
      <c r="F360" s="135"/>
      <c r="G360" s="136"/>
      <c r="H360" s="96"/>
      <c r="I360" s="96"/>
      <c r="J360" s="104"/>
      <c r="K360" s="75"/>
      <c r="L360" s="75"/>
      <c r="M360" s="75"/>
      <c r="N360" s="75"/>
      <c r="O360" s="96"/>
      <c r="P360" s="105"/>
      <c r="Q360" s="105"/>
      <c r="R360" s="96"/>
      <c r="S360" s="128"/>
      <c r="T360" s="137"/>
      <c r="U360" s="110"/>
      <c r="V360" s="100"/>
      <c r="W360" s="100"/>
      <c r="X360" s="100"/>
      <c r="Y360" s="110"/>
      <c r="Z360" s="110"/>
      <c r="AA360" s="100"/>
      <c r="AB360" s="109"/>
      <c r="AC360" s="109"/>
      <c r="AD360" s="109"/>
      <c r="AE360" s="108"/>
      <c r="AF360" s="109"/>
      <c r="AG360" s="108"/>
      <c r="AH360" s="111"/>
      <c r="AI360" s="100"/>
      <c r="AJ360" s="100"/>
      <c r="AK360" s="100"/>
      <c r="AL360" s="100"/>
      <c r="AM360" s="100"/>
      <c r="AN360" s="111"/>
      <c r="AO360" s="100"/>
      <c r="AP360" s="100"/>
      <c r="AQ360" s="111"/>
      <c r="AR360" s="100"/>
      <c r="AS360" s="100"/>
      <c r="AT360" s="111"/>
    </row>
    <row r="361" spans="1:47" ht="17" thickBot="1">
      <c r="A361" s="88" t="s">
        <v>4</v>
      </c>
      <c r="B361" s="241">
        <f t="shared" si="108"/>
        <v>0</v>
      </c>
      <c r="C361" s="217">
        <f t="shared" si="109"/>
        <v>0</v>
      </c>
      <c r="D361" s="144"/>
      <c r="E361" s="145"/>
      <c r="F361" s="146"/>
      <c r="G361" s="147"/>
      <c r="H361" s="114"/>
      <c r="I361" s="114"/>
      <c r="J361" s="113"/>
      <c r="K361" s="112"/>
      <c r="L361" s="112"/>
      <c r="M361" s="112"/>
      <c r="N361" s="112"/>
      <c r="O361" s="114"/>
      <c r="P361" s="127"/>
      <c r="Q361" s="127"/>
      <c r="R361" s="114"/>
      <c r="S361" s="129"/>
      <c r="T361" s="148"/>
      <c r="U361" s="120"/>
      <c r="V361" s="112"/>
      <c r="W361" s="116"/>
      <c r="X361" s="116"/>
      <c r="Y361" s="120"/>
      <c r="Z361" s="120"/>
      <c r="AA361" s="116"/>
      <c r="AB361" s="118"/>
      <c r="AC361" s="118"/>
      <c r="AD361" s="118"/>
      <c r="AE361" s="117"/>
      <c r="AF361" s="118"/>
      <c r="AG361" s="117"/>
      <c r="AH361" s="121"/>
      <c r="AI361" s="116"/>
      <c r="AJ361" s="116"/>
      <c r="AK361" s="116"/>
      <c r="AL361" s="116"/>
      <c r="AM361" s="116"/>
      <c r="AN361" s="121"/>
      <c r="AO361" s="116"/>
      <c r="AP361" s="116"/>
      <c r="AQ361" s="121"/>
      <c r="AR361" s="116"/>
      <c r="AS361" s="116"/>
      <c r="AT361" s="121"/>
    </row>
    <row r="362" spans="1:47" ht="21.1">
      <c r="A362" s="82" t="s">
        <v>235</v>
      </c>
      <c r="B362" s="239"/>
      <c r="C362" s="214"/>
      <c r="D362" s="133"/>
      <c r="E362" s="134"/>
      <c r="F362" s="135"/>
      <c r="G362" s="136"/>
      <c r="H362" s="96" t="s">
        <v>339</v>
      </c>
      <c r="I362" s="96" t="s">
        <v>339</v>
      </c>
      <c r="J362" s="104" t="s">
        <v>339</v>
      </c>
      <c r="K362" s="75" t="s">
        <v>339</v>
      </c>
      <c r="L362" s="75" t="s">
        <v>339</v>
      </c>
      <c r="M362" s="75" t="s">
        <v>339</v>
      </c>
      <c r="N362" s="75" t="s">
        <v>339</v>
      </c>
      <c r="O362" s="96" t="s">
        <v>339</v>
      </c>
      <c r="P362" s="105"/>
      <c r="Q362" s="105"/>
      <c r="R362" s="96" t="s">
        <v>382</v>
      </c>
      <c r="S362" s="128"/>
      <c r="T362" s="137"/>
      <c r="U362" s="110"/>
      <c r="V362" s="100" t="s">
        <v>375</v>
      </c>
      <c r="W362" s="100" t="s">
        <v>372</v>
      </c>
      <c r="X362" s="100" t="s">
        <v>393</v>
      </c>
      <c r="Y362" s="110"/>
      <c r="Z362" s="110"/>
      <c r="AA362" s="100"/>
      <c r="AB362" s="109">
        <v>6</v>
      </c>
      <c r="AC362" s="109">
        <v>7</v>
      </c>
      <c r="AD362" s="109" t="s">
        <v>623</v>
      </c>
      <c r="AE362" s="108"/>
      <c r="AF362" s="109">
        <v>4</v>
      </c>
      <c r="AG362" s="108"/>
      <c r="AH362" s="111"/>
      <c r="AI362" s="100"/>
      <c r="AJ362" s="100"/>
      <c r="AK362" s="100"/>
      <c r="AL362" s="100"/>
      <c r="AM362" s="100"/>
      <c r="AN362" s="111"/>
      <c r="AO362" s="100"/>
      <c r="AP362" s="100"/>
      <c r="AQ362" s="111"/>
      <c r="AR362" s="100"/>
      <c r="AS362" s="100"/>
      <c r="AT362" s="111"/>
    </row>
    <row r="363" spans="1:47" ht="16.3">
      <c r="A363" s="246" t="s">
        <v>1</v>
      </c>
      <c r="B363" s="240">
        <f t="shared" ref="B363" si="110">SUM(J363+K363+L363+M363+N363+S363+V363+W363+X363+AA363+AI363+AJ363+AI363+AM363+AP363+AQ363+AS363+AT363+AU363+AV363+AN363)</f>
        <v>1</v>
      </c>
      <c r="C363" s="215">
        <f t="shared" ref="C363:C364" si="111">SUM(J363+K363+L363+M363+N363+S363+W363+X363+V363+AA363+AJ363+AI363+AJ363+AN363+AQ363+AM363+AT363+AU363+AV363+AW363+AP363+AS363)</f>
        <v>1</v>
      </c>
      <c r="D363" s="133"/>
      <c r="E363" s="134"/>
      <c r="F363" s="135"/>
      <c r="G363" s="136"/>
      <c r="H363" s="96"/>
      <c r="I363" s="96"/>
      <c r="J363" s="104"/>
      <c r="K363" s="75"/>
      <c r="L363" s="75"/>
      <c r="M363" s="75"/>
      <c r="N363" s="75"/>
      <c r="O363" s="96"/>
      <c r="P363" s="105"/>
      <c r="Q363" s="105"/>
      <c r="R363" s="96">
        <v>1</v>
      </c>
      <c r="S363" s="128"/>
      <c r="T363" s="137"/>
      <c r="U363" s="110"/>
      <c r="V363" s="100"/>
      <c r="W363" s="100">
        <v>1</v>
      </c>
      <c r="X363" s="100"/>
      <c r="Y363" s="110"/>
      <c r="Z363" s="110"/>
      <c r="AA363" s="100"/>
      <c r="AB363" s="109">
        <v>1</v>
      </c>
      <c r="AC363" s="109">
        <v>1</v>
      </c>
      <c r="AD363" s="109">
        <v>1</v>
      </c>
      <c r="AE363" s="108"/>
      <c r="AF363" s="109">
        <v>1</v>
      </c>
      <c r="AG363" s="108"/>
      <c r="AH363" s="111"/>
      <c r="AI363" s="100"/>
      <c r="AJ363" s="100"/>
      <c r="AK363" s="100"/>
      <c r="AL363" s="100"/>
      <c r="AM363" s="100"/>
      <c r="AN363" s="111"/>
      <c r="AO363" s="100"/>
      <c r="AP363" s="100"/>
      <c r="AQ363" s="111"/>
      <c r="AR363" s="100"/>
      <c r="AS363" s="100"/>
      <c r="AT363" s="111"/>
    </row>
    <row r="364" spans="1:47" ht="16.3">
      <c r="A364" s="246" t="s">
        <v>2</v>
      </c>
      <c r="B364" s="240">
        <f t="shared" ref="B364" si="112">SUM(J364+K364+L364+M364+N364+S364+V364+W364+X364+AA364+AI364+AJ364+AI364+AM364+AP364+AQ364+AS364+AT364+AU364+AV364)</f>
        <v>1</v>
      </c>
      <c r="C364" s="215">
        <f t="shared" si="111"/>
        <v>1</v>
      </c>
      <c r="D364" s="133"/>
      <c r="E364" s="134"/>
      <c r="F364" s="135"/>
      <c r="G364" s="136"/>
      <c r="H364" s="96"/>
      <c r="I364" s="96"/>
      <c r="J364" s="104"/>
      <c r="K364" s="75"/>
      <c r="L364" s="75"/>
      <c r="M364" s="75"/>
      <c r="N364" s="75"/>
      <c r="O364" s="96"/>
      <c r="P364" s="105"/>
      <c r="Q364" s="105"/>
      <c r="R364" s="96"/>
      <c r="S364" s="128"/>
      <c r="T364" s="137"/>
      <c r="U364" s="110"/>
      <c r="V364" s="100">
        <v>1</v>
      </c>
      <c r="W364" s="100"/>
      <c r="X364" s="100"/>
      <c r="Y364" s="110"/>
      <c r="Z364" s="110"/>
      <c r="AA364" s="100"/>
      <c r="AB364" s="109"/>
      <c r="AC364" s="109"/>
      <c r="AD364" s="109"/>
      <c r="AE364" s="108"/>
      <c r="AF364" s="109"/>
      <c r="AG364" s="108"/>
      <c r="AH364" s="111"/>
      <c r="AI364" s="100"/>
      <c r="AJ364" s="100"/>
      <c r="AK364" s="100"/>
      <c r="AL364" s="100"/>
      <c r="AM364" s="100"/>
      <c r="AN364" s="111"/>
      <c r="AO364" s="100"/>
      <c r="AP364" s="100"/>
      <c r="AQ364" s="111"/>
      <c r="AR364" s="100"/>
      <c r="AS364" s="100"/>
      <c r="AT364" s="111"/>
    </row>
    <row r="365" spans="1:47" ht="16.3">
      <c r="A365" s="91" t="s">
        <v>363</v>
      </c>
      <c r="B365" s="239">
        <f t="shared" ref="B365:C365" si="113">SUM(B363+B364)</f>
        <v>2</v>
      </c>
      <c r="C365" s="214">
        <f t="shared" si="113"/>
        <v>2</v>
      </c>
      <c r="D365" s="133"/>
      <c r="E365" s="134"/>
      <c r="F365" s="135"/>
      <c r="G365" s="136"/>
      <c r="H365" s="96"/>
      <c r="I365" s="96"/>
      <c r="J365" s="104"/>
      <c r="K365" s="75"/>
      <c r="L365" s="75"/>
      <c r="M365" s="75"/>
      <c r="N365" s="75"/>
      <c r="O365" s="96"/>
      <c r="P365" s="105"/>
      <c r="Q365" s="105"/>
      <c r="R365" s="96"/>
      <c r="S365" s="128"/>
      <c r="T365" s="137"/>
      <c r="U365" s="110"/>
      <c r="V365" s="100"/>
      <c r="W365" s="100"/>
      <c r="X365" s="100"/>
      <c r="Y365" s="110"/>
      <c r="Z365" s="110"/>
      <c r="AA365" s="100"/>
      <c r="AB365" s="109"/>
      <c r="AC365" s="109"/>
      <c r="AD365" s="109"/>
      <c r="AE365" s="108"/>
      <c r="AF365" s="109"/>
      <c r="AG365" s="108"/>
      <c r="AH365" s="111"/>
      <c r="AI365" s="100"/>
      <c r="AJ365" s="100"/>
      <c r="AK365" s="100"/>
      <c r="AL365" s="100"/>
      <c r="AM365" s="100"/>
      <c r="AN365" s="111"/>
      <c r="AO365" s="100"/>
      <c r="AP365" s="100"/>
      <c r="AQ365" s="111"/>
      <c r="AR365" s="100"/>
      <c r="AS365" s="100"/>
      <c r="AT365" s="111"/>
    </row>
    <row r="366" spans="1:47" ht="16.3">
      <c r="A366" s="585" t="s">
        <v>362</v>
      </c>
      <c r="B366" s="240">
        <f t="shared" ref="B366" si="114">SUM(J366+K366+L366+M366+N366+S366+V366+W366+X366+AA366+AI366+AJ366+AI366+AM366+AP366+AQ366+AS366+AT366+AU366+AV366)</f>
        <v>0</v>
      </c>
      <c r="C366" s="215">
        <f t="shared" ref="C366" si="115">SUM(J366+K366+L366+M366+N366+S366+W366+X366+V366+AA366+AJ366+AI366+AJ366+AN366+AQ366+AM366+AT366+AU366+AV366+AW366+AP366+AS366)</f>
        <v>0</v>
      </c>
      <c r="D366" s="133"/>
      <c r="E366" s="134"/>
      <c r="F366" s="135"/>
      <c r="G366" s="136"/>
      <c r="H366" s="96"/>
      <c r="I366" s="96"/>
      <c r="J366" s="104"/>
      <c r="K366" s="75"/>
      <c r="L366" s="75"/>
      <c r="M366" s="75"/>
      <c r="N366" s="75"/>
      <c r="O366" s="96"/>
      <c r="P366" s="105"/>
      <c r="Q366" s="105"/>
      <c r="R366" s="96"/>
      <c r="S366" s="128"/>
      <c r="T366" s="137"/>
      <c r="U366" s="110"/>
      <c r="V366" s="100"/>
      <c r="W366" s="100"/>
      <c r="X366" s="100"/>
      <c r="Y366" s="110"/>
      <c r="Z366" s="110"/>
      <c r="AA366" s="100"/>
      <c r="AB366" s="109"/>
      <c r="AC366" s="109"/>
      <c r="AD366" s="109">
        <v>1</v>
      </c>
      <c r="AE366" s="108"/>
      <c r="AF366" s="109"/>
      <c r="AG366" s="108"/>
      <c r="AH366" s="111"/>
      <c r="AI366" s="100"/>
      <c r="AJ366" s="100"/>
      <c r="AK366" s="100"/>
      <c r="AL366" s="100"/>
      <c r="AM366" s="100"/>
      <c r="AN366" s="111"/>
      <c r="AO366" s="100"/>
      <c r="AP366" s="100"/>
      <c r="AQ366" s="111"/>
      <c r="AR366" s="100"/>
      <c r="AS366" s="100"/>
      <c r="AT366" s="111"/>
    </row>
    <row r="367" spans="1:47" ht="16.3">
      <c r="A367" s="91" t="s">
        <v>3</v>
      </c>
      <c r="B367" s="239">
        <f t="shared" ref="B367:B368" si="116">SUM(J367+K367+L367+M367+N367+S367+V367+W367+X367+AA367+AI367+AJ367+AI367+AM367+AP367+AQ367+AS367+AT367+AU367+AV367)</f>
        <v>0</v>
      </c>
      <c r="C367" s="214">
        <f t="shared" ref="C367:C368" si="117">SUM(J367+K367+L367+M367+N367+S367+W367+X367+V367+AA367+AJ367+AI367+AJ367+AN367+AQ367+AM367+AT367+AU367+AV367+AW367+AP367+AS367)</f>
        <v>0</v>
      </c>
      <c r="D367" s="133"/>
      <c r="E367" s="134"/>
      <c r="F367" s="135"/>
      <c r="G367" s="136"/>
      <c r="H367" s="96"/>
      <c r="I367" s="96"/>
      <c r="J367" s="104"/>
      <c r="K367" s="75"/>
      <c r="L367" s="75"/>
      <c r="M367" s="75"/>
      <c r="N367" s="75"/>
      <c r="O367" s="96"/>
      <c r="P367" s="105"/>
      <c r="Q367" s="105"/>
      <c r="R367" s="96"/>
      <c r="S367" s="128"/>
      <c r="T367" s="137"/>
      <c r="U367" s="110"/>
      <c r="V367" s="100"/>
      <c r="W367" s="100"/>
      <c r="X367" s="100"/>
      <c r="Y367" s="110"/>
      <c r="Z367" s="110"/>
      <c r="AA367" s="100"/>
      <c r="AB367" s="109"/>
      <c r="AC367" s="109"/>
      <c r="AD367" s="109"/>
      <c r="AE367" s="108"/>
      <c r="AF367" s="109"/>
      <c r="AG367" s="108"/>
      <c r="AH367" s="111"/>
      <c r="AI367" s="100"/>
      <c r="AJ367" s="100"/>
      <c r="AK367" s="100"/>
      <c r="AL367" s="100"/>
      <c r="AM367" s="100"/>
      <c r="AN367" s="111"/>
      <c r="AO367" s="100"/>
      <c r="AP367" s="100"/>
      <c r="AQ367" s="111"/>
      <c r="AR367" s="100"/>
      <c r="AS367" s="100"/>
      <c r="AT367" s="111"/>
    </row>
    <row r="368" spans="1:47" ht="17" thickBot="1">
      <c r="A368" s="92" t="s">
        <v>4</v>
      </c>
      <c r="B368" s="239">
        <f t="shared" si="116"/>
        <v>0</v>
      </c>
      <c r="C368" s="214">
        <f t="shared" si="117"/>
        <v>0</v>
      </c>
      <c r="D368" s="133"/>
      <c r="E368" s="134"/>
      <c r="F368" s="135"/>
      <c r="G368" s="136"/>
      <c r="H368" s="114"/>
      <c r="I368" s="114"/>
      <c r="J368" s="113"/>
      <c r="K368" s="112"/>
      <c r="L368" s="112"/>
      <c r="M368" s="112"/>
      <c r="N368" s="112"/>
      <c r="O368" s="114"/>
      <c r="P368" s="127"/>
      <c r="Q368" s="127"/>
      <c r="R368" s="114"/>
      <c r="S368" s="129"/>
      <c r="T368" s="148"/>
      <c r="U368" s="120"/>
      <c r="V368" s="112"/>
      <c r="W368" s="116"/>
      <c r="X368" s="116"/>
      <c r="Y368" s="120"/>
      <c r="Z368" s="120"/>
      <c r="AA368" s="116"/>
      <c r="AB368" s="118"/>
      <c r="AC368" s="118"/>
      <c r="AD368" s="118"/>
      <c r="AE368" s="117"/>
      <c r="AF368" s="118"/>
      <c r="AG368" s="117"/>
      <c r="AH368" s="121"/>
      <c r="AI368" s="116"/>
      <c r="AJ368" s="116"/>
      <c r="AK368" s="116"/>
      <c r="AL368" s="116"/>
      <c r="AM368" s="116"/>
      <c r="AN368" s="121"/>
      <c r="AO368" s="116"/>
      <c r="AP368" s="116"/>
      <c r="AQ368" s="121"/>
      <c r="AR368" s="116"/>
      <c r="AS368" s="116"/>
      <c r="AT368" s="121"/>
    </row>
    <row r="369" spans="1:46" ht="21.1">
      <c r="A369" s="82" t="s">
        <v>679</v>
      </c>
      <c r="B369" s="243"/>
      <c r="C369" s="218"/>
      <c r="D369" s="153"/>
      <c r="E369" s="154"/>
      <c r="F369" s="155"/>
      <c r="G369" s="156"/>
      <c r="H369" s="96" t="s">
        <v>339</v>
      </c>
      <c r="I369" s="96" t="s">
        <v>339</v>
      </c>
      <c r="J369" s="104" t="s">
        <v>339</v>
      </c>
      <c r="K369" s="75" t="s">
        <v>339</v>
      </c>
      <c r="L369" s="75" t="s">
        <v>339</v>
      </c>
      <c r="M369" s="75" t="s">
        <v>339</v>
      </c>
      <c r="N369" s="75" t="s">
        <v>339</v>
      </c>
      <c r="O369" s="96" t="s">
        <v>339</v>
      </c>
      <c r="P369" s="105"/>
      <c r="Q369" s="105"/>
      <c r="R369" s="96" t="s">
        <v>375</v>
      </c>
      <c r="S369" s="128"/>
      <c r="T369" s="137"/>
      <c r="U369" s="110"/>
      <c r="V369" s="100"/>
      <c r="W369" s="100"/>
      <c r="X369" s="100"/>
      <c r="Y369" s="110"/>
      <c r="Z369" s="110"/>
      <c r="AA369" s="100"/>
      <c r="AB369" s="109"/>
      <c r="AC369" s="109"/>
      <c r="AD369" s="109"/>
      <c r="AE369" s="108"/>
      <c r="AF369" s="109"/>
      <c r="AG369" s="108"/>
      <c r="AH369" s="111"/>
      <c r="AI369" s="100"/>
      <c r="AJ369" s="100"/>
      <c r="AK369" s="100"/>
      <c r="AL369" s="100"/>
      <c r="AM369" s="100"/>
      <c r="AN369" s="111"/>
      <c r="AO369" s="100"/>
      <c r="AP369" s="100"/>
      <c r="AQ369" s="111"/>
      <c r="AR369" s="100"/>
      <c r="AS369" s="100"/>
      <c r="AT369" s="111"/>
    </row>
    <row r="370" spans="1:46" ht="16.3">
      <c r="A370" s="246" t="s">
        <v>1</v>
      </c>
      <c r="B370" s="240">
        <f t="shared" ref="B370" si="118">SUM(J370+K370+L370+M370+N370+S370+V370+W370+X370+AA370+AI370+AJ370+AI370+AM370+AP370+AQ370+AS370+AT370+AU370+AV370+AN370)</f>
        <v>0</v>
      </c>
      <c r="C370" s="215">
        <f t="shared" ref="C370:C371" si="119">SUM(J370+K370+L370+M370+N370+S370+W370+X370+V370+AA370+AJ370+AI370+AJ370+AN370+AQ370+AM370+AT370+AU370+AV370+AW370+AP370+AS370)</f>
        <v>0</v>
      </c>
      <c r="D370" s="139"/>
      <c r="E370" s="140"/>
      <c r="F370" s="135"/>
      <c r="G370" s="136"/>
      <c r="H370" s="96"/>
      <c r="I370" s="96"/>
      <c r="J370" s="104"/>
      <c r="K370" s="75"/>
      <c r="L370" s="75"/>
      <c r="M370" s="75"/>
      <c r="N370" s="75"/>
      <c r="O370" s="96"/>
      <c r="P370" s="105"/>
      <c r="Q370" s="105"/>
      <c r="R370" s="96"/>
      <c r="S370" s="128"/>
      <c r="T370" s="137"/>
      <c r="U370" s="110"/>
      <c r="V370" s="100"/>
      <c r="W370" s="100"/>
      <c r="X370" s="100"/>
      <c r="Y370" s="110"/>
      <c r="Z370" s="110"/>
      <c r="AA370" s="100"/>
      <c r="AB370" s="109"/>
      <c r="AC370" s="109"/>
      <c r="AD370" s="109"/>
      <c r="AE370" s="108"/>
      <c r="AF370" s="109"/>
      <c r="AG370" s="108"/>
      <c r="AH370" s="111"/>
      <c r="AI370" s="100"/>
      <c r="AJ370" s="100"/>
      <c r="AK370" s="100"/>
      <c r="AL370" s="100"/>
      <c r="AM370" s="100"/>
      <c r="AN370" s="111"/>
      <c r="AO370" s="100"/>
      <c r="AP370" s="100"/>
      <c r="AQ370" s="111"/>
      <c r="AR370" s="100"/>
      <c r="AS370" s="100"/>
      <c r="AT370" s="111"/>
    </row>
    <row r="371" spans="1:46" ht="16.3">
      <c r="A371" s="246" t="s">
        <v>2</v>
      </c>
      <c r="B371" s="240">
        <f t="shared" ref="B371" si="120">SUM(J371+K371+L371+M371+N371+S371+V371+W371+X371+AA371+AI371+AJ371+AI371+AM371+AP371+AQ371+AS371+AT371+AU371+AV371)</f>
        <v>0</v>
      </c>
      <c r="C371" s="215">
        <f t="shared" si="119"/>
        <v>0</v>
      </c>
      <c r="D371" s="139"/>
      <c r="E371" s="140"/>
      <c r="F371" s="135"/>
      <c r="G371" s="136"/>
      <c r="H371" s="96"/>
      <c r="I371" s="96"/>
      <c r="J371" s="104"/>
      <c r="K371" s="75"/>
      <c r="L371" s="75"/>
      <c r="M371" s="75"/>
      <c r="N371" s="75"/>
      <c r="O371" s="96"/>
      <c r="P371" s="105"/>
      <c r="Q371" s="105"/>
      <c r="R371" s="96">
        <v>1</v>
      </c>
      <c r="S371" s="128"/>
      <c r="T371" s="137"/>
      <c r="U371" s="110"/>
      <c r="V371" s="100"/>
      <c r="W371" s="100"/>
      <c r="X371" s="100"/>
      <c r="Y371" s="110"/>
      <c r="Z371" s="110"/>
      <c r="AA371" s="100"/>
      <c r="AB371" s="109"/>
      <c r="AC371" s="109"/>
      <c r="AD371" s="109"/>
      <c r="AE371" s="108"/>
      <c r="AF371" s="109"/>
      <c r="AG371" s="108"/>
      <c r="AH371" s="111"/>
      <c r="AI371" s="100"/>
      <c r="AJ371" s="100"/>
      <c r="AK371" s="100"/>
      <c r="AL371" s="100"/>
      <c r="AM371" s="100"/>
      <c r="AN371" s="111"/>
      <c r="AO371" s="100"/>
      <c r="AP371" s="100"/>
      <c r="AQ371" s="111"/>
      <c r="AR371" s="100"/>
      <c r="AS371" s="100"/>
      <c r="AT371" s="111"/>
    </row>
    <row r="372" spans="1:46" ht="16.3">
      <c r="A372" s="91" t="s">
        <v>363</v>
      </c>
      <c r="B372" s="239">
        <f t="shared" ref="B372:C372" si="121">SUM(B370+B371)</f>
        <v>0</v>
      </c>
      <c r="C372" s="214">
        <f t="shared" si="121"/>
        <v>0</v>
      </c>
      <c r="D372" s="133"/>
      <c r="E372" s="134"/>
      <c r="F372" s="135"/>
      <c r="G372" s="136"/>
      <c r="H372" s="96"/>
      <c r="I372" s="96"/>
      <c r="J372" s="104"/>
      <c r="K372" s="75"/>
      <c r="L372" s="75"/>
      <c r="M372" s="75"/>
      <c r="N372" s="75"/>
      <c r="O372" s="96"/>
      <c r="P372" s="105"/>
      <c r="Q372" s="105"/>
      <c r="R372" s="96"/>
      <c r="S372" s="128"/>
      <c r="T372" s="137"/>
      <c r="U372" s="110"/>
      <c r="V372" s="100"/>
      <c r="W372" s="100"/>
      <c r="X372" s="100"/>
      <c r="Y372" s="110"/>
      <c r="Z372" s="110"/>
      <c r="AA372" s="100"/>
      <c r="AB372" s="109"/>
      <c r="AC372" s="109"/>
      <c r="AD372" s="109"/>
      <c r="AE372" s="108"/>
      <c r="AF372" s="109"/>
      <c r="AG372" s="108"/>
      <c r="AH372" s="111"/>
      <c r="AI372" s="100"/>
      <c r="AJ372" s="100"/>
      <c r="AK372" s="100"/>
      <c r="AL372" s="100"/>
      <c r="AM372" s="100"/>
      <c r="AN372" s="111"/>
      <c r="AO372" s="100"/>
      <c r="AP372" s="100"/>
      <c r="AQ372" s="111"/>
      <c r="AR372" s="100"/>
      <c r="AS372" s="100"/>
      <c r="AT372" s="111"/>
    </row>
    <row r="373" spans="1:46" ht="16.3">
      <c r="A373" s="91" t="s">
        <v>3</v>
      </c>
      <c r="B373" s="239">
        <f t="shared" ref="B373:B374" si="122">SUM(J373+K373+L373+M373+N373+S373+V373+W373+X373+AA373+AI373+AJ373+AI373+AM373+AP373+AQ373+AS373+AT373+AU373+AV373)</f>
        <v>0</v>
      </c>
      <c r="C373" s="214">
        <f t="shared" ref="C373:C374" si="123">SUM(J373+K373+L373+M373+N373+S373+W373+X373+V373+AA373+AJ373+AI373+AJ373+AN373+AQ373+AM373+AT373+AU373+AV373+AW373+AP373+AS373)</f>
        <v>0</v>
      </c>
      <c r="D373" s="133"/>
      <c r="E373" s="134"/>
      <c r="F373" s="135"/>
      <c r="G373" s="136"/>
      <c r="H373" s="96"/>
      <c r="I373" s="96"/>
      <c r="J373" s="104"/>
      <c r="K373" s="75"/>
      <c r="L373" s="75"/>
      <c r="M373" s="75"/>
      <c r="N373" s="75"/>
      <c r="O373" s="96"/>
      <c r="P373" s="105"/>
      <c r="Q373" s="105"/>
      <c r="R373" s="96"/>
      <c r="S373" s="128"/>
      <c r="T373" s="137"/>
      <c r="U373" s="110"/>
      <c r="V373" s="100"/>
      <c r="W373" s="100"/>
      <c r="X373" s="100"/>
      <c r="Y373" s="110"/>
      <c r="Z373" s="110"/>
      <c r="AA373" s="100"/>
      <c r="AB373" s="109"/>
      <c r="AC373" s="109"/>
      <c r="AD373" s="109"/>
      <c r="AE373" s="108"/>
      <c r="AF373" s="109"/>
      <c r="AG373" s="108"/>
      <c r="AH373" s="111"/>
      <c r="AI373" s="100"/>
      <c r="AJ373" s="100"/>
      <c r="AK373" s="100"/>
      <c r="AL373" s="100"/>
      <c r="AM373" s="100"/>
      <c r="AN373" s="111"/>
      <c r="AO373" s="100"/>
      <c r="AP373" s="100"/>
      <c r="AQ373" s="111"/>
      <c r="AR373" s="100"/>
      <c r="AS373" s="100"/>
      <c r="AT373" s="111"/>
    </row>
    <row r="374" spans="1:46" ht="17" thickBot="1">
      <c r="A374" s="92" t="s">
        <v>4</v>
      </c>
      <c r="B374" s="241">
        <f t="shared" si="122"/>
        <v>0</v>
      </c>
      <c r="C374" s="217">
        <f t="shared" si="123"/>
        <v>0</v>
      </c>
      <c r="D374" s="144"/>
      <c r="E374" s="145"/>
      <c r="F374" s="146"/>
      <c r="G374" s="147"/>
      <c r="H374" s="114"/>
      <c r="I374" s="114"/>
      <c r="J374" s="113"/>
      <c r="K374" s="112"/>
      <c r="L374" s="112"/>
      <c r="M374" s="112"/>
      <c r="N374" s="112"/>
      <c r="O374" s="114"/>
      <c r="P374" s="127"/>
      <c r="Q374" s="127"/>
      <c r="R374" s="114"/>
      <c r="S374" s="129"/>
      <c r="T374" s="148"/>
      <c r="U374" s="120"/>
      <c r="V374" s="116"/>
      <c r="W374" s="112"/>
      <c r="X374" s="116"/>
      <c r="Y374" s="120"/>
      <c r="Z374" s="120"/>
      <c r="AA374" s="116"/>
      <c r="AB374" s="118"/>
      <c r="AC374" s="118"/>
      <c r="AD374" s="118"/>
      <c r="AE374" s="117"/>
      <c r="AF374" s="118"/>
      <c r="AG374" s="117"/>
      <c r="AH374" s="121"/>
      <c r="AI374" s="116"/>
      <c r="AJ374" s="116"/>
      <c r="AK374" s="116"/>
      <c r="AL374" s="116"/>
      <c r="AM374" s="116"/>
      <c r="AN374" s="121"/>
      <c r="AO374" s="116"/>
      <c r="AP374" s="116"/>
      <c r="AQ374" s="121"/>
      <c r="AR374" s="116"/>
      <c r="AS374" s="116"/>
      <c r="AT374" s="121"/>
    </row>
    <row r="375" spans="1:46" ht="21.1">
      <c r="A375" s="82" t="s">
        <v>446</v>
      </c>
      <c r="B375" s="239"/>
      <c r="C375" s="214"/>
      <c r="D375" s="133"/>
      <c r="E375" s="134"/>
      <c r="F375" s="135"/>
      <c r="G375" s="136"/>
      <c r="H375" s="96"/>
      <c r="I375" s="96"/>
      <c r="J375" s="104"/>
      <c r="K375" s="75"/>
      <c r="L375" s="75"/>
      <c r="M375" s="75"/>
      <c r="N375" s="75"/>
      <c r="O375" s="96"/>
      <c r="P375" s="105"/>
      <c r="Q375" s="105"/>
      <c r="R375" s="96" t="s">
        <v>372</v>
      </c>
      <c r="S375" s="128"/>
      <c r="T375" s="137"/>
      <c r="U375" s="110"/>
      <c r="V375" s="100"/>
      <c r="W375" s="100"/>
      <c r="X375" s="100"/>
      <c r="Y375" s="110"/>
      <c r="Z375" s="110" t="s">
        <v>984</v>
      </c>
      <c r="AA375" s="100" t="s">
        <v>984</v>
      </c>
      <c r="AB375" s="109" t="s">
        <v>984</v>
      </c>
      <c r="AC375" s="109" t="s">
        <v>375</v>
      </c>
      <c r="AD375" s="109" t="s">
        <v>375</v>
      </c>
      <c r="AE375" s="108"/>
      <c r="AF375" s="109"/>
      <c r="AG375" s="108"/>
      <c r="AH375" s="111"/>
      <c r="AI375" s="100"/>
      <c r="AJ375" s="100"/>
      <c r="AK375" s="100"/>
      <c r="AL375" s="100"/>
      <c r="AM375" s="100"/>
      <c r="AN375" s="111"/>
      <c r="AO375" s="100"/>
      <c r="AP375" s="100"/>
      <c r="AQ375" s="111"/>
      <c r="AR375" s="100"/>
      <c r="AS375" s="100"/>
      <c r="AT375" s="111"/>
    </row>
    <row r="376" spans="1:46" ht="16.3">
      <c r="A376" s="246" t="s">
        <v>1</v>
      </c>
      <c r="B376" s="240">
        <f t="shared" ref="B376" si="124">SUM(J376+K376+L376+M376+N376+S376+V376+W376+X376+AA376+AI376+AJ376+AI376+AM376+AP376+AQ376+AS376+AT376+AU376+AV376+AN376)</f>
        <v>0</v>
      </c>
      <c r="C376" s="215">
        <f t="shared" ref="C376:C377" si="125">SUM(J376+K376+L376+M376+N376+S376+W376+X376+V376+AA376+AJ376+AI376+AJ376+AN376+AQ376+AM376+AT376+AU376+AV376+AW376+AP376+AS376)</f>
        <v>0</v>
      </c>
      <c r="D376" s="133"/>
      <c r="E376" s="134"/>
      <c r="F376" s="135"/>
      <c r="G376" s="136"/>
      <c r="H376" s="96"/>
      <c r="I376" s="96"/>
      <c r="J376" s="104"/>
      <c r="K376" s="75"/>
      <c r="L376" s="75"/>
      <c r="M376" s="75"/>
      <c r="N376" s="75"/>
      <c r="O376" s="96"/>
      <c r="P376" s="105"/>
      <c r="Q376" s="105"/>
      <c r="R376" s="96">
        <v>1</v>
      </c>
      <c r="S376" s="128"/>
      <c r="T376" s="137"/>
      <c r="U376" s="110"/>
      <c r="V376" s="100"/>
      <c r="W376" s="100"/>
      <c r="X376" s="100"/>
      <c r="Y376" s="110"/>
      <c r="Z376" s="110"/>
      <c r="AA376" s="100"/>
      <c r="AB376" s="109"/>
      <c r="AC376" s="109"/>
      <c r="AD376" s="109"/>
      <c r="AE376" s="108"/>
      <c r="AF376" s="109"/>
      <c r="AG376" s="108"/>
      <c r="AH376" s="111"/>
      <c r="AI376" s="100"/>
      <c r="AJ376" s="100"/>
      <c r="AK376" s="100"/>
      <c r="AL376" s="100"/>
      <c r="AM376" s="100"/>
      <c r="AN376" s="111"/>
      <c r="AO376" s="100"/>
      <c r="AP376" s="100"/>
      <c r="AQ376" s="111"/>
      <c r="AR376" s="100"/>
      <c r="AS376" s="100"/>
      <c r="AT376" s="111"/>
    </row>
    <row r="377" spans="1:46" ht="16.3">
      <c r="A377" s="246" t="s">
        <v>2</v>
      </c>
      <c r="B377" s="240">
        <f t="shared" ref="B377" si="126">SUM(J377+K377+L377+M377+N377+S377+V377+W377+X377+AA377+AI377+AJ377+AI377+AM377+AP377+AQ377+AS377+AT377+AU377+AV377)</f>
        <v>0</v>
      </c>
      <c r="C377" s="215">
        <f t="shared" si="125"/>
        <v>0</v>
      </c>
      <c r="D377" s="133"/>
      <c r="E377" s="134"/>
      <c r="F377" s="135"/>
      <c r="G377" s="136"/>
      <c r="H377" s="96"/>
      <c r="I377" s="96"/>
      <c r="J377" s="104"/>
      <c r="K377" s="75"/>
      <c r="L377" s="75"/>
      <c r="M377" s="75"/>
      <c r="N377" s="75"/>
      <c r="O377" s="96"/>
      <c r="P377" s="105"/>
      <c r="Q377" s="105"/>
      <c r="R377" s="96"/>
      <c r="S377" s="128"/>
      <c r="T377" s="137"/>
      <c r="U377" s="110"/>
      <c r="V377" s="100"/>
      <c r="W377" s="100"/>
      <c r="X377" s="100"/>
      <c r="Y377" s="110"/>
      <c r="Z377" s="110"/>
      <c r="AA377" s="100"/>
      <c r="AB377" s="109"/>
      <c r="AC377" s="109">
        <v>1</v>
      </c>
      <c r="AD377" s="109">
        <v>1</v>
      </c>
      <c r="AE377" s="108"/>
      <c r="AF377" s="109"/>
      <c r="AG377" s="108"/>
      <c r="AH377" s="111"/>
      <c r="AI377" s="100"/>
      <c r="AJ377" s="100"/>
      <c r="AK377" s="100"/>
      <c r="AL377" s="100"/>
      <c r="AM377" s="100"/>
      <c r="AN377" s="111"/>
      <c r="AO377" s="100"/>
      <c r="AP377" s="100"/>
      <c r="AQ377" s="111"/>
      <c r="AR377" s="100"/>
      <c r="AS377" s="100"/>
      <c r="AT377" s="111"/>
    </row>
    <row r="378" spans="1:46" ht="16.3">
      <c r="A378" s="91" t="s">
        <v>363</v>
      </c>
      <c r="B378" s="239">
        <f t="shared" ref="B378:C378" si="127">SUM(B376+B377)</f>
        <v>0</v>
      </c>
      <c r="C378" s="214">
        <f t="shared" si="127"/>
        <v>0</v>
      </c>
      <c r="D378" s="133"/>
      <c r="E378" s="134"/>
      <c r="F378" s="135"/>
      <c r="G378" s="136"/>
      <c r="H378" s="96"/>
      <c r="I378" s="96"/>
      <c r="J378" s="104"/>
      <c r="K378" s="75"/>
      <c r="L378" s="75"/>
      <c r="M378" s="75"/>
      <c r="N378" s="75"/>
      <c r="O378" s="96"/>
      <c r="P378" s="105"/>
      <c r="Q378" s="105"/>
      <c r="R378" s="96"/>
      <c r="S378" s="128"/>
      <c r="T378" s="137"/>
      <c r="U378" s="110"/>
      <c r="V378" s="100"/>
      <c r="W378" s="100"/>
      <c r="X378" s="100"/>
      <c r="Y378" s="110"/>
      <c r="Z378" s="110"/>
      <c r="AA378" s="100"/>
      <c r="AB378" s="109"/>
      <c r="AC378" s="109"/>
      <c r="AD378" s="109"/>
      <c r="AE378" s="108"/>
      <c r="AF378" s="109"/>
      <c r="AG378" s="108"/>
      <c r="AH378" s="111"/>
      <c r="AI378" s="100"/>
      <c r="AJ378" s="100"/>
      <c r="AK378" s="100"/>
      <c r="AL378" s="100"/>
      <c r="AM378" s="100"/>
      <c r="AN378" s="111"/>
      <c r="AO378" s="100"/>
      <c r="AP378" s="100"/>
      <c r="AQ378" s="111"/>
      <c r="AR378" s="100"/>
      <c r="AS378" s="100"/>
      <c r="AT378" s="111"/>
    </row>
    <row r="379" spans="1:46" ht="16.3">
      <c r="A379" s="91" t="s">
        <v>3</v>
      </c>
      <c r="B379" s="239">
        <f t="shared" ref="B379:B380" si="128">SUM(J379+K379+L379+M379+N379+S379+V379+W379+X379+AA379+AI379+AJ379+AI379+AM379+AP379+AQ379+AS379+AT379+AU379+AV379)</f>
        <v>0</v>
      </c>
      <c r="C379" s="214">
        <f t="shared" ref="C379:C380" si="129">SUM(J379+K379+L379+M379+N379+S379+W379+X379+V379+AA379+AJ379+AI379+AJ379+AN379+AQ379+AM379+AT379+AU379+AV379+AW379+AP379+AS379)</f>
        <v>0</v>
      </c>
      <c r="D379" s="133"/>
      <c r="E379" s="134"/>
      <c r="F379" s="135"/>
      <c r="G379" s="136"/>
      <c r="H379" s="96"/>
      <c r="I379" s="96"/>
      <c r="J379" s="104"/>
      <c r="K379" s="75"/>
      <c r="L379" s="75"/>
      <c r="M379" s="75"/>
      <c r="N379" s="75"/>
      <c r="O379" s="96"/>
      <c r="P379" s="105"/>
      <c r="Q379" s="105"/>
      <c r="R379" s="96"/>
      <c r="S379" s="128"/>
      <c r="T379" s="137"/>
      <c r="U379" s="110"/>
      <c r="V379" s="100"/>
      <c r="W379" s="100"/>
      <c r="X379" s="100"/>
      <c r="Y379" s="110"/>
      <c r="Z379" s="110"/>
      <c r="AA379" s="100"/>
      <c r="AB379" s="109"/>
      <c r="AC379" s="109"/>
      <c r="AD379" s="109"/>
      <c r="AE379" s="108"/>
      <c r="AF379" s="109"/>
      <c r="AG379" s="108"/>
      <c r="AH379" s="111"/>
      <c r="AI379" s="100"/>
      <c r="AJ379" s="100"/>
      <c r="AK379" s="100"/>
      <c r="AL379" s="100"/>
      <c r="AM379" s="100"/>
      <c r="AN379" s="111"/>
      <c r="AO379" s="100"/>
      <c r="AP379" s="100"/>
      <c r="AQ379" s="111"/>
      <c r="AR379" s="100"/>
      <c r="AS379" s="100"/>
      <c r="AT379" s="111"/>
    </row>
    <row r="380" spans="1:46" ht="17" thickBot="1">
      <c r="A380" s="92" t="s">
        <v>4</v>
      </c>
      <c r="B380" s="241">
        <f t="shared" si="128"/>
        <v>0</v>
      </c>
      <c r="C380" s="217">
        <f t="shared" si="129"/>
        <v>0</v>
      </c>
      <c r="D380" s="144"/>
      <c r="E380" s="145"/>
      <c r="F380" s="146"/>
      <c r="G380" s="147"/>
      <c r="H380" s="114"/>
      <c r="I380" s="114"/>
      <c r="J380" s="113"/>
      <c r="K380" s="112"/>
      <c r="L380" s="112"/>
      <c r="M380" s="112"/>
      <c r="N380" s="112"/>
      <c r="O380" s="114"/>
      <c r="P380" s="127"/>
      <c r="Q380" s="127"/>
      <c r="R380" s="114"/>
      <c r="S380" s="129"/>
      <c r="T380" s="148"/>
      <c r="U380" s="120"/>
      <c r="V380" s="116"/>
      <c r="W380" s="116"/>
      <c r="X380" s="116"/>
      <c r="Y380" s="120"/>
      <c r="Z380" s="120"/>
      <c r="AA380" s="116"/>
      <c r="AB380" s="118"/>
      <c r="AC380" s="118"/>
      <c r="AD380" s="118"/>
      <c r="AE380" s="117"/>
      <c r="AF380" s="118"/>
      <c r="AG380" s="117"/>
      <c r="AH380" s="121"/>
      <c r="AI380" s="116"/>
      <c r="AJ380" s="116"/>
      <c r="AK380" s="116"/>
      <c r="AL380" s="116"/>
      <c r="AM380" s="116"/>
      <c r="AN380" s="121"/>
      <c r="AO380" s="116"/>
      <c r="AP380" s="116"/>
      <c r="AQ380" s="121"/>
      <c r="AR380" s="116"/>
      <c r="AS380" s="116"/>
      <c r="AT380" s="121"/>
    </row>
    <row r="381" spans="1:46" ht="21.1">
      <c r="A381" s="82" t="s">
        <v>187</v>
      </c>
      <c r="B381" s="239"/>
      <c r="C381" s="214"/>
      <c r="D381" s="133"/>
      <c r="E381" s="134"/>
      <c r="F381" s="135"/>
      <c r="G381" s="136"/>
      <c r="H381" s="96"/>
      <c r="I381" s="96"/>
      <c r="J381" s="104" t="s">
        <v>382</v>
      </c>
      <c r="K381" s="75" t="s">
        <v>375</v>
      </c>
      <c r="L381" s="75"/>
      <c r="M381" s="75" t="s">
        <v>382</v>
      </c>
      <c r="N381" s="75" t="s">
        <v>339</v>
      </c>
      <c r="O381" s="96" t="s">
        <v>339</v>
      </c>
      <c r="P381" s="105"/>
      <c r="Q381" s="105"/>
      <c r="R381" s="96" t="s">
        <v>339</v>
      </c>
      <c r="S381" s="128" t="s">
        <v>339</v>
      </c>
      <c r="T381" s="137" t="s">
        <v>339</v>
      </c>
      <c r="U381" s="110" t="s">
        <v>339</v>
      </c>
      <c r="V381" s="100" t="s">
        <v>339</v>
      </c>
      <c r="W381" s="100" t="s">
        <v>339</v>
      </c>
      <c r="X381" s="100" t="s">
        <v>339</v>
      </c>
      <c r="Y381" s="110" t="s">
        <v>339</v>
      </c>
      <c r="Z381" s="110" t="s">
        <v>339</v>
      </c>
      <c r="AA381" s="100" t="s">
        <v>382</v>
      </c>
      <c r="AB381" s="109" t="s">
        <v>339</v>
      </c>
      <c r="AC381" s="109" t="s">
        <v>339</v>
      </c>
      <c r="AD381" s="109" t="s">
        <v>339</v>
      </c>
      <c r="AE381" s="108"/>
      <c r="AF381" s="109"/>
      <c r="AG381" s="108"/>
      <c r="AH381" s="111"/>
      <c r="AI381" s="100"/>
      <c r="AJ381" s="100"/>
      <c r="AK381" s="100"/>
      <c r="AL381" s="100"/>
      <c r="AM381" s="100"/>
      <c r="AN381" s="111"/>
      <c r="AO381" s="100"/>
      <c r="AP381" s="100"/>
      <c r="AQ381" s="111"/>
      <c r="AR381" s="100"/>
      <c r="AS381" s="100"/>
      <c r="AT381" s="111"/>
    </row>
    <row r="382" spans="1:46" ht="16.3">
      <c r="A382" s="234" t="s">
        <v>1</v>
      </c>
      <c r="B382" s="240">
        <f>SUM(J382+K382+L382+M382+N382+S382+V382+W382+X382+AA382+AI382+AJ382+AI382+AM382+AP382+AQ382+AS382+AT382+AU382+AV382+AN382)+101</f>
        <v>104</v>
      </c>
      <c r="C382" s="215">
        <f>SUM(J382+K382+L382+M382+N382+S382+W382+X382+V382+AA382+AJ382+AI382+AJ382+AN382+AQ382+AM382+AT382+AU382+AV382+AW382+AP382+AS382)+101</f>
        <v>104</v>
      </c>
      <c r="D382" s="139"/>
      <c r="E382" s="140"/>
      <c r="F382" s="135"/>
      <c r="G382" s="136"/>
      <c r="H382" s="96"/>
      <c r="I382" s="96"/>
      <c r="J382" s="104">
        <v>1</v>
      </c>
      <c r="K382" s="75"/>
      <c r="L382" s="75"/>
      <c r="M382" s="75">
        <v>1</v>
      </c>
      <c r="N382" s="75"/>
      <c r="O382" s="96"/>
      <c r="P382" s="105"/>
      <c r="Q382" s="105"/>
      <c r="R382" s="96"/>
      <c r="S382" s="128"/>
      <c r="T382" s="137"/>
      <c r="U382" s="110"/>
      <c r="V382" s="100"/>
      <c r="W382" s="100"/>
      <c r="X382" s="100"/>
      <c r="Y382" s="110"/>
      <c r="Z382" s="110"/>
      <c r="AA382" s="100">
        <v>1</v>
      </c>
      <c r="AB382" s="109"/>
      <c r="AC382" s="109"/>
      <c r="AD382" s="109"/>
      <c r="AE382" s="108"/>
      <c r="AF382" s="109"/>
      <c r="AG382" s="108"/>
      <c r="AH382" s="111"/>
      <c r="AI382" s="100"/>
      <c r="AJ382" s="100"/>
      <c r="AK382" s="100"/>
      <c r="AL382" s="100"/>
      <c r="AM382" s="100"/>
      <c r="AN382" s="111"/>
      <c r="AO382" s="100"/>
      <c r="AP382" s="100"/>
      <c r="AQ382" s="111"/>
      <c r="AR382" s="100"/>
      <c r="AS382" s="100"/>
      <c r="AT382" s="111"/>
    </row>
    <row r="383" spans="1:46" ht="16.3">
      <c r="A383" s="234" t="s">
        <v>2</v>
      </c>
      <c r="B383" s="240">
        <f>SUM(J383+K383+L383+M383+N383+S383+V383+W383+X383+AA383+AI383+AJ383+AI383+AM383+AP383+AQ383+AS383+AT383+AU383+AV383+AN383)+10</f>
        <v>11</v>
      </c>
      <c r="C383" s="215">
        <f>SUM(J383+K383+L383+M383+N383+S383+W383+X383+V383+AA383+AJ383+AI383+AJ383+AN383+AQ383+AM383+AT383+AU383+AV383+AW383+AP383+AS383)+10</f>
        <v>11</v>
      </c>
      <c r="D383" s="139"/>
      <c r="E383" s="140"/>
      <c r="F383" s="135"/>
      <c r="G383" s="136"/>
      <c r="H383" s="96"/>
      <c r="I383" s="96"/>
      <c r="J383" s="104"/>
      <c r="K383" s="75">
        <v>1</v>
      </c>
      <c r="L383" s="75"/>
      <c r="M383" s="75"/>
      <c r="N383" s="75"/>
      <c r="O383" s="96"/>
      <c r="P383" s="105"/>
      <c r="Q383" s="105"/>
      <c r="R383" s="96"/>
      <c r="S383" s="128"/>
      <c r="T383" s="137"/>
      <c r="U383" s="110"/>
      <c r="V383" s="100"/>
      <c r="W383" s="100"/>
      <c r="X383" s="100"/>
      <c r="Y383" s="110"/>
      <c r="Z383" s="110"/>
      <c r="AA383" s="100"/>
      <c r="AB383" s="109"/>
      <c r="AC383" s="109"/>
      <c r="AD383" s="109"/>
      <c r="AE383" s="108"/>
      <c r="AF383" s="109"/>
      <c r="AG383" s="108"/>
      <c r="AH383" s="111"/>
      <c r="AI383" s="100"/>
      <c r="AJ383" s="100"/>
      <c r="AK383" s="100"/>
      <c r="AL383" s="100"/>
      <c r="AM383" s="100"/>
      <c r="AN383" s="111"/>
      <c r="AO383" s="100"/>
      <c r="AP383" s="100"/>
      <c r="AQ383" s="111"/>
      <c r="AR383" s="100"/>
      <c r="AS383" s="100"/>
      <c r="AT383" s="111"/>
    </row>
    <row r="384" spans="1:46" ht="16.3">
      <c r="A384" s="91" t="s">
        <v>363</v>
      </c>
      <c r="B384" s="239">
        <f t="shared" ref="B384" si="130">SUM(B382+B383)</f>
        <v>115</v>
      </c>
      <c r="C384" s="214">
        <f t="shared" ref="C384" si="131">SUM(C382+C383)</f>
        <v>115</v>
      </c>
      <c r="D384" s="133"/>
      <c r="E384" s="134"/>
      <c r="F384" s="135"/>
      <c r="G384" s="136"/>
      <c r="H384" s="96"/>
      <c r="I384" s="96"/>
      <c r="J384" s="104"/>
      <c r="K384" s="75"/>
      <c r="L384" s="75"/>
      <c r="M384" s="75"/>
      <c r="N384" s="75"/>
      <c r="O384" s="96"/>
      <c r="P384" s="105"/>
      <c r="Q384" s="105"/>
      <c r="R384" s="96"/>
      <c r="S384" s="128"/>
      <c r="T384" s="137"/>
      <c r="U384" s="110"/>
      <c r="V384" s="100"/>
      <c r="W384" s="100"/>
      <c r="X384" s="100"/>
      <c r="Y384" s="110"/>
      <c r="Z384" s="110"/>
      <c r="AA384" s="100"/>
      <c r="AB384" s="109"/>
      <c r="AC384" s="109"/>
      <c r="AD384" s="109"/>
      <c r="AE384" s="108"/>
      <c r="AF384" s="109"/>
      <c r="AG384" s="108"/>
      <c r="AH384" s="111"/>
      <c r="AI384" s="100"/>
      <c r="AJ384" s="100"/>
      <c r="AK384" s="100"/>
      <c r="AL384" s="100"/>
      <c r="AM384" s="100"/>
      <c r="AN384" s="111"/>
      <c r="AO384" s="100"/>
      <c r="AP384" s="100"/>
      <c r="AQ384" s="111"/>
      <c r="AR384" s="100"/>
      <c r="AS384" s="100"/>
      <c r="AT384" s="111"/>
    </row>
    <row r="385" spans="1:46" ht="16.3">
      <c r="A385" s="234" t="s">
        <v>366</v>
      </c>
      <c r="B385" s="240">
        <f>SUM(J385+K385+L385+M385+N385+S385+V385+W385+X385+AA385+AI385+AJ385+AI385+AM385+AP385+AQ385+AS385+AT385+AU385+AV385+AN385)+70</f>
        <v>70</v>
      </c>
      <c r="C385" s="215">
        <f>SUM(J385+K385+L385+M385+N385+S385+W385+X385+V385+AA385+AJ385+AI385+AJ385+AN385+AQ385+AM385+AT385+AU385+AV385+AW385+AP385+AS385)+70</f>
        <v>70</v>
      </c>
      <c r="D385" s="139"/>
      <c r="E385" s="140"/>
      <c r="F385" s="135"/>
      <c r="G385" s="136"/>
      <c r="H385" s="96"/>
      <c r="I385" s="96"/>
      <c r="J385" s="104"/>
      <c r="K385" s="75"/>
      <c r="L385" s="75"/>
      <c r="M385" s="75"/>
      <c r="N385" s="75"/>
      <c r="O385" s="96"/>
      <c r="P385" s="105"/>
      <c r="Q385" s="105"/>
      <c r="R385" s="96"/>
      <c r="S385" s="128"/>
      <c r="T385" s="137"/>
      <c r="U385" s="110"/>
      <c r="V385" s="100"/>
      <c r="W385" s="100"/>
      <c r="X385" s="100"/>
      <c r="Y385" s="110"/>
      <c r="Z385" s="110"/>
      <c r="AA385" s="100"/>
      <c r="AB385" s="109"/>
      <c r="AC385" s="109"/>
      <c r="AD385" s="109"/>
      <c r="AE385" s="108"/>
      <c r="AF385" s="109"/>
      <c r="AG385" s="108"/>
      <c r="AH385" s="111"/>
      <c r="AI385" s="100"/>
      <c r="AJ385" s="100"/>
      <c r="AK385" s="100"/>
      <c r="AL385" s="100"/>
      <c r="AM385" s="100"/>
      <c r="AN385" s="111"/>
      <c r="AO385" s="100"/>
      <c r="AP385" s="100"/>
      <c r="AQ385" s="111"/>
      <c r="AR385" s="100"/>
      <c r="AS385" s="100"/>
      <c r="AT385" s="111"/>
    </row>
    <row r="386" spans="1:46" ht="16.3">
      <c r="A386" s="234" t="s">
        <v>362</v>
      </c>
      <c r="B386" s="240">
        <f>SUM(J386+K386+L386+M386+N386+S386+V386+W386+X386+AA386+AI386+AJ386+AI386+AM386+AP386+AQ386+AS386+AT386+AU386+AV386)+3</f>
        <v>3</v>
      </c>
      <c r="C386" s="215">
        <f>SUM(J386+K386+L386+M386+N386+S386+W386+X386+V386+AA386+AJ386+AI386+AJ386+AN386+AQ386+AM386+AT386+AU386+AV386+AW386+AP386+AS386)+3</f>
        <v>3</v>
      </c>
      <c r="D386" s="139"/>
      <c r="E386" s="140"/>
      <c r="F386" s="135"/>
      <c r="G386" s="136"/>
      <c r="H386" s="96"/>
      <c r="I386" s="96"/>
      <c r="J386" s="104"/>
      <c r="K386" s="75"/>
      <c r="L386" s="75"/>
      <c r="M386" s="75"/>
      <c r="N386" s="75"/>
      <c r="O386" s="96"/>
      <c r="P386" s="105"/>
      <c r="Q386" s="105"/>
      <c r="R386" s="96"/>
      <c r="S386" s="128"/>
      <c r="T386" s="137"/>
      <c r="U386" s="110"/>
      <c r="V386" s="100"/>
      <c r="W386" s="100"/>
      <c r="X386" s="100"/>
      <c r="Y386" s="110"/>
      <c r="Z386" s="110"/>
      <c r="AA386" s="100"/>
      <c r="AB386" s="109"/>
      <c r="AC386" s="109"/>
      <c r="AD386" s="109"/>
      <c r="AE386" s="108"/>
      <c r="AF386" s="109"/>
      <c r="AG386" s="108"/>
      <c r="AH386" s="111"/>
      <c r="AI386" s="100"/>
      <c r="AJ386" s="100"/>
      <c r="AK386" s="100"/>
      <c r="AL386" s="100"/>
      <c r="AM386" s="100"/>
      <c r="AN386" s="111"/>
      <c r="AO386" s="100"/>
      <c r="AP386" s="100"/>
      <c r="AQ386" s="111"/>
      <c r="AR386" s="100"/>
      <c r="AS386" s="100"/>
      <c r="AT386" s="111"/>
    </row>
    <row r="387" spans="1:46" ht="16.3">
      <c r="A387" s="91" t="s">
        <v>3</v>
      </c>
      <c r="B387" s="239">
        <f>SUM(J387+K387+L387+M387+N387+S387+V387+W387+X387+AA387+AI387+AJ387+AI387+AM387+AP387+AQ387+AS387+AT387+AU387+AV387)+7</f>
        <v>7</v>
      </c>
      <c r="C387" s="214">
        <f>SUM(J387+K387+L387+M387+N387+S387+W387+X387+V387+AA387+AJ387+AI387+AJ387+AN387+AQ387+AM387+AT387+AU387+AV387+AW387+AP387+AS387)+7</f>
        <v>7</v>
      </c>
      <c r="D387" s="133"/>
      <c r="E387" s="134"/>
      <c r="F387" s="135"/>
      <c r="G387" s="136"/>
      <c r="H387" s="96"/>
      <c r="I387" s="96"/>
      <c r="J387" s="104"/>
      <c r="K387" s="75"/>
      <c r="L387" s="75"/>
      <c r="M387" s="75"/>
      <c r="N387" s="75"/>
      <c r="O387" s="96"/>
      <c r="P387" s="105"/>
      <c r="Q387" s="105"/>
      <c r="R387" s="96"/>
      <c r="S387" s="128"/>
      <c r="T387" s="137"/>
      <c r="U387" s="110"/>
      <c r="V387" s="100"/>
      <c r="W387" s="100"/>
      <c r="X387" s="100"/>
      <c r="Y387" s="110"/>
      <c r="Z387" s="110"/>
      <c r="AA387" s="100"/>
      <c r="AB387" s="109"/>
      <c r="AC387" s="109"/>
      <c r="AD387" s="109"/>
      <c r="AE387" s="108"/>
      <c r="AF387" s="109"/>
      <c r="AG387" s="108"/>
      <c r="AH387" s="111"/>
      <c r="AI387" s="100"/>
      <c r="AJ387" s="100"/>
      <c r="AK387" s="100"/>
      <c r="AL387" s="100"/>
      <c r="AM387" s="100"/>
      <c r="AN387" s="111"/>
      <c r="AO387" s="100"/>
      <c r="AP387" s="100"/>
      <c r="AQ387" s="111"/>
      <c r="AR387" s="100"/>
      <c r="AS387" s="100"/>
      <c r="AT387" s="111"/>
    </row>
    <row r="388" spans="1:46" ht="17" thickBot="1">
      <c r="A388" s="92" t="s">
        <v>4</v>
      </c>
      <c r="B388" s="241">
        <f>SUM(J388+K388+L388+M388+N388+S388+V388+W388+X388+AA388+AI388+AJ388+AI388+AM388+AP388+AQ388+AS388+AT388+AU388+AV388)+35</f>
        <v>35</v>
      </c>
      <c r="C388" s="217">
        <f>SUM(J388+K388+L388+M388+N388+S388+W388+X388+V388+AA388+AJ388+AI388+AJ388+AN388+AQ388+AM388+AT388+AU388+AV388+AW388+AP388+AS388)+35</f>
        <v>35</v>
      </c>
      <c r="D388" s="144"/>
      <c r="E388" s="145"/>
      <c r="F388" s="146"/>
      <c r="G388" s="147"/>
      <c r="H388" s="114"/>
      <c r="I388" s="114"/>
      <c r="J388" s="113"/>
      <c r="K388" s="112"/>
      <c r="L388" s="112"/>
      <c r="M388" s="112"/>
      <c r="N388" s="112"/>
      <c r="O388" s="114"/>
      <c r="P388" s="127"/>
      <c r="Q388" s="127"/>
      <c r="R388" s="114"/>
      <c r="S388" s="129"/>
      <c r="T388" s="148"/>
      <c r="U388" s="120"/>
      <c r="V388" s="116"/>
      <c r="W388" s="112"/>
      <c r="X388" s="112"/>
      <c r="Y388" s="110"/>
      <c r="Z388" s="110"/>
      <c r="AA388" s="100"/>
      <c r="AB388" s="109"/>
      <c r="AC388" s="109"/>
      <c r="AD388" s="109"/>
      <c r="AE388" s="108"/>
      <c r="AF388" s="109"/>
      <c r="AG388" s="108"/>
      <c r="AH388" s="111"/>
      <c r="AI388" s="100"/>
      <c r="AJ388" s="100"/>
      <c r="AK388" s="100"/>
      <c r="AL388" s="100"/>
      <c r="AM388" s="100"/>
      <c r="AN388" s="111"/>
      <c r="AO388" s="100"/>
      <c r="AP388" s="100"/>
      <c r="AQ388" s="111"/>
      <c r="AR388" s="100"/>
      <c r="AS388" s="100"/>
      <c r="AT388" s="111"/>
    </row>
    <row r="389" spans="1:46" ht="21.1">
      <c r="A389" s="82" t="s">
        <v>276</v>
      </c>
      <c r="B389" s="239"/>
      <c r="C389" s="214"/>
      <c r="D389" s="133"/>
      <c r="E389" s="134"/>
      <c r="F389" s="135"/>
      <c r="G389" s="136"/>
      <c r="H389" s="96" t="s">
        <v>394</v>
      </c>
      <c r="I389" s="96" t="s">
        <v>394</v>
      </c>
      <c r="J389" s="104" t="s">
        <v>394</v>
      </c>
      <c r="K389" s="75" t="s">
        <v>394</v>
      </c>
      <c r="L389" s="75" t="s">
        <v>382</v>
      </c>
      <c r="M389" s="75"/>
      <c r="N389" s="75" t="s">
        <v>773</v>
      </c>
      <c r="O389" s="96"/>
      <c r="P389" s="105"/>
      <c r="Q389" s="105"/>
      <c r="R389" s="96" t="s">
        <v>394</v>
      </c>
      <c r="S389" s="128">
        <v>6</v>
      </c>
      <c r="T389" s="137" t="s">
        <v>382</v>
      </c>
      <c r="U389" s="110" t="s">
        <v>375</v>
      </c>
      <c r="V389" s="100" t="s">
        <v>373</v>
      </c>
      <c r="W389" s="102"/>
      <c r="X389" s="102" t="s">
        <v>382</v>
      </c>
      <c r="Y389" s="101">
        <v>6</v>
      </c>
      <c r="Z389" s="101">
        <v>6</v>
      </c>
      <c r="AA389" s="102" t="s">
        <v>375</v>
      </c>
      <c r="AB389" s="99"/>
      <c r="AC389" s="99"/>
      <c r="AD389" s="99"/>
      <c r="AE389" s="98"/>
      <c r="AF389" s="99">
        <v>6</v>
      </c>
      <c r="AG389" s="98"/>
      <c r="AH389" s="103"/>
      <c r="AI389" s="102"/>
      <c r="AJ389" s="102"/>
      <c r="AK389" s="102"/>
      <c r="AL389" s="102"/>
      <c r="AM389" s="102"/>
      <c r="AN389" s="103"/>
      <c r="AO389" s="102"/>
      <c r="AP389" s="102"/>
      <c r="AQ389" s="103"/>
      <c r="AR389" s="102"/>
      <c r="AS389" s="102"/>
      <c r="AT389" s="103"/>
    </row>
    <row r="390" spans="1:46" ht="16.3">
      <c r="A390" s="234" t="s">
        <v>1</v>
      </c>
      <c r="B390" s="240">
        <f>SUM(J390+K390+L390+M390+N390+S390+V390+W390+X390+AA390+AI390+AJ390+AI390+AM390+AP390+AQ390+AS390+AT390+AU390+AV390+AN390)+9</f>
        <v>14</v>
      </c>
      <c r="C390" s="215">
        <f>SUM(J390+K390+L390+M390+N390+S390+W390+X390+V390+AA390+AJ390+AI390+AJ390+AN390+AQ390+AM390+AT390+AU390+AV390+AW390+AP390+AS390)+14</f>
        <v>19</v>
      </c>
      <c r="D390" s="139"/>
      <c r="E390" s="140"/>
      <c r="F390" s="135"/>
      <c r="G390" s="136"/>
      <c r="H390" s="96"/>
      <c r="I390" s="96"/>
      <c r="J390" s="104"/>
      <c r="K390" s="75"/>
      <c r="L390" s="75">
        <v>1</v>
      </c>
      <c r="M390" s="75"/>
      <c r="N390" s="75">
        <v>1</v>
      </c>
      <c r="O390" s="96"/>
      <c r="P390" s="105"/>
      <c r="Q390" s="105"/>
      <c r="R390" s="96"/>
      <c r="S390" s="128">
        <v>1</v>
      </c>
      <c r="T390" s="137">
        <v>1</v>
      </c>
      <c r="U390" s="110"/>
      <c r="V390" s="100">
        <v>1</v>
      </c>
      <c r="W390" s="100"/>
      <c r="X390" s="100">
        <v>1</v>
      </c>
      <c r="Y390" s="110">
        <v>1</v>
      </c>
      <c r="Z390" s="110">
        <v>1</v>
      </c>
      <c r="AA390" s="100"/>
      <c r="AB390" s="109"/>
      <c r="AC390" s="109"/>
      <c r="AD390" s="109"/>
      <c r="AE390" s="108"/>
      <c r="AF390" s="109">
        <v>1</v>
      </c>
      <c r="AG390" s="108"/>
      <c r="AH390" s="111"/>
      <c r="AI390" s="100"/>
      <c r="AJ390" s="100"/>
      <c r="AK390" s="100"/>
      <c r="AL390" s="100"/>
      <c r="AM390" s="100"/>
      <c r="AN390" s="111"/>
      <c r="AO390" s="100"/>
      <c r="AP390" s="100"/>
      <c r="AQ390" s="111"/>
      <c r="AR390" s="100"/>
      <c r="AS390" s="100"/>
      <c r="AT390" s="111"/>
    </row>
    <row r="391" spans="1:46" ht="16.3">
      <c r="A391" s="234" t="s">
        <v>2</v>
      </c>
      <c r="B391" s="240">
        <f>SUM(J391+K391+L391+M391+N391+S391+V391+W391+X391+AA391+AI391+AJ391+AI391+AM391+AP391+AQ391+AS391+AT391+AU391+AV391)+2</f>
        <v>3</v>
      </c>
      <c r="C391" s="215">
        <f>SUM(J391+K391+L391+M391+N391+S391+W391+X391+V391+AA391+AJ391+AI391+AJ391+AN391+AQ391+AM391+AT391+AU391+AV391+AW391+AP391+AS391)+9</f>
        <v>10</v>
      </c>
      <c r="D391" s="139"/>
      <c r="E391" s="140"/>
      <c r="F391" s="135"/>
      <c r="G391" s="136"/>
      <c r="H391" s="96"/>
      <c r="I391" s="96"/>
      <c r="J391" s="104"/>
      <c r="K391" s="75"/>
      <c r="L391" s="75"/>
      <c r="M391" s="75"/>
      <c r="N391" s="75"/>
      <c r="O391" s="96"/>
      <c r="P391" s="105"/>
      <c r="Q391" s="105"/>
      <c r="R391" s="96"/>
      <c r="S391" s="128"/>
      <c r="T391" s="137"/>
      <c r="U391" s="110">
        <v>1</v>
      </c>
      <c r="V391" s="100"/>
      <c r="W391" s="100"/>
      <c r="X391" s="100"/>
      <c r="Y391" s="110"/>
      <c r="Z391" s="110"/>
      <c r="AA391" s="100">
        <v>1</v>
      </c>
      <c r="AB391" s="109"/>
      <c r="AC391" s="109"/>
      <c r="AD391" s="109"/>
      <c r="AE391" s="108"/>
      <c r="AF391" s="109"/>
      <c r="AG391" s="108"/>
      <c r="AH391" s="111"/>
      <c r="AI391" s="100"/>
      <c r="AJ391" s="100"/>
      <c r="AK391" s="100"/>
      <c r="AL391" s="100"/>
      <c r="AM391" s="100"/>
      <c r="AN391" s="111"/>
      <c r="AO391" s="100"/>
      <c r="AP391" s="100"/>
      <c r="AQ391" s="111"/>
      <c r="AR391" s="100"/>
      <c r="AS391" s="100"/>
      <c r="AT391" s="111"/>
    </row>
    <row r="392" spans="1:46" ht="16.3">
      <c r="A392" s="91" t="s">
        <v>363</v>
      </c>
      <c r="B392" s="239">
        <f>SUM(B390+B391)</f>
        <v>17</v>
      </c>
      <c r="C392" s="214">
        <f>SUM(C390+C391)</f>
        <v>29</v>
      </c>
      <c r="D392" s="133"/>
      <c r="E392" s="134"/>
      <c r="F392" s="135"/>
      <c r="G392" s="136"/>
      <c r="H392" s="96"/>
      <c r="I392" s="96"/>
      <c r="J392" s="104"/>
      <c r="K392" s="75"/>
      <c r="L392" s="75"/>
      <c r="M392" s="75"/>
      <c r="N392" s="75"/>
      <c r="O392" s="96"/>
      <c r="P392" s="105"/>
      <c r="Q392" s="105"/>
      <c r="R392" s="96"/>
      <c r="S392" s="128"/>
      <c r="T392" s="137"/>
      <c r="U392" s="110"/>
      <c r="V392" s="100"/>
      <c r="W392" s="100"/>
      <c r="X392" s="100"/>
      <c r="Y392" s="110"/>
      <c r="Z392" s="110"/>
      <c r="AA392" s="100"/>
      <c r="AB392" s="109"/>
      <c r="AC392" s="109"/>
      <c r="AD392" s="109"/>
      <c r="AE392" s="108"/>
      <c r="AF392" s="109"/>
      <c r="AG392" s="108"/>
      <c r="AH392" s="111"/>
      <c r="AI392" s="100"/>
      <c r="AJ392" s="100"/>
      <c r="AK392" s="100"/>
      <c r="AL392" s="100"/>
      <c r="AM392" s="100"/>
      <c r="AN392" s="111"/>
      <c r="AO392" s="100"/>
      <c r="AP392" s="100"/>
      <c r="AQ392" s="111"/>
      <c r="AR392" s="100"/>
      <c r="AS392" s="100"/>
      <c r="AT392" s="111"/>
    </row>
    <row r="393" spans="1:46" ht="16.3">
      <c r="A393" s="234" t="s">
        <v>362</v>
      </c>
      <c r="B393" s="240">
        <f>SUM(J393+K393+L393+M393+N393+S393+V393+W393+X393+AA393+AI393+AJ393+AI393+AM393+AP393+AQ393+AS393+AT393+AU393+AV393)+1</f>
        <v>2</v>
      </c>
      <c r="C393" s="215">
        <f>SUM(J393+K393+L393+M393+N393+S393+W393+X393+V393+AA393+AJ393+AI393+AJ393+AN393+AQ393+AM393+AT393+AU393+AV393+AW393+AP393+AS393)+1</f>
        <v>2</v>
      </c>
      <c r="D393" s="133"/>
      <c r="E393" s="134"/>
      <c r="F393" s="135"/>
      <c r="G393" s="136"/>
      <c r="H393" s="96"/>
      <c r="I393" s="96"/>
      <c r="J393" s="104"/>
      <c r="K393" s="75"/>
      <c r="L393" s="75"/>
      <c r="M393" s="75"/>
      <c r="N393" s="75">
        <v>1</v>
      </c>
      <c r="O393" s="96"/>
      <c r="P393" s="105"/>
      <c r="Q393" s="105"/>
      <c r="R393" s="96"/>
      <c r="S393" s="128"/>
      <c r="T393" s="137"/>
      <c r="U393" s="110"/>
      <c r="V393" s="100"/>
      <c r="W393" s="100"/>
      <c r="X393" s="100"/>
      <c r="Y393" s="110"/>
      <c r="Z393" s="110"/>
      <c r="AA393" s="100"/>
      <c r="AB393" s="109"/>
      <c r="AC393" s="109"/>
      <c r="AD393" s="109"/>
      <c r="AE393" s="108"/>
      <c r="AF393" s="109"/>
      <c r="AG393" s="108"/>
      <c r="AH393" s="111"/>
      <c r="AI393" s="100"/>
      <c r="AJ393" s="100"/>
      <c r="AK393" s="100"/>
      <c r="AL393" s="100"/>
      <c r="AM393" s="100"/>
      <c r="AN393" s="111"/>
      <c r="AO393" s="100"/>
      <c r="AP393" s="100"/>
      <c r="AQ393" s="111"/>
      <c r="AR393" s="100"/>
      <c r="AS393" s="100"/>
      <c r="AT393" s="111"/>
    </row>
    <row r="394" spans="1:46" ht="16.3">
      <c r="A394" s="234" t="s">
        <v>364</v>
      </c>
      <c r="B394" s="240">
        <f>SUM(J394+K394+L394+M394+N394+S394+V394+W394+X394+AA394+AI394+AJ394+AI394+AM394+AP394+AQ394+AS394+AT394+AU394+AV394)+1</f>
        <v>1</v>
      </c>
      <c r="C394" s="215">
        <f>SUM(J394+K394+L394+M394+N394+S394+W394+X394+V394+AA394+AJ394+AI394+AJ394+AN394+AQ394+AM394+AT394+AU394+AV394+AW394+AP394+AS394)+1</f>
        <v>1</v>
      </c>
      <c r="D394" s="133"/>
      <c r="E394" s="134"/>
      <c r="F394" s="135"/>
      <c r="G394" s="136"/>
      <c r="H394" s="96"/>
      <c r="I394" s="96"/>
      <c r="J394" s="104"/>
      <c r="K394" s="75"/>
      <c r="L394" s="75"/>
      <c r="M394" s="75"/>
      <c r="N394" s="75"/>
      <c r="O394" s="96"/>
      <c r="P394" s="105"/>
      <c r="Q394" s="105"/>
      <c r="R394" s="96"/>
      <c r="S394" s="128"/>
      <c r="T394" s="137"/>
      <c r="U394" s="110"/>
      <c r="V394" s="100"/>
      <c r="W394" s="100"/>
      <c r="X394" s="100"/>
      <c r="Y394" s="110"/>
      <c r="Z394" s="110"/>
      <c r="AA394" s="100"/>
      <c r="AB394" s="109"/>
      <c r="AC394" s="109"/>
      <c r="AD394" s="109"/>
      <c r="AE394" s="108"/>
      <c r="AF394" s="109"/>
      <c r="AG394" s="108"/>
      <c r="AH394" s="111"/>
      <c r="AI394" s="100"/>
      <c r="AJ394" s="100"/>
      <c r="AK394" s="100"/>
      <c r="AL394" s="100"/>
      <c r="AM394" s="100"/>
      <c r="AN394" s="111"/>
      <c r="AO394" s="100"/>
      <c r="AP394" s="100"/>
      <c r="AQ394" s="111"/>
      <c r="AR394" s="100"/>
      <c r="AS394" s="100"/>
      <c r="AT394" s="111"/>
    </row>
    <row r="395" spans="1:46" ht="16.3">
      <c r="A395" s="91" t="s">
        <v>3</v>
      </c>
      <c r="B395" s="239">
        <f>SUM(J395+K395+L395+M395+N395+S395+V395+W395+X395+AA395+AI395+AJ395+AI395+AM395+AP395+AQ395+AS395+AT395+AU395+AV395)+4</f>
        <v>5</v>
      </c>
      <c r="C395" s="214">
        <f>SUM(J395+K395+L395+M395+N395+S395+W395+X395+V395+AA395+AJ395+AI395+AJ395+AN395+AQ395+AM395+AT395+AU395+AV395+AW395+AP395+AS395)+7</f>
        <v>8</v>
      </c>
      <c r="D395" s="133"/>
      <c r="E395" s="134"/>
      <c r="F395" s="135"/>
      <c r="G395" s="136"/>
      <c r="H395" s="96"/>
      <c r="I395" s="96"/>
      <c r="J395" s="104"/>
      <c r="K395" s="75"/>
      <c r="L395" s="75"/>
      <c r="M395" s="75"/>
      <c r="N395" s="75"/>
      <c r="O395" s="96"/>
      <c r="P395" s="105"/>
      <c r="Q395" s="105"/>
      <c r="R395" s="96"/>
      <c r="S395" s="128"/>
      <c r="T395" s="137"/>
      <c r="U395" s="110">
        <v>1</v>
      </c>
      <c r="V395" s="100">
        <v>1</v>
      </c>
      <c r="W395" s="100"/>
      <c r="X395" s="100"/>
      <c r="Y395" s="110"/>
      <c r="Z395" s="110"/>
      <c r="AA395" s="100"/>
      <c r="AB395" s="109"/>
      <c r="AC395" s="109"/>
      <c r="AD395" s="109"/>
      <c r="AE395" s="108"/>
      <c r="AF395" s="109"/>
      <c r="AG395" s="108"/>
      <c r="AH395" s="111"/>
      <c r="AI395" s="100"/>
      <c r="AJ395" s="100"/>
      <c r="AK395" s="100"/>
      <c r="AL395" s="100"/>
      <c r="AM395" s="100"/>
      <c r="AN395" s="111"/>
      <c r="AO395" s="100"/>
      <c r="AP395" s="100"/>
      <c r="AQ395" s="111"/>
      <c r="AR395" s="100"/>
      <c r="AS395" s="100"/>
      <c r="AT395" s="111"/>
    </row>
    <row r="396" spans="1:46" ht="17" thickBot="1">
      <c r="A396" s="92" t="s">
        <v>4</v>
      </c>
      <c r="B396" s="241">
        <f>SUM(J396+K396+L396+M396+N396+S396+V396+W396+X396+AA396+AI396+AJ396+AI396+AM396+AP396+AQ396+AS396+AT396+AU396+AV396)+20</f>
        <v>25</v>
      </c>
      <c r="C396" s="217">
        <f>SUM(J396+K396+L396+M396+N396+S396+W396+X396+V396+AA396+AJ396+AI396+AJ396+AN396+AQ396+AM396+AT396+AU396+AV396+AW396+AP396+AS396)+35</f>
        <v>40</v>
      </c>
      <c r="D396" s="144"/>
      <c r="E396" s="145"/>
      <c r="F396" s="146"/>
      <c r="G396" s="147"/>
      <c r="H396" s="114"/>
      <c r="I396" s="114"/>
      <c r="J396" s="113"/>
      <c r="K396" s="112"/>
      <c r="L396" s="112"/>
      <c r="M396" s="112"/>
      <c r="N396" s="112"/>
      <c r="O396" s="114"/>
      <c r="P396" s="127"/>
      <c r="Q396" s="127"/>
      <c r="R396" s="114"/>
      <c r="S396" s="129"/>
      <c r="T396" s="148"/>
      <c r="U396" s="120">
        <v>5</v>
      </c>
      <c r="V396" s="112">
        <v>5</v>
      </c>
      <c r="W396" s="116"/>
      <c r="X396" s="116"/>
      <c r="Y396" s="120"/>
      <c r="Z396" s="120"/>
      <c r="AA396" s="116"/>
      <c r="AB396" s="118"/>
      <c r="AC396" s="118"/>
      <c r="AD396" s="118"/>
      <c r="AE396" s="117"/>
      <c r="AF396" s="118"/>
      <c r="AG396" s="117"/>
      <c r="AH396" s="121"/>
      <c r="AI396" s="116"/>
      <c r="AJ396" s="116"/>
      <c r="AK396" s="116"/>
      <c r="AL396" s="116"/>
      <c r="AM396" s="116"/>
      <c r="AN396" s="121"/>
      <c r="AO396" s="116"/>
      <c r="AP396" s="116"/>
      <c r="AQ396" s="121"/>
      <c r="AR396" s="116"/>
      <c r="AS396" s="116"/>
      <c r="AT396" s="121"/>
    </row>
    <row r="397" spans="1:46" ht="21.1">
      <c r="A397" s="82" t="s">
        <v>675</v>
      </c>
      <c r="B397" s="239"/>
      <c r="C397" s="214"/>
      <c r="D397" s="133"/>
      <c r="E397" s="134"/>
      <c r="F397" s="135"/>
      <c r="G397" s="136"/>
      <c r="H397" s="96" t="s">
        <v>374</v>
      </c>
      <c r="I397" s="96">
        <v>8</v>
      </c>
      <c r="J397" s="104" t="s">
        <v>374</v>
      </c>
      <c r="K397" s="75" t="s">
        <v>375</v>
      </c>
      <c r="L397" s="75"/>
      <c r="M397" s="75" t="s">
        <v>375</v>
      </c>
      <c r="N397" s="75" t="s">
        <v>441</v>
      </c>
      <c r="O397" s="96" t="s">
        <v>374</v>
      </c>
      <c r="P397" s="105"/>
      <c r="Q397" s="105"/>
      <c r="R397" s="96"/>
      <c r="S397" s="128"/>
      <c r="T397" s="137" t="s">
        <v>375</v>
      </c>
      <c r="U397" s="110" t="s">
        <v>759</v>
      </c>
      <c r="V397" s="100" t="s">
        <v>375</v>
      </c>
      <c r="W397" s="100"/>
      <c r="X397" s="100" t="s">
        <v>375</v>
      </c>
      <c r="Y397" s="110" t="s">
        <v>375</v>
      </c>
      <c r="Z397" s="110" t="s">
        <v>393</v>
      </c>
      <c r="AA397" s="100"/>
      <c r="AB397" s="109">
        <v>8</v>
      </c>
      <c r="AC397" s="109" t="s">
        <v>374</v>
      </c>
      <c r="AD397" s="109"/>
      <c r="AE397" s="108"/>
      <c r="AF397" s="109"/>
      <c r="AG397" s="108"/>
      <c r="AH397" s="111"/>
      <c r="AI397" s="100"/>
      <c r="AJ397" s="100"/>
      <c r="AK397" s="100"/>
      <c r="AL397" s="100"/>
      <c r="AM397" s="100"/>
      <c r="AN397" s="111"/>
      <c r="AO397" s="100"/>
      <c r="AP397" s="100"/>
      <c r="AQ397" s="111"/>
      <c r="AR397" s="100"/>
      <c r="AS397" s="100"/>
      <c r="AT397" s="111"/>
    </row>
    <row r="398" spans="1:46" ht="16.3">
      <c r="A398" s="234" t="s">
        <v>1</v>
      </c>
      <c r="B398" s="240">
        <f>SUM(J398+K398+L398+M398+N398+S398+V398+W398+X398+AA398+AI398+AJ398+AI398+AM398+AP398+AQ398+AS398+AT398+AU398+AV398+AN398)+1</f>
        <v>2</v>
      </c>
      <c r="C398" s="215">
        <f>SUM(J398+K398+L398+M398+N398+S398+W398+X398+V398+AA398+AJ398+AI398+AJ398+AN398+AQ398+AM398+AT398+AU398+AV398+AW398+AP398+AS398)+1</f>
        <v>2</v>
      </c>
      <c r="D398" s="139"/>
      <c r="E398" s="140"/>
      <c r="F398" s="135"/>
      <c r="G398" s="136"/>
      <c r="H398" s="96">
        <v>1</v>
      </c>
      <c r="I398" s="96">
        <v>1</v>
      </c>
      <c r="J398" s="104">
        <v>1</v>
      </c>
      <c r="K398" s="75"/>
      <c r="L398" s="75"/>
      <c r="M398" s="75"/>
      <c r="N398" s="75"/>
      <c r="O398" s="96">
        <v>1</v>
      </c>
      <c r="P398" s="105"/>
      <c r="Q398" s="105"/>
      <c r="R398" s="96"/>
      <c r="S398" s="128"/>
      <c r="T398" s="137"/>
      <c r="U398" s="110">
        <v>1</v>
      </c>
      <c r="V398" s="100"/>
      <c r="W398" s="100"/>
      <c r="X398" s="100"/>
      <c r="Y398" s="110"/>
      <c r="Z398" s="110"/>
      <c r="AA398" s="100"/>
      <c r="AB398" s="109">
        <v>1</v>
      </c>
      <c r="AC398" s="109">
        <v>1</v>
      </c>
      <c r="AD398" s="109"/>
      <c r="AE398" s="108"/>
      <c r="AF398" s="109"/>
      <c r="AG398" s="108"/>
      <c r="AH398" s="111"/>
      <c r="AI398" s="100"/>
      <c r="AJ398" s="100"/>
      <c r="AK398" s="100"/>
      <c r="AL398" s="100"/>
      <c r="AM398" s="100"/>
      <c r="AN398" s="111"/>
      <c r="AO398" s="100"/>
      <c r="AP398" s="100"/>
      <c r="AQ398" s="111"/>
      <c r="AR398" s="100"/>
      <c r="AS398" s="100"/>
      <c r="AT398" s="111"/>
    </row>
    <row r="399" spans="1:46" ht="16.3">
      <c r="A399" s="234" t="s">
        <v>2</v>
      </c>
      <c r="B399" s="240">
        <f>SUM(J399+K399+L399+M399+N399+S399+V399+W399+X399+AA399+AI399+AJ399+AI399+AM399+AP399+AQ399+AS399+AT399+AU399+AV399)+12</f>
        <v>17</v>
      </c>
      <c r="C399" s="215">
        <f>SUM(J399+K399+L399+M399+N399+S399+W399+X399+V399+AA399+AJ399+AI399+AJ399+AN399+AQ399+AM399+AT399+AU399+AV399+AW399+AP399+AS399)+12</f>
        <v>17</v>
      </c>
      <c r="D399" s="139"/>
      <c r="E399" s="140"/>
      <c r="F399" s="135"/>
      <c r="G399" s="136"/>
      <c r="H399" s="96"/>
      <c r="I399" s="96"/>
      <c r="J399" s="104"/>
      <c r="K399" s="75">
        <v>1</v>
      </c>
      <c r="L399" s="75"/>
      <c r="M399" s="75">
        <v>1</v>
      </c>
      <c r="N399" s="75">
        <v>1</v>
      </c>
      <c r="O399" s="96"/>
      <c r="P399" s="105"/>
      <c r="Q399" s="105"/>
      <c r="R399" s="96"/>
      <c r="S399" s="128"/>
      <c r="T399" s="137">
        <v>1</v>
      </c>
      <c r="U399" s="110"/>
      <c r="V399" s="100">
        <v>1</v>
      </c>
      <c r="W399" s="100"/>
      <c r="X399" s="100">
        <v>1</v>
      </c>
      <c r="Y399" s="110">
        <v>1</v>
      </c>
      <c r="Z399" s="110"/>
      <c r="AA399" s="100"/>
      <c r="AB399" s="109"/>
      <c r="AC399" s="109"/>
      <c r="AD399" s="109"/>
      <c r="AE399" s="108"/>
      <c r="AF399" s="109"/>
      <c r="AG399" s="108"/>
      <c r="AH399" s="111"/>
      <c r="AI399" s="100"/>
      <c r="AJ399" s="100"/>
      <c r="AK399" s="100"/>
      <c r="AL399" s="100"/>
      <c r="AM399" s="100"/>
      <c r="AN399" s="111"/>
      <c r="AO399" s="100"/>
      <c r="AP399" s="100"/>
      <c r="AQ399" s="111"/>
      <c r="AR399" s="100"/>
      <c r="AS399" s="100"/>
      <c r="AT399" s="111"/>
    </row>
    <row r="400" spans="1:46" ht="16.3">
      <c r="A400" s="91" t="s">
        <v>363</v>
      </c>
      <c r="B400" s="239">
        <f>SUM(B398+B399)</f>
        <v>19</v>
      </c>
      <c r="C400" s="214">
        <f>SUM(C398+C399)</f>
        <v>19</v>
      </c>
      <c r="D400" s="133"/>
      <c r="E400" s="134"/>
      <c r="F400" s="135"/>
      <c r="G400" s="136"/>
      <c r="H400" s="96"/>
      <c r="I400" s="96"/>
      <c r="J400" s="104"/>
      <c r="K400" s="75"/>
      <c r="L400" s="75"/>
      <c r="M400" s="75"/>
      <c r="N400" s="75"/>
      <c r="O400" s="96"/>
      <c r="P400" s="105"/>
      <c r="Q400" s="105"/>
      <c r="R400" s="96"/>
      <c r="S400" s="128"/>
      <c r="T400" s="137"/>
      <c r="U400" s="110"/>
      <c r="V400" s="100"/>
      <c r="W400" s="100"/>
      <c r="X400" s="100"/>
      <c r="Y400" s="110"/>
      <c r="Z400" s="110"/>
      <c r="AA400" s="100"/>
      <c r="AB400" s="109"/>
      <c r="AC400" s="109"/>
      <c r="AD400" s="109"/>
      <c r="AE400" s="108"/>
      <c r="AF400" s="109"/>
      <c r="AG400" s="108"/>
      <c r="AH400" s="111"/>
      <c r="AI400" s="100"/>
      <c r="AJ400" s="100"/>
      <c r="AK400" s="100"/>
      <c r="AL400" s="100"/>
      <c r="AM400" s="100"/>
      <c r="AN400" s="111"/>
      <c r="AO400" s="100"/>
      <c r="AP400" s="100"/>
      <c r="AQ400" s="111"/>
      <c r="AR400" s="100"/>
      <c r="AS400" s="100"/>
      <c r="AT400" s="111"/>
    </row>
    <row r="401" spans="1:46" ht="16.3">
      <c r="A401" s="234" t="s">
        <v>362</v>
      </c>
      <c r="B401" s="240">
        <f>SUM(J401+K401+L401+M401+N401+S401+V401+W401+X401+AA401+AI401+AJ401+AI401+AM401+AP401+AQ401+AS401+AT401+AU401+AV401)</f>
        <v>1</v>
      </c>
      <c r="C401" s="215">
        <f>SUM(J401+K401+L401+M401+N401+S401+W401+X401+V401+AA401+AJ401+AI401+AJ401+AN401+AQ401+AM401+AT401+AU401+AV401+AW401+AP401+AS401)</f>
        <v>1</v>
      </c>
      <c r="D401" s="133"/>
      <c r="E401" s="134"/>
      <c r="F401" s="135"/>
      <c r="G401" s="136"/>
      <c r="H401" s="96"/>
      <c r="I401" s="96"/>
      <c r="J401" s="104"/>
      <c r="K401" s="75"/>
      <c r="L401" s="75"/>
      <c r="M401" s="75"/>
      <c r="N401" s="75">
        <v>1</v>
      </c>
      <c r="O401" s="96"/>
      <c r="P401" s="105"/>
      <c r="Q401" s="105"/>
      <c r="R401" s="96"/>
      <c r="S401" s="128"/>
      <c r="T401" s="137"/>
      <c r="U401" s="110"/>
      <c r="V401" s="100"/>
      <c r="W401" s="100"/>
      <c r="X401" s="100"/>
      <c r="Y401" s="110"/>
      <c r="Z401" s="110"/>
      <c r="AA401" s="100"/>
      <c r="AB401" s="109"/>
      <c r="AC401" s="109"/>
      <c r="AD401" s="109"/>
      <c r="AE401" s="108"/>
      <c r="AF401" s="109"/>
      <c r="AG401" s="108"/>
      <c r="AH401" s="111"/>
      <c r="AI401" s="100"/>
      <c r="AJ401" s="100"/>
      <c r="AK401" s="100"/>
      <c r="AL401" s="100"/>
      <c r="AM401" s="100"/>
      <c r="AN401" s="111"/>
      <c r="AO401" s="100"/>
      <c r="AP401" s="100"/>
      <c r="AQ401" s="111"/>
      <c r="AR401" s="100"/>
      <c r="AS401" s="100"/>
      <c r="AT401" s="111"/>
    </row>
    <row r="402" spans="1:46" ht="16.3">
      <c r="A402" s="91" t="s">
        <v>3</v>
      </c>
      <c r="B402" s="239">
        <f>SUM(J402+K402+L402+M402+N402+S402+V402+W402+X402+AA402+AI402+AJ402+AI402+AM402+AP402+AQ402+AS402+AT402+AU402+AV402)</f>
        <v>0</v>
      </c>
      <c r="C402" s="214">
        <f>SUM(J402+K402+L402+M402+N402+S402+W402+X402+V402+AA402+AJ402+AI402+AJ402+AN402+AQ402+AM402+AT402+AU402+AV402+AW402+AP402+AS402)</f>
        <v>0</v>
      </c>
      <c r="D402" s="133"/>
      <c r="E402" s="134"/>
      <c r="F402" s="135"/>
      <c r="G402" s="136"/>
      <c r="H402" s="96"/>
      <c r="I402" s="96"/>
      <c r="J402" s="104"/>
      <c r="K402" s="75"/>
      <c r="L402" s="75"/>
      <c r="M402" s="75"/>
      <c r="N402" s="75"/>
      <c r="O402" s="96"/>
      <c r="P402" s="105"/>
      <c r="Q402" s="105"/>
      <c r="R402" s="96"/>
      <c r="S402" s="128"/>
      <c r="T402" s="137"/>
      <c r="U402" s="110">
        <v>1</v>
      </c>
      <c r="V402" s="100"/>
      <c r="W402" s="100"/>
      <c r="X402" s="100"/>
      <c r="Y402" s="110"/>
      <c r="Z402" s="110"/>
      <c r="AA402" s="100"/>
      <c r="AB402" s="109"/>
      <c r="AC402" s="109"/>
      <c r="AD402" s="109"/>
      <c r="AE402" s="108"/>
      <c r="AF402" s="109"/>
      <c r="AG402" s="108"/>
      <c r="AH402" s="111"/>
      <c r="AI402" s="100"/>
      <c r="AJ402" s="100"/>
      <c r="AK402" s="100"/>
      <c r="AL402" s="100"/>
      <c r="AM402" s="100"/>
      <c r="AN402" s="111"/>
      <c r="AO402" s="100"/>
      <c r="AP402" s="100"/>
      <c r="AQ402" s="111"/>
      <c r="AR402" s="100"/>
      <c r="AS402" s="100"/>
      <c r="AT402" s="111"/>
    </row>
    <row r="403" spans="1:46" ht="17" thickBot="1">
      <c r="A403" s="92" t="s">
        <v>4</v>
      </c>
      <c r="B403" s="241">
        <f>SUM(J403+K403+L403+M403+N403+S403+V403+W403+X403+AA403+AI403+AJ403+AI403+AM403+AP403+AQ403+AS403+AT403+AU403+AV403)</f>
        <v>0</v>
      </c>
      <c r="C403" s="217">
        <f>SUM(J403+K403+L403+M403+N403+S403+W403+X403+V403+AA403+AJ403+AI403+AJ403+AN403+AQ403+AM403+AT403+AU403+AV403+AW403+AP403+AS403)</f>
        <v>0</v>
      </c>
      <c r="D403" s="144"/>
      <c r="E403" s="145"/>
      <c r="F403" s="146"/>
      <c r="G403" s="147"/>
      <c r="H403" s="114"/>
      <c r="I403" s="114"/>
      <c r="J403" s="113"/>
      <c r="K403" s="112"/>
      <c r="L403" s="112"/>
      <c r="M403" s="112"/>
      <c r="N403" s="112"/>
      <c r="O403" s="114"/>
      <c r="P403" s="127"/>
      <c r="Q403" s="127"/>
      <c r="R403" s="114"/>
      <c r="S403" s="129"/>
      <c r="T403" s="148"/>
      <c r="U403" s="120">
        <v>5</v>
      </c>
      <c r="V403" s="116"/>
      <c r="W403" s="116"/>
      <c r="X403" s="116"/>
      <c r="Y403" s="120"/>
      <c r="Z403" s="120"/>
      <c r="AA403" s="116"/>
      <c r="AB403" s="118"/>
      <c r="AC403" s="118"/>
      <c r="AD403" s="118"/>
      <c r="AE403" s="117"/>
      <c r="AF403" s="118"/>
      <c r="AG403" s="117"/>
      <c r="AH403" s="121"/>
      <c r="AI403" s="116"/>
      <c r="AJ403" s="116"/>
      <c r="AK403" s="112"/>
      <c r="AL403" s="100"/>
      <c r="AM403" s="100"/>
      <c r="AN403" s="111"/>
      <c r="AO403" s="100"/>
      <c r="AP403" s="100"/>
      <c r="AQ403" s="111"/>
      <c r="AR403" s="100"/>
      <c r="AS403" s="100"/>
      <c r="AT403" s="111"/>
    </row>
    <row r="404" spans="1:46" ht="21.1">
      <c r="A404" s="82" t="s">
        <v>615</v>
      </c>
      <c r="B404" s="239"/>
      <c r="C404" s="214"/>
      <c r="D404" s="133"/>
      <c r="E404" s="134"/>
      <c r="F404" s="135"/>
      <c r="G404" s="136"/>
      <c r="H404" s="96" t="s">
        <v>449</v>
      </c>
      <c r="I404" s="96">
        <v>6</v>
      </c>
      <c r="J404" s="75"/>
      <c r="K404" s="75" t="s">
        <v>373</v>
      </c>
      <c r="L404" s="75"/>
      <c r="M404" s="75"/>
      <c r="N404" s="75"/>
      <c r="O404" s="96">
        <v>6</v>
      </c>
      <c r="P404" s="105"/>
      <c r="Q404" s="105"/>
      <c r="R404" s="96" t="s">
        <v>841</v>
      </c>
      <c r="S404" s="128" t="s">
        <v>375</v>
      </c>
      <c r="T404" s="137"/>
      <c r="U404" s="110" t="s">
        <v>375</v>
      </c>
      <c r="V404" s="100"/>
      <c r="W404" s="100" t="s">
        <v>375</v>
      </c>
      <c r="X404" s="100"/>
      <c r="Y404" s="110"/>
      <c r="Z404" s="110"/>
      <c r="AA404" s="100"/>
      <c r="AB404" s="109">
        <v>7</v>
      </c>
      <c r="AC404" s="109" t="s">
        <v>841</v>
      </c>
      <c r="AD404" s="109" t="s">
        <v>841</v>
      </c>
      <c r="AE404" s="108"/>
      <c r="AF404" s="109"/>
      <c r="AG404" s="108"/>
      <c r="AH404" s="111"/>
      <c r="AI404" s="100"/>
      <c r="AJ404" s="100"/>
      <c r="AK404" s="100"/>
      <c r="AL404" s="102"/>
      <c r="AM404" s="102"/>
      <c r="AN404" s="103"/>
      <c r="AO404" s="102"/>
      <c r="AP404" s="102"/>
      <c r="AQ404" s="103"/>
      <c r="AR404" s="102"/>
      <c r="AS404" s="102"/>
      <c r="AT404" s="103"/>
    </row>
    <row r="405" spans="1:46" ht="16.3">
      <c r="A405" s="234" t="s">
        <v>1</v>
      </c>
      <c r="B405" s="240">
        <f t="shared" ref="B405" si="132">SUM(J405+K405+L405+M405+N405+S405+V405+W405+X405+AA405+AI405+AJ405+AI405+AM405+AP405+AQ405+AS405+AT405+AU405+AV405+AN405)</f>
        <v>1</v>
      </c>
      <c r="C405" s="215">
        <f t="shared" ref="C405:C406" si="133">SUM(J405+K405+L405+M405+N405+S405+W405+X405+V405+AA405+AJ405+AI405+AJ405+AN405+AQ405+AM405+AT405+AU405+AV405+AW405+AP405+AS405)</f>
        <v>1</v>
      </c>
      <c r="D405" s="139"/>
      <c r="E405" s="140"/>
      <c r="F405" s="135"/>
      <c r="G405" s="136"/>
      <c r="H405" s="96">
        <v>1</v>
      </c>
      <c r="I405" s="96">
        <v>1</v>
      </c>
      <c r="J405" s="75"/>
      <c r="K405" s="75">
        <v>1</v>
      </c>
      <c r="L405" s="75"/>
      <c r="M405" s="75"/>
      <c r="N405" s="75"/>
      <c r="O405" s="96">
        <v>1</v>
      </c>
      <c r="P405" s="105"/>
      <c r="Q405" s="105"/>
      <c r="R405" s="96"/>
      <c r="S405" s="128"/>
      <c r="T405" s="182"/>
      <c r="U405" s="106"/>
      <c r="V405" s="75"/>
      <c r="W405" s="75"/>
      <c r="X405" s="75"/>
      <c r="Y405" s="106"/>
      <c r="Z405" s="106"/>
      <c r="AA405" s="75"/>
      <c r="AB405" s="96">
        <v>1</v>
      </c>
      <c r="AC405" s="96"/>
      <c r="AD405" s="96"/>
      <c r="AE405" s="105"/>
      <c r="AF405" s="96"/>
      <c r="AG405" s="105"/>
      <c r="AH405" s="107"/>
      <c r="AI405" s="75"/>
      <c r="AJ405" s="75"/>
      <c r="AK405" s="75"/>
      <c r="AL405" s="75"/>
      <c r="AM405" s="75"/>
      <c r="AN405" s="107"/>
      <c r="AO405" s="75"/>
      <c r="AP405" s="75"/>
      <c r="AQ405" s="107"/>
      <c r="AR405" s="75"/>
      <c r="AS405" s="75"/>
      <c r="AT405" s="107"/>
    </row>
    <row r="406" spans="1:46" ht="16.3">
      <c r="A406" s="246" t="s">
        <v>2</v>
      </c>
      <c r="B406" s="240">
        <f t="shared" ref="B406" si="134">SUM(J406+K406+L406+M406+N406+S406+V406+W406+X406+AA406+AI406+AJ406+AI406+AM406+AP406+AQ406+AS406+AT406+AU406+AV406)</f>
        <v>2</v>
      </c>
      <c r="C406" s="215">
        <f t="shared" si="133"/>
        <v>2</v>
      </c>
      <c r="D406" s="139"/>
      <c r="E406" s="140"/>
      <c r="F406" s="135"/>
      <c r="G406" s="136"/>
      <c r="H406" s="96"/>
      <c r="I406" s="96"/>
      <c r="J406" s="104"/>
      <c r="K406" s="75"/>
      <c r="L406" s="75"/>
      <c r="M406" s="75"/>
      <c r="N406" s="75"/>
      <c r="O406" s="96"/>
      <c r="P406" s="105"/>
      <c r="Q406" s="105"/>
      <c r="R406" s="96"/>
      <c r="S406" s="128">
        <v>1</v>
      </c>
      <c r="T406" s="137"/>
      <c r="U406" s="110">
        <v>1</v>
      </c>
      <c r="V406" s="100"/>
      <c r="W406" s="100">
        <v>1</v>
      </c>
      <c r="X406" s="100"/>
      <c r="Y406" s="110"/>
      <c r="Z406" s="110"/>
      <c r="AA406" s="100"/>
      <c r="AB406" s="109"/>
      <c r="AC406" s="109"/>
      <c r="AD406" s="109"/>
      <c r="AE406" s="108"/>
      <c r="AF406" s="109"/>
      <c r="AG406" s="108"/>
      <c r="AH406" s="111"/>
      <c r="AI406" s="100"/>
      <c r="AJ406" s="100"/>
      <c r="AK406" s="100"/>
      <c r="AL406" s="100"/>
      <c r="AM406" s="100"/>
      <c r="AN406" s="111"/>
      <c r="AO406" s="100"/>
      <c r="AP406" s="100"/>
      <c r="AQ406" s="111"/>
      <c r="AR406" s="100"/>
      <c r="AS406" s="100"/>
      <c r="AT406" s="111"/>
    </row>
    <row r="407" spans="1:46" ht="16.3">
      <c r="A407" s="91" t="s">
        <v>363</v>
      </c>
      <c r="B407" s="239">
        <f t="shared" ref="B407" si="135">SUM(B405+B406)</f>
        <v>3</v>
      </c>
      <c r="C407" s="214">
        <f t="shared" ref="C407" si="136">SUM(C405+C406)</f>
        <v>3</v>
      </c>
      <c r="D407" s="133"/>
      <c r="E407" s="134"/>
      <c r="F407" s="135"/>
      <c r="G407" s="136"/>
      <c r="H407" s="96"/>
      <c r="I407" s="96"/>
      <c r="J407" s="104"/>
      <c r="K407" s="75"/>
      <c r="L407" s="75"/>
      <c r="M407" s="75"/>
      <c r="N407" s="75"/>
      <c r="O407" s="96"/>
      <c r="P407" s="105"/>
      <c r="Q407" s="105"/>
      <c r="R407" s="96"/>
      <c r="S407" s="128"/>
      <c r="T407" s="137"/>
      <c r="U407" s="110"/>
      <c r="V407" s="100"/>
      <c r="W407" s="100"/>
      <c r="X407" s="100"/>
      <c r="Y407" s="110"/>
      <c r="Z407" s="110"/>
      <c r="AA407" s="100"/>
      <c r="AB407" s="109"/>
      <c r="AC407" s="109"/>
      <c r="AD407" s="109"/>
      <c r="AE407" s="108"/>
      <c r="AF407" s="109"/>
      <c r="AG407" s="108"/>
      <c r="AH407" s="111"/>
      <c r="AI407" s="100"/>
      <c r="AJ407" s="100"/>
      <c r="AK407" s="100"/>
      <c r="AL407" s="100"/>
      <c r="AM407" s="100"/>
      <c r="AN407" s="111"/>
      <c r="AO407" s="100"/>
      <c r="AP407" s="100"/>
      <c r="AQ407" s="111"/>
      <c r="AR407" s="100"/>
      <c r="AS407" s="100"/>
      <c r="AT407" s="111"/>
    </row>
    <row r="408" spans="1:46" ht="16.3">
      <c r="A408" s="91" t="s">
        <v>3</v>
      </c>
      <c r="B408" s="239">
        <f t="shared" ref="B408:B409" si="137">SUM(J408+K408+L408+M408+N408+S408+V408+W408+X408+AA408+AI408+AJ408+AI408+AM408+AP408+AQ408+AS408+AT408+AU408+AV408)</f>
        <v>1</v>
      </c>
      <c r="C408" s="214">
        <f t="shared" ref="C408:C409" si="138">SUM(J408+K408+L408+M408+N408+S408+W408+X408+V408+AA408+AJ408+AI408+AJ408+AN408+AQ408+AM408+AT408+AU408+AV408+AW408+AP408+AS408)</f>
        <v>1</v>
      </c>
      <c r="D408" s="133"/>
      <c r="E408" s="134"/>
      <c r="F408" s="135"/>
      <c r="G408" s="136"/>
      <c r="H408" s="96"/>
      <c r="I408" s="96"/>
      <c r="J408" s="104"/>
      <c r="K408" s="75"/>
      <c r="L408" s="75"/>
      <c r="M408" s="75"/>
      <c r="N408" s="75"/>
      <c r="O408" s="96"/>
      <c r="P408" s="105"/>
      <c r="Q408" s="105"/>
      <c r="R408" s="96"/>
      <c r="S408" s="128">
        <v>1</v>
      </c>
      <c r="T408" s="137"/>
      <c r="U408" s="110"/>
      <c r="V408" s="100"/>
      <c r="W408" s="100"/>
      <c r="X408" s="100"/>
      <c r="Y408" s="110"/>
      <c r="Z408" s="110"/>
      <c r="AA408" s="100"/>
      <c r="AB408" s="109"/>
      <c r="AC408" s="109"/>
      <c r="AD408" s="109"/>
      <c r="AE408" s="108"/>
      <c r="AF408" s="109"/>
      <c r="AG408" s="108"/>
      <c r="AH408" s="111"/>
      <c r="AI408" s="100"/>
      <c r="AJ408" s="100"/>
      <c r="AK408" s="100"/>
      <c r="AL408" s="100"/>
      <c r="AM408" s="100"/>
      <c r="AN408" s="111"/>
      <c r="AO408" s="100"/>
      <c r="AP408" s="100"/>
      <c r="AQ408" s="111"/>
      <c r="AR408" s="100"/>
      <c r="AS408" s="100"/>
      <c r="AT408" s="111"/>
    </row>
    <row r="409" spans="1:46" ht="17" thickBot="1">
      <c r="A409" s="92" t="s">
        <v>4</v>
      </c>
      <c r="B409" s="241">
        <f t="shared" si="137"/>
        <v>5</v>
      </c>
      <c r="C409" s="217">
        <f t="shared" si="138"/>
        <v>5</v>
      </c>
      <c r="D409" s="144"/>
      <c r="E409" s="145"/>
      <c r="F409" s="146"/>
      <c r="G409" s="147"/>
      <c r="H409" s="114"/>
      <c r="I409" s="114"/>
      <c r="J409" s="113"/>
      <c r="K409" s="112"/>
      <c r="L409" s="112"/>
      <c r="M409" s="112"/>
      <c r="N409" s="112"/>
      <c r="O409" s="114"/>
      <c r="P409" s="127"/>
      <c r="Q409" s="127"/>
      <c r="R409" s="114"/>
      <c r="S409" s="129">
        <v>5</v>
      </c>
      <c r="T409" s="148"/>
      <c r="U409" s="120"/>
      <c r="V409" s="112"/>
      <c r="W409" s="116"/>
      <c r="X409" s="116"/>
      <c r="Y409" s="120"/>
      <c r="Z409" s="120"/>
      <c r="AA409" s="116"/>
      <c r="AB409" s="118"/>
      <c r="AC409" s="118"/>
      <c r="AD409" s="118"/>
      <c r="AE409" s="117"/>
      <c r="AF409" s="118"/>
      <c r="AG409" s="117"/>
      <c r="AH409" s="121"/>
      <c r="AI409" s="116"/>
      <c r="AJ409" s="116"/>
      <c r="AK409" s="116"/>
      <c r="AL409" s="116"/>
      <c r="AM409" s="116"/>
      <c r="AN409" s="121"/>
      <c r="AO409" s="116"/>
      <c r="AP409" s="116"/>
      <c r="AQ409" s="121"/>
      <c r="AR409" s="116"/>
      <c r="AS409" s="116"/>
      <c r="AT409" s="121"/>
    </row>
    <row r="410" spans="1:46" ht="21.1">
      <c r="A410" s="82" t="s">
        <v>827</v>
      </c>
      <c r="B410" s="239"/>
      <c r="C410" s="214"/>
      <c r="D410" s="133"/>
      <c r="E410" s="134"/>
      <c r="F410" s="135"/>
      <c r="G410" s="136"/>
      <c r="H410" s="96"/>
      <c r="I410" s="96"/>
      <c r="J410" s="104"/>
      <c r="K410" s="75"/>
      <c r="L410" s="75"/>
      <c r="M410" s="75"/>
      <c r="N410" s="75"/>
      <c r="O410" s="96"/>
      <c r="P410" s="105"/>
      <c r="Q410" s="105"/>
      <c r="R410" s="96">
        <v>8</v>
      </c>
      <c r="S410" s="128"/>
      <c r="T410" s="137"/>
      <c r="U410" s="110"/>
      <c r="V410" s="100"/>
      <c r="W410" s="100"/>
      <c r="X410" s="100"/>
      <c r="Y410" s="110"/>
      <c r="Z410" s="110"/>
      <c r="AA410" s="100"/>
      <c r="AB410" s="109" t="s">
        <v>393</v>
      </c>
      <c r="AC410" s="109" t="s">
        <v>375</v>
      </c>
      <c r="AD410" s="109" t="s">
        <v>374</v>
      </c>
      <c r="AE410" s="108"/>
      <c r="AF410" s="109"/>
      <c r="AG410" s="108"/>
      <c r="AH410" s="111"/>
      <c r="AI410" s="100"/>
      <c r="AJ410" s="100"/>
      <c r="AK410" s="100"/>
      <c r="AL410" s="100"/>
      <c r="AM410" s="100"/>
      <c r="AN410" s="111"/>
      <c r="AO410" s="100"/>
      <c r="AP410" s="100"/>
      <c r="AQ410" s="111"/>
      <c r="AR410" s="100"/>
      <c r="AS410" s="100"/>
      <c r="AT410" s="111"/>
    </row>
    <row r="411" spans="1:46" ht="16.3">
      <c r="A411" s="246" t="s">
        <v>1</v>
      </c>
      <c r="B411" s="240">
        <f t="shared" ref="B411" si="139">SUM(J411+K411+L411+M411+N411+S411+V411+W411+X411+AA411+AI411+AJ411+AI411+AM411+AP411+AQ411+AS411+AT411+AU411+AV411+AN411)</f>
        <v>0</v>
      </c>
      <c r="C411" s="215">
        <f t="shared" ref="C411:C412" si="140">SUM(J411+K411+L411+M411+N411+S411+W411+X411+V411+AA411+AJ411+AI411+AJ411+AN411+AQ411+AM411+AT411+AU411+AV411+AW411+AP411+AS411)</f>
        <v>0</v>
      </c>
      <c r="D411" s="133"/>
      <c r="E411" s="134"/>
      <c r="F411" s="135"/>
      <c r="G411" s="136"/>
      <c r="H411" s="96"/>
      <c r="I411" s="96"/>
      <c r="J411" s="104"/>
      <c r="K411" s="75"/>
      <c r="L411" s="75"/>
      <c r="M411" s="75"/>
      <c r="N411" s="75"/>
      <c r="O411" s="96"/>
      <c r="P411" s="105"/>
      <c r="Q411" s="105"/>
      <c r="R411" s="96">
        <v>1</v>
      </c>
      <c r="S411" s="128"/>
      <c r="T411" s="137"/>
      <c r="U411" s="110"/>
      <c r="V411" s="100"/>
      <c r="W411" s="100"/>
      <c r="X411" s="100"/>
      <c r="Y411" s="110"/>
      <c r="Z411" s="110"/>
      <c r="AA411" s="100"/>
      <c r="AB411" s="109"/>
      <c r="AC411" s="109"/>
      <c r="AD411" s="109">
        <v>1</v>
      </c>
      <c r="AE411" s="108"/>
      <c r="AF411" s="109"/>
      <c r="AG411" s="108"/>
      <c r="AH411" s="111"/>
      <c r="AI411" s="100"/>
      <c r="AJ411" s="100"/>
      <c r="AK411" s="100"/>
      <c r="AL411" s="100"/>
      <c r="AM411" s="100"/>
      <c r="AN411" s="111"/>
      <c r="AO411" s="100"/>
      <c r="AP411" s="100"/>
      <c r="AQ411" s="111"/>
      <c r="AR411" s="100"/>
      <c r="AS411" s="100"/>
      <c r="AT411" s="111"/>
    </row>
    <row r="412" spans="1:46" ht="16.3">
      <c r="A412" s="246" t="s">
        <v>2</v>
      </c>
      <c r="B412" s="240">
        <f t="shared" ref="B412" si="141">SUM(J412+K412+L412+M412+N412+S412+V412+W412+X412+AA412+AI412+AJ412+AI412+AM412+AP412+AQ412+AS412+AT412+AU412+AV412)</f>
        <v>0</v>
      </c>
      <c r="C412" s="215">
        <f t="shared" si="140"/>
        <v>0</v>
      </c>
      <c r="D412" s="133"/>
      <c r="E412" s="134"/>
      <c r="F412" s="135"/>
      <c r="G412" s="136"/>
      <c r="H412" s="96"/>
      <c r="I412" s="96"/>
      <c r="J412" s="104"/>
      <c r="K412" s="75"/>
      <c r="L412" s="75"/>
      <c r="M412" s="75"/>
      <c r="N412" s="75"/>
      <c r="O412" s="96"/>
      <c r="P412" s="105"/>
      <c r="Q412" s="105"/>
      <c r="R412" s="96"/>
      <c r="S412" s="128"/>
      <c r="T412" s="137"/>
      <c r="U412" s="110"/>
      <c r="V412" s="100"/>
      <c r="W412" s="100"/>
      <c r="X412" s="100"/>
      <c r="Y412" s="110"/>
      <c r="Z412" s="110"/>
      <c r="AA412" s="100"/>
      <c r="AB412" s="109"/>
      <c r="AC412" s="109">
        <v>1</v>
      </c>
      <c r="AD412" s="109"/>
      <c r="AE412" s="108"/>
      <c r="AF412" s="109"/>
      <c r="AG412" s="108"/>
      <c r="AH412" s="111"/>
      <c r="AI412" s="100"/>
      <c r="AJ412" s="100"/>
      <c r="AK412" s="100"/>
      <c r="AL412" s="100"/>
      <c r="AM412" s="100"/>
      <c r="AN412" s="111"/>
      <c r="AO412" s="100"/>
      <c r="AP412" s="100"/>
      <c r="AQ412" s="111"/>
      <c r="AR412" s="100"/>
      <c r="AS412" s="100"/>
      <c r="AT412" s="111"/>
    </row>
    <row r="413" spans="1:46" ht="16.3">
      <c r="A413" s="91" t="s">
        <v>363</v>
      </c>
      <c r="B413" s="239">
        <f t="shared" ref="B413:C413" si="142">SUM(B411+B412)</f>
        <v>0</v>
      </c>
      <c r="C413" s="214">
        <f t="shared" si="142"/>
        <v>0</v>
      </c>
      <c r="D413" s="133"/>
      <c r="E413" s="134"/>
      <c r="F413" s="135"/>
      <c r="G413" s="136"/>
      <c r="H413" s="96"/>
      <c r="I413" s="96"/>
      <c r="J413" s="104"/>
      <c r="K413" s="75"/>
      <c r="L413" s="75"/>
      <c r="M413" s="75"/>
      <c r="N413" s="75"/>
      <c r="O413" s="96"/>
      <c r="P413" s="105"/>
      <c r="Q413" s="105"/>
      <c r="R413" s="96"/>
      <c r="S413" s="128"/>
      <c r="T413" s="137"/>
      <c r="U413" s="110"/>
      <c r="V413" s="100"/>
      <c r="W413" s="100"/>
      <c r="X413" s="100"/>
      <c r="Y413" s="110"/>
      <c r="Z413" s="110"/>
      <c r="AA413" s="100"/>
      <c r="AB413" s="109"/>
      <c r="AC413" s="109"/>
      <c r="AD413" s="109"/>
      <c r="AE413" s="108"/>
      <c r="AF413" s="109"/>
      <c r="AG413" s="108"/>
      <c r="AH413" s="111"/>
      <c r="AI413" s="100"/>
      <c r="AJ413" s="100"/>
      <c r="AK413" s="100"/>
      <c r="AL413" s="100"/>
      <c r="AM413" s="100"/>
      <c r="AN413" s="111"/>
      <c r="AO413" s="100"/>
      <c r="AP413" s="100"/>
      <c r="AQ413" s="111"/>
      <c r="AR413" s="100"/>
      <c r="AS413" s="100"/>
      <c r="AT413" s="111"/>
    </row>
    <row r="414" spans="1:46" ht="16.3">
      <c r="A414" s="91" t="s">
        <v>3</v>
      </c>
      <c r="B414" s="239">
        <f t="shared" ref="B414:B415" si="143">SUM(J414+K414+L414+M414+N414+S414+V414+W414+X414+AA414+AI414+AJ414+AI414+AM414+AP414+AQ414+AS414+AT414+AU414+AV414)</f>
        <v>0</v>
      </c>
      <c r="C414" s="214">
        <f t="shared" ref="C414:C415" si="144">SUM(J414+K414+L414+M414+N414+S414+W414+X414+V414+AA414+AJ414+AI414+AJ414+AN414+AQ414+AM414+AT414+AU414+AV414+AW414+AP414+AS414)</f>
        <v>0</v>
      </c>
      <c r="D414" s="133"/>
      <c r="E414" s="134"/>
      <c r="F414" s="135"/>
      <c r="G414" s="136"/>
      <c r="H414" s="96"/>
      <c r="I414" s="96"/>
      <c r="J414" s="104"/>
      <c r="K414" s="75"/>
      <c r="L414" s="75"/>
      <c r="M414" s="75"/>
      <c r="N414" s="75"/>
      <c r="O414" s="96"/>
      <c r="P414" s="105"/>
      <c r="Q414" s="105"/>
      <c r="R414" s="96"/>
      <c r="S414" s="128"/>
      <c r="T414" s="137"/>
      <c r="U414" s="110"/>
      <c r="V414" s="100"/>
      <c r="W414" s="100"/>
      <c r="X414" s="100"/>
      <c r="Y414" s="110"/>
      <c r="Z414" s="110"/>
      <c r="AA414" s="100"/>
      <c r="AB414" s="109"/>
      <c r="AC414" s="109"/>
      <c r="AD414" s="109"/>
      <c r="AE414" s="108"/>
      <c r="AF414" s="109"/>
      <c r="AG414" s="108"/>
      <c r="AH414" s="111"/>
      <c r="AI414" s="100"/>
      <c r="AJ414" s="100"/>
      <c r="AK414" s="100"/>
      <c r="AL414" s="100"/>
      <c r="AM414" s="100"/>
      <c r="AN414" s="111"/>
      <c r="AO414" s="100"/>
      <c r="AP414" s="100"/>
      <c r="AQ414" s="111"/>
      <c r="AR414" s="100"/>
      <c r="AS414" s="100"/>
      <c r="AT414" s="111"/>
    </row>
    <row r="415" spans="1:46" ht="17" thickBot="1">
      <c r="A415" s="92" t="s">
        <v>4</v>
      </c>
      <c r="B415" s="241">
        <f t="shared" si="143"/>
        <v>0</v>
      </c>
      <c r="C415" s="217">
        <f t="shared" si="144"/>
        <v>0</v>
      </c>
      <c r="D415" s="144"/>
      <c r="E415" s="145"/>
      <c r="F415" s="146"/>
      <c r="G415" s="147"/>
      <c r="H415" s="114"/>
      <c r="I415" s="114"/>
      <c r="J415" s="113"/>
      <c r="K415" s="112"/>
      <c r="L415" s="112"/>
      <c r="M415" s="112"/>
      <c r="N415" s="112"/>
      <c r="O415" s="114"/>
      <c r="P415" s="127"/>
      <c r="Q415" s="127"/>
      <c r="R415" s="114"/>
      <c r="S415" s="129"/>
      <c r="T415" s="148"/>
      <c r="U415" s="120"/>
      <c r="V415" s="116"/>
      <c r="W415" s="112"/>
      <c r="X415" s="100"/>
      <c r="Y415" s="110"/>
      <c r="Z415" s="110"/>
      <c r="AA415" s="100"/>
      <c r="AB415" s="109"/>
      <c r="AC415" s="109"/>
      <c r="AD415" s="109"/>
      <c r="AE415" s="108"/>
      <c r="AF415" s="109"/>
      <c r="AG415" s="108"/>
      <c r="AH415" s="111"/>
      <c r="AI415" s="100"/>
      <c r="AJ415" s="100"/>
      <c r="AK415" s="100"/>
      <c r="AL415" s="100"/>
      <c r="AM415" s="100"/>
      <c r="AN415" s="111"/>
      <c r="AO415" s="100"/>
      <c r="AP415" s="100"/>
      <c r="AQ415" s="111"/>
      <c r="AR415" s="100"/>
      <c r="AS415" s="100"/>
      <c r="AT415" s="111"/>
    </row>
    <row r="416" spans="1:46" ht="21.1">
      <c r="A416" s="82" t="s">
        <v>237</v>
      </c>
      <c r="B416" s="239"/>
      <c r="C416" s="214"/>
      <c r="D416" s="133"/>
      <c r="E416" s="134"/>
      <c r="F416" s="135"/>
      <c r="G416" s="136"/>
      <c r="H416" s="96" t="s">
        <v>375</v>
      </c>
      <c r="I416" s="96">
        <v>7</v>
      </c>
      <c r="J416" s="104"/>
      <c r="K416" s="75"/>
      <c r="L416" s="75"/>
      <c r="M416" s="75"/>
      <c r="N416" s="75"/>
      <c r="O416" s="96" t="s">
        <v>373</v>
      </c>
      <c r="P416" s="105"/>
      <c r="Q416" s="105"/>
      <c r="R416" s="96" t="s">
        <v>339</v>
      </c>
      <c r="S416" s="128" t="s">
        <v>339</v>
      </c>
      <c r="T416" s="137" t="s">
        <v>339</v>
      </c>
      <c r="U416" s="110" t="s">
        <v>339</v>
      </c>
      <c r="V416" s="100" t="s">
        <v>339</v>
      </c>
      <c r="W416" s="100" t="s">
        <v>339</v>
      </c>
      <c r="X416" s="102" t="s">
        <v>339</v>
      </c>
      <c r="Y416" s="101" t="s">
        <v>339</v>
      </c>
      <c r="Z416" s="101" t="s">
        <v>339</v>
      </c>
      <c r="AA416" s="102" t="s">
        <v>339</v>
      </c>
      <c r="AB416" s="99" t="s">
        <v>339</v>
      </c>
      <c r="AC416" s="99" t="s">
        <v>339</v>
      </c>
      <c r="AD416" s="99" t="s">
        <v>339</v>
      </c>
      <c r="AE416" s="98"/>
      <c r="AF416" s="99"/>
      <c r="AG416" s="98"/>
      <c r="AH416" s="103"/>
      <c r="AI416" s="102"/>
      <c r="AJ416" s="102"/>
      <c r="AK416" s="102"/>
      <c r="AL416" s="102"/>
      <c r="AM416" s="102"/>
      <c r="AN416" s="103"/>
      <c r="AO416" s="102"/>
      <c r="AP416" s="102"/>
      <c r="AQ416" s="103"/>
      <c r="AR416" s="102"/>
      <c r="AS416" s="102"/>
      <c r="AT416" s="103"/>
    </row>
    <row r="417" spans="1:46" ht="16.3">
      <c r="A417" s="246" t="s">
        <v>1</v>
      </c>
      <c r="B417" s="240">
        <f t="shared" ref="B417" si="145">SUM(J417+K417+L417+M417+N417+S417+V417+W417+X417+AA417+AI417+AJ417+AI417+AM417+AP417+AQ417+AS417+AT417+AU417+AV417+AN417)</f>
        <v>0</v>
      </c>
      <c r="C417" s="215">
        <f t="shared" ref="C417:C418" si="146">SUM(J417+K417+L417+M417+N417+S417+W417+X417+V417+AA417+AJ417+AI417+AJ417+AN417+AQ417+AM417+AT417+AU417+AV417+AW417+AP417+AS417)</f>
        <v>0</v>
      </c>
      <c r="D417" s="133"/>
      <c r="E417" s="134"/>
      <c r="F417" s="135"/>
      <c r="G417" s="136"/>
      <c r="H417" s="96"/>
      <c r="I417" s="96">
        <v>1</v>
      </c>
      <c r="J417" s="104"/>
      <c r="K417" s="75"/>
      <c r="L417" s="75"/>
      <c r="M417" s="75"/>
      <c r="N417" s="75"/>
      <c r="O417" s="96">
        <v>1</v>
      </c>
      <c r="P417" s="105"/>
      <c r="Q417" s="105"/>
      <c r="R417" s="96"/>
      <c r="S417" s="128"/>
      <c r="T417" s="137"/>
      <c r="U417" s="110"/>
      <c r="V417" s="100"/>
      <c r="W417" s="100"/>
      <c r="X417" s="100"/>
      <c r="Y417" s="110"/>
      <c r="Z417" s="110"/>
      <c r="AA417" s="100"/>
      <c r="AB417" s="109"/>
      <c r="AC417" s="109"/>
      <c r="AD417" s="109"/>
      <c r="AE417" s="108"/>
      <c r="AF417" s="109"/>
      <c r="AG417" s="108"/>
      <c r="AH417" s="111"/>
      <c r="AI417" s="100"/>
      <c r="AJ417" s="100"/>
      <c r="AK417" s="100"/>
      <c r="AL417" s="100"/>
      <c r="AM417" s="100"/>
      <c r="AN417" s="111"/>
      <c r="AO417" s="100"/>
      <c r="AP417" s="100"/>
      <c r="AQ417" s="111"/>
      <c r="AR417" s="100"/>
      <c r="AS417" s="100"/>
      <c r="AT417" s="111"/>
    </row>
    <row r="418" spans="1:46" ht="16.3">
      <c r="A418" s="246" t="s">
        <v>2</v>
      </c>
      <c r="B418" s="240">
        <f t="shared" ref="B418" si="147">SUM(J418+K418+L418+M418+N418+S418+V418+W418+X418+AA418+AI418+AJ418+AI418+AM418+AP418+AQ418+AS418+AT418+AU418+AV418)</f>
        <v>0</v>
      </c>
      <c r="C418" s="215">
        <f t="shared" si="146"/>
        <v>0</v>
      </c>
      <c r="D418" s="133"/>
      <c r="E418" s="134"/>
      <c r="F418" s="135"/>
      <c r="G418" s="136"/>
      <c r="H418" s="96">
        <v>1</v>
      </c>
      <c r="I418" s="96"/>
      <c r="J418" s="104"/>
      <c r="K418" s="75"/>
      <c r="L418" s="75"/>
      <c r="M418" s="75"/>
      <c r="N418" s="75"/>
      <c r="O418" s="96"/>
      <c r="P418" s="105"/>
      <c r="Q418" s="105"/>
      <c r="R418" s="96"/>
      <c r="S418" s="128"/>
      <c r="T418" s="137"/>
      <c r="U418" s="110"/>
      <c r="V418" s="100"/>
      <c r="W418" s="100"/>
      <c r="X418" s="100"/>
      <c r="Y418" s="110"/>
      <c r="Z418" s="110"/>
      <c r="AA418" s="100"/>
      <c r="AB418" s="109"/>
      <c r="AC418" s="109"/>
      <c r="AD418" s="109"/>
      <c r="AE418" s="108"/>
      <c r="AF418" s="109"/>
      <c r="AG418" s="108"/>
      <c r="AH418" s="111"/>
      <c r="AI418" s="100"/>
      <c r="AJ418" s="100"/>
      <c r="AK418" s="100"/>
      <c r="AL418" s="100"/>
      <c r="AM418" s="100"/>
      <c r="AN418" s="111"/>
      <c r="AO418" s="100"/>
      <c r="AP418" s="100"/>
      <c r="AQ418" s="111"/>
      <c r="AR418" s="100"/>
      <c r="AS418" s="100"/>
      <c r="AT418" s="111"/>
    </row>
    <row r="419" spans="1:46" ht="16.3">
      <c r="A419" s="91" t="s">
        <v>363</v>
      </c>
      <c r="B419" s="239">
        <f t="shared" ref="B419:C419" si="148">SUM(B417+B418)</f>
        <v>0</v>
      </c>
      <c r="C419" s="214">
        <f t="shared" si="148"/>
        <v>0</v>
      </c>
      <c r="D419" s="133"/>
      <c r="E419" s="134"/>
      <c r="F419" s="135"/>
      <c r="G419" s="136"/>
      <c r="H419" s="96"/>
      <c r="I419" s="96"/>
      <c r="J419" s="104"/>
      <c r="K419" s="75"/>
      <c r="L419" s="75"/>
      <c r="M419" s="75"/>
      <c r="N419" s="75"/>
      <c r="O419" s="96"/>
      <c r="P419" s="105"/>
      <c r="Q419" s="105"/>
      <c r="R419" s="96"/>
      <c r="S419" s="128"/>
      <c r="T419" s="137"/>
      <c r="U419" s="110"/>
      <c r="V419" s="100"/>
      <c r="W419" s="100"/>
      <c r="X419" s="100"/>
      <c r="Y419" s="110"/>
      <c r="Z419" s="110"/>
      <c r="AA419" s="100"/>
      <c r="AB419" s="109"/>
      <c r="AC419" s="109"/>
      <c r="AD419" s="109"/>
      <c r="AE419" s="108"/>
      <c r="AF419" s="109"/>
      <c r="AG419" s="108"/>
      <c r="AH419" s="111"/>
      <c r="AI419" s="100"/>
      <c r="AJ419" s="100"/>
      <c r="AK419" s="100"/>
      <c r="AL419" s="100"/>
      <c r="AM419" s="100"/>
      <c r="AN419" s="111"/>
      <c r="AO419" s="100"/>
      <c r="AP419" s="100"/>
      <c r="AQ419" s="111"/>
      <c r="AR419" s="100"/>
      <c r="AS419" s="100"/>
      <c r="AT419" s="111"/>
    </row>
    <row r="420" spans="1:46" ht="16.3">
      <c r="A420" s="91" t="s">
        <v>3</v>
      </c>
      <c r="B420" s="239">
        <f t="shared" ref="B420:B421" si="149">SUM(J420+K420+L420+M420+N420+S420+V420+W420+X420+AA420+AI420+AJ420+AI420+AM420+AP420+AQ420+AS420+AT420+AU420+AV420)</f>
        <v>0</v>
      </c>
      <c r="C420" s="214">
        <f t="shared" ref="C420:C421" si="150">SUM(J420+K420+L420+M420+N420+S420+W420+X420+V420+AA420+AJ420+AI420+AJ420+AN420+AQ420+AM420+AT420+AU420+AV420+AW420+AP420+AS420)</f>
        <v>0</v>
      </c>
      <c r="D420" s="133"/>
      <c r="E420" s="134"/>
      <c r="F420" s="135"/>
      <c r="G420" s="136"/>
      <c r="H420" s="96"/>
      <c r="I420" s="96"/>
      <c r="J420" s="104"/>
      <c r="K420" s="75"/>
      <c r="L420" s="75"/>
      <c r="M420" s="75"/>
      <c r="N420" s="75"/>
      <c r="O420" s="96"/>
      <c r="P420" s="105"/>
      <c r="Q420" s="105"/>
      <c r="R420" s="96"/>
      <c r="S420" s="128"/>
      <c r="T420" s="137"/>
      <c r="U420" s="110"/>
      <c r="V420" s="100"/>
      <c r="W420" s="100"/>
      <c r="X420" s="100"/>
      <c r="Y420" s="110"/>
      <c r="Z420" s="110"/>
      <c r="AA420" s="100"/>
      <c r="AB420" s="109"/>
      <c r="AC420" s="109"/>
      <c r="AD420" s="109"/>
      <c r="AE420" s="108"/>
      <c r="AF420" s="109"/>
      <c r="AG420" s="108"/>
      <c r="AH420" s="111"/>
      <c r="AI420" s="100"/>
      <c r="AJ420" s="100"/>
      <c r="AK420" s="100"/>
      <c r="AL420" s="100"/>
      <c r="AM420" s="100"/>
      <c r="AN420" s="111"/>
      <c r="AO420" s="100"/>
      <c r="AP420" s="100"/>
      <c r="AQ420" s="111"/>
      <c r="AR420" s="100"/>
      <c r="AS420" s="100"/>
      <c r="AT420" s="111"/>
    </row>
    <row r="421" spans="1:46" ht="17" thickBot="1">
      <c r="A421" s="92" t="s">
        <v>4</v>
      </c>
      <c r="B421" s="241">
        <f t="shared" si="149"/>
        <v>0</v>
      </c>
      <c r="C421" s="217">
        <f t="shared" si="150"/>
        <v>0</v>
      </c>
      <c r="D421" s="144"/>
      <c r="E421" s="145"/>
      <c r="F421" s="146"/>
      <c r="G421" s="147"/>
      <c r="H421" s="114"/>
      <c r="I421" s="114"/>
      <c r="J421" s="113"/>
      <c r="K421" s="112"/>
      <c r="L421" s="112"/>
      <c r="M421" s="112"/>
      <c r="N421" s="112"/>
      <c r="O421" s="114"/>
      <c r="P421" s="127"/>
      <c r="Q421" s="127"/>
      <c r="R421" s="114"/>
      <c r="S421" s="129"/>
      <c r="T421" s="148"/>
      <c r="U421" s="120"/>
      <c r="V421" s="112"/>
      <c r="W421" s="116"/>
      <c r="X421" s="116"/>
      <c r="Y421" s="120"/>
      <c r="Z421" s="120"/>
      <c r="AA421" s="116"/>
      <c r="AB421" s="118"/>
      <c r="AC421" s="118"/>
      <c r="AD421" s="118"/>
      <c r="AE421" s="117"/>
      <c r="AF421" s="118"/>
      <c r="AG421" s="117"/>
      <c r="AH421" s="121"/>
      <c r="AI421" s="116"/>
      <c r="AJ421" s="116"/>
      <c r="AK421" s="116"/>
      <c r="AL421" s="116"/>
      <c r="AM421" s="116"/>
      <c r="AN421" s="121"/>
      <c r="AO421" s="116"/>
      <c r="AP421" s="116"/>
      <c r="AQ421" s="121"/>
      <c r="AR421" s="116"/>
      <c r="AS421" s="116"/>
      <c r="AT421" s="121"/>
    </row>
    <row r="422" spans="1:46" ht="21.1">
      <c r="A422" s="82" t="s">
        <v>179</v>
      </c>
      <c r="B422" s="239"/>
      <c r="C422" s="214"/>
      <c r="D422" s="133"/>
      <c r="E422" s="134"/>
      <c r="F422" s="135"/>
      <c r="G422" s="136"/>
      <c r="H422" s="96" t="s">
        <v>616</v>
      </c>
      <c r="I422" s="96" t="s">
        <v>375</v>
      </c>
      <c r="J422" s="122" t="s">
        <v>699</v>
      </c>
      <c r="K422" s="122" t="s">
        <v>339</v>
      </c>
      <c r="L422" s="122" t="s">
        <v>734</v>
      </c>
      <c r="M422" s="122" t="s">
        <v>734</v>
      </c>
      <c r="N422" s="122" t="s">
        <v>734</v>
      </c>
      <c r="O422" s="96"/>
      <c r="P422" s="105"/>
      <c r="Q422" s="105"/>
      <c r="R422" s="96"/>
      <c r="S422" s="128" t="s">
        <v>699</v>
      </c>
      <c r="T422" s="182" t="s">
        <v>734</v>
      </c>
      <c r="U422" s="110" t="s">
        <v>886</v>
      </c>
      <c r="V422" s="122" t="s">
        <v>721</v>
      </c>
      <c r="W422" s="122" t="s">
        <v>734</v>
      </c>
      <c r="X422" s="122" t="s">
        <v>734</v>
      </c>
      <c r="Y422" s="181" t="s">
        <v>877</v>
      </c>
      <c r="Z422" s="182" t="s">
        <v>734</v>
      </c>
      <c r="AA422" s="122" t="s">
        <v>734</v>
      </c>
      <c r="AB422" s="109" t="s">
        <v>816</v>
      </c>
      <c r="AC422" s="109" t="s">
        <v>816</v>
      </c>
      <c r="AD422" s="109"/>
      <c r="AE422" s="108"/>
      <c r="AF422" s="109" t="s">
        <v>1003</v>
      </c>
      <c r="AG422" s="108"/>
      <c r="AH422" s="111"/>
      <c r="AI422" s="100"/>
      <c r="AJ422" s="75"/>
      <c r="AK422" s="75"/>
      <c r="AL422" s="100"/>
      <c r="AM422" s="100"/>
      <c r="AN422" s="107"/>
      <c r="AO422" s="100"/>
      <c r="AP422" s="100"/>
      <c r="AQ422" s="107"/>
      <c r="AR422" s="100"/>
      <c r="AS422" s="100"/>
      <c r="AT422" s="111"/>
    </row>
    <row r="423" spans="1:46" ht="16.3">
      <c r="A423" s="246" t="s">
        <v>1</v>
      </c>
      <c r="B423" s="240">
        <f>SUM(J423+K423+L423+M423+N423+S423+V423+W423+X423+AA423+AI423+AJ423+AI423+AM423+AP423+AQ423+AS423+AT423+AU423+AV423+AN423)+65</f>
        <v>74</v>
      </c>
      <c r="C423" s="215">
        <f>SUM(J423+K423+L423+M423+N423+S423+W423+X423+V423+AA423+AJ423+AI423+AJ423+AN423+AQ423+AM423+AT423+AU423+AV423+AW423+AP423+AS423)+65</f>
        <v>74</v>
      </c>
      <c r="D423" s="139"/>
      <c r="E423" s="140"/>
      <c r="F423" s="135"/>
      <c r="G423" s="136"/>
      <c r="H423" s="96">
        <v>1</v>
      </c>
      <c r="I423" s="96"/>
      <c r="J423" s="75">
        <v>1</v>
      </c>
      <c r="K423" s="75"/>
      <c r="L423" s="75">
        <v>1</v>
      </c>
      <c r="M423" s="75">
        <v>1</v>
      </c>
      <c r="N423" s="75">
        <v>1</v>
      </c>
      <c r="O423" s="96"/>
      <c r="P423" s="105"/>
      <c r="Q423" s="105"/>
      <c r="R423" s="96"/>
      <c r="S423" s="128">
        <v>1</v>
      </c>
      <c r="T423" s="182">
        <v>1</v>
      </c>
      <c r="U423" s="110">
        <v>1</v>
      </c>
      <c r="V423" s="75">
        <v>1</v>
      </c>
      <c r="W423" s="75">
        <v>1</v>
      </c>
      <c r="X423" s="75">
        <v>1</v>
      </c>
      <c r="Y423" s="106">
        <v>1</v>
      </c>
      <c r="Z423" s="182">
        <v>1</v>
      </c>
      <c r="AA423" s="75">
        <v>1</v>
      </c>
      <c r="AB423" s="96"/>
      <c r="AC423" s="109"/>
      <c r="AD423" s="109"/>
      <c r="AE423" s="108"/>
      <c r="AF423" s="109">
        <v>1</v>
      </c>
      <c r="AG423" s="108"/>
      <c r="AH423" s="111"/>
      <c r="AI423" s="100"/>
      <c r="AJ423" s="75"/>
      <c r="AK423" s="75"/>
      <c r="AL423" s="100"/>
      <c r="AM423" s="100"/>
      <c r="AN423" s="107"/>
      <c r="AO423" s="100"/>
      <c r="AP423" s="100"/>
      <c r="AQ423" s="107"/>
      <c r="AR423" s="100"/>
      <c r="AS423" s="100"/>
      <c r="AT423" s="111"/>
    </row>
    <row r="424" spans="1:46" ht="16.3">
      <c r="A424" s="246" t="s">
        <v>2</v>
      </c>
      <c r="B424" s="240">
        <f>SUM(J424+K424+L424+M424+N424+S424+V424+W424+X424+AA424+AI424+AJ424+AI424+AM424+AP424+AQ424+AS424+AT424+AU424+AV424)+10</f>
        <v>10</v>
      </c>
      <c r="C424" s="215">
        <f>SUM(J424+K424+L424+M424+N424+S424+W424+X424+V424+AA424+AJ424+AI424+AJ424+AN424+AQ424+AM424+AT424+AU424+AV424+AW424+AP424+AS424)+10</f>
        <v>10</v>
      </c>
      <c r="D424" s="139"/>
      <c r="E424" s="140"/>
      <c r="F424" s="135"/>
      <c r="G424" s="136"/>
      <c r="H424" s="96"/>
      <c r="I424" s="96">
        <v>1</v>
      </c>
      <c r="J424" s="75"/>
      <c r="K424" s="75"/>
      <c r="L424" s="75"/>
      <c r="M424" s="75"/>
      <c r="N424" s="75"/>
      <c r="O424" s="96"/>
      <c r="P424" s="105"/>
      <c r="Q424" s="105"/>
      <c r="R424" s="96"/>
      <c r="S424" s="128"/>
      <c r="T424" s="137"/>
      <c r="U424" s="110"/>
      <c r="V424" s="75"/>
      <c r="W424" s="75"/>
      <c r="X424" s="75"/>
      <c r="Y424" s="106"/>
      <c r="Z424" s="137"/>
      <c r="AA424" s="75"/>
      <c r="AB424" s="109"/>
      <c r="AC424" s="109"/>
      <c r="AD424" s="109"/>
      <c r="AE424" s="108"/>
      <c r="AF424" s="109"/>
      <c r="AG424" s="108"/>
      <c r="AH424" s="111"/>
      <c r="AI424" s="100"/>
      <c r="AJ424" s="100"/>
      <c r="AK424" s="100"/>
      <c r="AL424" s="100"/>
      <c r="AM424" s="100"/>
      <c r="AN424" s="111"/>
      <c r="AO424" s="100"/>
      <c r="AP424" s="100"/>
      <c r="AQ424" s="111"/>
      <c r="AR424" s="100"/>
      <c r="AS424" s="100"/>
      <c r="AT424" s="111"/>
    </row>
    <row r="425" spans="1:46" ht="16.3">
      <c r="A425" s="91" t="s">
        <v>363</v>
      </c>
      <c r="B425" s="239">
        <f t="shared" ref="B425" si="151">SUM(B423+B424)</f>
        <v>84</v>
      </c>
      <c r="C425" s="214">
        <f t="shared" ref="C425" si="152">SUM(C423+C424)</f>
        <v>84</v>
      </c>
      <c r="D425" s="133"/>
      <c r="E425" s="134"/>
      <c r="F425" s="135"/>
      <c r="G425" s="136"/>
      <c r="H425" s="96"/>
      <c r="I425" s="96"/>
      <c r="J425" s="75"/>
      <c r="K425" s="75"/>
      <c r="L425" s="75"/>
      <c r="M425" s="75"/>
      <c r="N425" s="75"/>
      <c r="O425" s="96"/>
      <c r="P425" s="105"/>
      <c r="Q425" s="105"/>
      <c r="R425" s="96"/>
      <c r="S425" s="128"/>
      <c r="T425" s="137"/>
      <c r="U425" s="110"/>
      <c r="V425" s="75"/>
      <c r="W425" s="75"/>
      <c r="X425" s="75"/>
      <c r="Y425" s="106"/>
      <c r="Z425" s="137"/>
      <c r="AA425" s="75"/>
      <c r="AB425" s="109"/>
      <c r="AC425" s="109"/>
      <c r="AD425" s="109"/>
      <c r="AE425" s="108"/>
      <c r="AF425" s="109"/>
      <c r="AG425" s="108"/>
      <c r="AH425" s="111"/>
      <c r="AI425" s="100"/>
      <c r="AJ425" s="100"/>
      <c r="AK425" s="100"/>
      <c r="AL425" s="100"/>
      <c r="AM425" s="100"/>
      <c r="AN425" s="111"/>
      <c r="AO425" s="100"/>
      <c r="AP425" s="100"/>
      <c r="AQ425" s="111"/>
      <c r="AR425" s="100"/>
      <c r="AS425" s="100"/>
      <c r="AT425" s="111"/>
    </row>
    <row r="426" spans="1:46" ht="16.3">
      <c r="A426" s="246" t="s">
        <v>366</v>
      </c>
      <c r="B426" s="240">
        <f>SUM(J426+K426+L426+M426+N426+S426+V426+W426+X426+AA426+AI426+AJ426+AI426+AM426+AP426+AQ426+AS426+AT426+AU426+AV426)+34</f>
        <v>43</v>
      </c>
      <c r="C426" s="215">
        <f>SUM(J426+K426+L426+M426+N426+S426+W426+X426+V426+AA426+AJ426+AI426+AJ426+AN426+AQ426+AM426+AT426+AU426+AV426+AW426+AP426+AS426)+34</f>
        <v>43</v>
      </c>
      <c r="D426" s="139"/>
      <c r="E426" s="140"/>
      <c r="F426" s="135"/>
      <c r="G426" s="136"/>
      <c r="H426" s="96"/>
      <c r="I426" s="96"/>
      <c r="J426" s="75">
        <v>1</v>
      </c>
      <c r="K426" s="75"/>
      <c r="L426" s="75">
        <v>1</v>
      </c>
      <c r="M426" s="75">
        <v>1</v>
      </c>
      <c r="N426" s="75">
        <v>1</v>
      </c>
      <c r="O426" s="96"/>
      <c r="P426" s="105"/>
      <c r="Q426" s="105"/>
      <c r="R426" s="96"/>
      <c r="S426" s="128">
        <v>1</v>
      </c>
      <c r="T426" s="137">
        <v>1</v>
      </c>
      <c r="U426" s="110">
        <v>1</v>
      </c>
      <c r="V426" s="75">
        <v>1</v>
      </c>
      <c r="W426" s="75">
        <v>1</v>
      </c>
      <c r="X426" s="75">
        <v>1</v>
      </c>
      <c r="Y426" s="106">
        <v>1</v>
      </c>
      <c r="Z426" s="137">
        <v>1</v>
      </c>
      <c r="AA426" s="75">
        <v>1</v>
      </c>
      <c r="AB426" s="109"/>
      <c r="AC426" s="109"/>
      <c r="AD426" s="109"/>
      <c r="AE426" s="108"/>
      <c r="AF426" s="109">
        <v>1</v>
      </c>
      <c r="AG426" s="108"/>
      <c r="AH426" s="111"/>
      <c r="AI426" s="100"/>
      <c r="AJ426" s="100"/>
      <c r="AK426" s="100"/>
      <c r="AL426" s="100"/>
      <c r="AM426" s="100"/>
      <c r="AN426" s="111"/>
      <c r="AO426" s="100"/>
      <c r="AP426" s="100"/>
      <c r="AQ426" s="111"/>
      <c r="AR426" s="100"/>
      <c r="AS426" s="100"/>
      <c r="AT426" s="111"/>
    </row>
    <row r="427" spans="1:46" ht="16.3">
      <c r="A427" s="246" t="s">
        <v>362</v>
      </c>
      <c r="B427" s="240">
        <f>SUM(J427+K427+L427+M427+N427+S427+V427+W427+X427+AA427+AI427+AJ427+AI427+AM427+AP427+AQ427+AS427+AT427+AU427+AV427)+3</f>
        <v>3</v>
      </c>
      <c r="C427" s="215">
        <f>SUM(J427+K427+L427+M427+N427+S427+W427+X427+V427+AA427+AJ427+AI427+AJ427+AN427+AQ427+AM427+AT427+AU427+AV427+AW427+AP427+AS427)+3</f>
        <v>3</v>
      </c>
      <c r="D427" s="139"/>
      <c r="E427" s="140"/>
      <c r="F427" s="135"/>
      <c r="G427" s="136"/>
      <c r="H427" s="96">
        <v>1</v>
      </c>
      <c r="I427" s="96"/>
      <c r="J427" s="75"/>
      <c r="K427" s="75"/>
      <c r="L427" s="75"/>
      <c r="M427" s="128"/>
      <c r="N427" s="75"/>
      <c r="O427" s="96"/>
      <c r="P427" s="105"/>
      <c r="Q427" s="105"/>
      <c r="R427" s="96"/>
      <c r="S427" s="128"/>
      <c r="T427" s="137"/>
      <c r="U427" s="110"/>
      <c r="V427" s="100"/>
      <c r="W427" s="100"/>
      <c r="X427" s="100"/>
      <c r="Y427" s="106"/>
      <c r="Z427" s="137"/>
      <c r="AA427" s="100"/>
      <c r="AB427" s="109"/>
      <c r="AC427" s="109"/>
      <c r="AD427" s="109"/>
      <c r="AE427" s="108"/>
      <c r="AF427" s="109"/>
      <c r="AG427" s="108"/>
      <c r="AH427" s="111"/>
      <c r="AI427" s="100"/>
      <c r="AJ427" s="100"/>
      <c r="AK427" s="100"/>
      <c r="AL427" s="100"/>
      <c r="AM427" s="100"/>
      <c r="AN427" s="111"/>
      <c r="AO427" s="100"/>
      <c r="AP427" s="100"/>
      <c r="AQ427" s="111"/>
      <c r="AR427" s="100"/>
      <c r="AS427" s="100"/>
      <c r="AT427" s="111"/>
    </row>
    <row r="428" spans="1:46" ht="16.3">
      <c r="A428" s="91" t="s">
        <v>3</v>
      </c>
      <c r="B428" s="239">
        <f>SUM(J428+K428+L428+M428+N428+S428+V428+W428+X428+AA428+AI428+AJ428+AI428+AM428+AP428+AQ428+AS428+AT428+AU428+AV428)+12</f>
        <v>14</v>
      </c>
      <c r="C428" s="214">
        <f>SUM(J428+K428+L428+M428+N428+S428+W428+X428+V428+AA428+AJ428+AI428+AJ428+AN428+AQ428+AM428+AT428+AU428+AV428+AW428+AP428+AS428)+12</f>
        <v>14</v>
      </c>
      <c r="D428" s="133"/>
      <c r="E428" s="134"/>
      <c r="F428" s="135"/>
      <c r="G428" s="136"/>
      <c r="H428" s="96"/>
      <c r="I428" s="96"/>
      <c r="J428" s="75">
        <v>1</v>
      </c>
      <c r="K428" s="75"/>
      <c r="L428" s="168"/>
      <c r="M428" s="128">
        <v>1</v>
      </c>
      <c r="N428" s="75"/>
      <c r="O428" s="96"/>
      <c r="P428" s="105"/>
      <c r="Q428" s="105"/>
      <c r="R428" s="96"/>
      <c r="S428" s="128"/>
      <c r="T428" s="137"/>
      <c r="U428" s="110"/>
      <c r="V428" s="100"/>
      <c r="W428" s="100"/>
      <c r="X428" s="100"/>
      <c r="Y428" s="106"/>
      <c r="Z428" s="137"/>
      <c r="AA428" s="100"/>
      <c r="AB428" s="109"/>
      <c r="AC428" s="109"/>
      <c r="AD428" s="109"/>
      <c r="AE428" s="108"/>
      <c r="AF428" s="109"/>
      <c r="AG428" s="108"/>
      <c r="AH428" s="111"/>
      <c r="AI428" s="100"/>
      <c r="AJ428" s="100"/>
      <c r="AK428" s="100"/>
      <c r="AL428" s="100"/>
      <c r="AM428" s="100"/>
      <c r="AN428" s="111"/>
      <c r="AO428" s="100"/>
      <c r="AP428" s="100"/>
      <c r="AQ428" s="111"/>
      <c r="AR428" s="100"/>
      <c r="AS428" s="100"/>
      <c r="AT428" s="111"/>
    </row>
    <row r="429" spans="1:46" ht="17" thickBot="1">
      <c r="A429" s="92" t="s">
        <v>4</v>
      </c>
      <c r="B429" s="241">
        <f>SUM(J429+K429+L429+M429+N429+S429+V429+W429+X429+AA429+AI429+AJ429+AI429+AM429+AP429+AQ429+AS429+AT429+AU429+AV429)+60</f>
        <v>70</v>
      </c>
      <c r="C429" s="217">
        <f>SUM(J429+K429+L429+M429+N429+S429+W429+X429+V429+AA429+AJ429+AI429+AJ429+AN429+AQ429+AM429+AT429+AU429+AV429+AW429+AP429+AS429)+60</f>
        <v>70</v>
      </c>
      <c r="D429" s="144"/>
      <c r="E429" s="145"/>
      <c r="F429" s="146"/>
      <c r="G429" s="147"/>
      <c r="H429" s="114"/>
      <c r="I429" s="114"/>
      <c r="J429" s="112">
        <v>5</v>
      </c>
      <c r="K429" s="112"/>
      <c r="L429" s="112"/>
      <c r="M429" s="129">
        <v>5</v>
      </c>
      <c r="N429" s="112"/>
      <c r="O429" s="114"/>
      <c r="P429" s="127"/>
      <c r="Q429" s="127"/>
      <c r="R429" s="114"/>
      <c r="S429" s="129"/>
      <c r="T429" s="148"/>
      <c r="U429" s="120"/>
      <c r="V429" s="112"/>
      <c r="W429" s="100"/>
      <c r="X429" s="100"/>
      <c r="Y429" s="119"/>
      <c r="Z429" s="137"/>
      <c r="AA429" s="100"/>
      <c r="AB429" s="109"/>
      <c r="AC429" s="109"/>
      <c r="AD429" s="109"/>
      <c r="AE429" s="108"/>
      <c r="AF429" s="109"/>
      <c r="AG429" s="108"/>
      <c r="AH429" s="111"/>
      <c r="AI429" s="100"/>
      <c r="AJ429" s="100"/>
      <c r="AK429" s="100"/>
      <c r="AL429" s="100"/>
      <c r="AM429" s="100"/>
      <c r="AN429" s="111"/>
      <c r="AO429" s="100"/>
      <c r="AP429" s="100"/>
      <c r="AQ429" s="111"/>
      <c r="AR429" s="100"/>
      <c r="AS429" s="100"/>
      <c r="AT429" s="111"/>
    </row>
    <row r="430" spans="1:46" ht="21.1">
      <c r="A430" s="82" t="s">
        <v>298</v>
      </c>
      <c r="B430" s="239"/>
      <c r="C430" s="214"/>
      <c r="D430" s="133"/>
      <c r="E430" s="134"/>
      <c r="F430" s="135"/>
      <c r="G430" s="136"/>
      <c r="H430" s="96" t="s">
        <v>346</v>
      </c>
      <c r="I430" s="96" t="s">
        <v>346</v>
      </c>
      <c r="J430" s="104" t="s">
        <v>375</v>
      </c>
      <c r="K430" s="75" t="s">
        <v>686</v>
      </c>
      <c r="L430" s="75">
        <v>8</v>
      </c>
      <c r="M430" s="75" t="s">
        <v>374</v>
      </c>
      <c r="N430" s="75" t="s">
        <v>374</v>
      </c>
      <c r="O430" s="96"/>
      <c r="P430" s="105"/>
      <c r="Q430" s="105"/>
      <c r="R430" s="96" t="s">
        <v>346</v>
      </c>
      <c r="S430" s="128" t="s">
        <v>374</v>
      </c>
      <c r="T430" s="137" t="s">
        <v>856</v>
      </c>
      <c r="U430" s="110" t="s">
        <v>339</v>
      </c>
      <c r="V430" s="100" t="s">
        <v>339</v>
      </c>
      <c r="W430" s="102">
        <v>8</v>
      </c>
      <c r="X430" s="102" t="s">
        <v>374</v>
      </c>
      <c r="Y430" s="101">
        <v>8</v>
      </c>
      <c r="Z430" s="101" t="s">
        <v>374</v>
      </c>
      <c r="AA430" s="102" t="s">
        <v>374</v>
      </c>
      <c r="AB430" s="99"/>
      <c r="AC430" s="99"/>
      <c r="AD430" s="99"/>
      <c r="AE430" s="98"/>
      <c r="AF430" s="99" t="s">
        <v>374</v>
      </c>
      <c r="AG430" s="98"/>
      <c r="AH430" s="103"/>
      <c r="AI430" s="102"/>
      <c r="AJ430" s="102"/>
      <c r="AK430" s="102"/>
      <c r="AL430" s="102"/>
      <c r="AM430" s="102"/>
      <c r="AN430" s="103"/>
      <c r="AO430" s="102"/>
      <c r="AP430" s="102"/>
      <c r="AQ430" s="103"/>
      <c r="AR430" s="102"/>
      <c r="AS430" s="102"/>
      <c r="AT430" s="103"/>
    </row>
    <row r="431" spans="1:46" ht="16.3">
      <c r="A431" s="246" t="s">
        <v>1</v>
      </c>
      <c r="B431" s="240">
        <f>SUM(J431+K431+L431+M431+N431+S431+V431+W431+X431+AA431+AI431+AJ431+AI431+AM431+AP431+AQ431+AS431+AT431+AU431+AV431+AN431)+12</f>
        <v>20</v>
      </c>
      <c r="C431" s="215">
        <f>SUM(J431+K431+L431+M431+N431+S431+W431+X431+V431+AA431+AJ431+AI431+AJ431+AN431+AQ431+AM431+AT431+AU431+AV431+AW431+AP431+AS431)+12</f>
        <v>20</v>
      </c>
      <c r="D431" s="133"/>
      <c r="E431" s="134"/>
      <c r="F431" s="135"/>
      <c r="G431" s="136"/>
      <c r="H431" s="96"/>
      <c r="I431" s="96"/>
      <c r="J431" s="104"/>
      <c r="K431" s="75">
        <v>1</v>
      </c>
      <c r="L431" s="75">
        <v>1</v>
      </c>
      <c r="M431" s="75">
        <v>1</v>
      </c>
      <c r="N431" s="75">
        <v>1</v>
      </c>
      <c r="O431" s="96"/>
      <c r="P431" s="105"/>
      <c r="Q431" s="105"/>
      <c r="R431" s="96"/>
      <c r="S431" s="128">
        <v>1</v>
      </c>
      <c r="T431" s="182">
        <v>1</v>
      </c>
      <c r="U431" s="106"/>
      <c r="V431" s="75"/>
      <c r="W431" s="75">
        <v>1</v>
      </c>
      <c r="X431" s="75">
        <v>1</v>
      </c>
      <c r="Y431" s="106">
        <v>1</v>
      </c>
      <c r="Z431" s="106">
        <v>1</v>
      </c>
      <c r="AA431" s="75">
        <v>1</v>
      </c>
      <c r="AB431" s="96"/>
      <c r="AC431" s="96"/>
      <c r="AD431" s="96"/>
      <c r="AE431" s="105"/>
      <c r="AF431" s="96">
        <v>1</v>
      </c>
      <c r="AG431" s="105"/>
      <c r="AH431" s="107"/>
      <c r="AI431" s="75"/>
      <c r="AJ431" s="75"/>
      <c r="AK431" s="75"/>
      <c r="AL431" s="75"/>
      <c r="AM431" s="75"/>
      <c r="AN431" s="107"/>
      <c r="AO431" s="75"/>
      <c r="AP431" s="75"/>
      <c r="AQ431" s="107"/>
      <c r="AR431" s="75"/>
      <c r="AS431" s="75"/>
      <c r="AT431" s="107"/>
    </row>
    <row r="432" spans="1:46" ht="16.3">
      <c r="A432" s="246" t="s">
        <v>2</v>
      </c>
      <c r="B432" s="240">
        <f>SUM(J432+K432+L432+M432+N432+S432+V432+W432+X432+AA432+AI432+AJ432+AI432+AM432+AP432+AQ432+AS432+AT432+AU432+AV432)+1</f>
        <v>2</v>
      </c>
      <c r="C432" s="215">
        <f>SUM(J432+K432+L432+M432+N432+S432+W432+X432+V432+AA432+AJ432+AI432+AJ432+AN432+AQ432+AM432+AT432+AU432+AV432+AW432+AP432+AS432)+1</f>
        <v>2</v>
      </c>
      <c r="D432" s="133"/>
      <c r="E432" s="134"/>
      <c r="F432" s="135"/>
      <c r="G432" s="136"/>
      <c r="H432" s="96"/>
      <c r="I432" s="96"/>
      <c r="J432" s="104">
        <v>1</v>
      </c>
      <c r="K432" s="75"/>
      <c r="L432" s="75"/>
      <c r="M432" s="75"/>
      <c r="N432" s="75"/>
      <c r="O432" s="96"/>
      <c r="P432" s="105"/>
      <c r="Q432" s="105"/>
      <c r="R432" s="96"/>
      <c r="S432" s="128"/>
      <c r="T432" s="137"/>
      <c r="U432" s="110"/>
      <c r="V432" s="100"/>
      <c r="W432" s="100"/>
      <c r="X432" s="100"/>
      <c r="Y432" s="110"/>
      <c r="Z432" s="110"/>
      <c r="AA432" s="100"/>
      <c r="AB432" s="109"/>
      <c r="AC432" s="109"/>
      <c r="AD432" s="109"/>
      <c r="AE432" s="108"/>
      <c r="AF432" s="109"/>
      <c r="AG432" s="108"/>
      <c r="AH432" s="111"/>
      <c r="AI432" s="100"/>
      <c r="AJ432" s="100"/>
      <c r="AK432" s="100"/>
      <c r="AL432" s="100"/>
      <c r="AM432" s="100"/>
      <c r="AN432" s="111"/>
      <c r="AO432" s="100"/>
      <c r="AP432" s="100"/>
      <c r="AQ432" s="111"/>
      <c r="AR432" s="100"/>
      <c r="AS432" s="100"/>
      <c r="AT432" s="111"/>
    </row>
    <row r="433" spans="1:48" ht="16.3">
      <c r="A433" s="91" t="s">
        <v>363</v>
      </c>
      <c r="B433" s="239">
        <f>SUM(B431+B432)</f>
        <v>22</v>
      </c>
      <c r="C433" s="214">
        <f>SUM(C431+C432)</f>
        <v>22</v>
      </c>
      <c r="D433" s="133"/>
      <c r="E433" s="134"/>
      <c r="F433" s="135"/>
      <c r="G433" s="136"/>
      <c r="H433" s="96"/>
      <c r="I433" s="96"/>
      <c r="J433" s="104"/>
      <c r="K433" s="75"/>
      <c r="L433" s="75"/>
      <c r="M433" s="75"/>
      <c r="N433" s="75"/>
      <c r="O433" s="96"/>
      <c r="P433" s="105"/>
      <c r="Q433" s="105"/>
      <c r="R433" s="96"/>
      <c r="S433" s="128"/>
      <c r="T433" s="137"/>
      <c r="U433" s="110"/>
      <c r="V433" s="100"/>
      <c r="W433" s="100"/>
      <c r="X433" s="100"/>
      <c r="Y433" s="110"/>
      <c r="Z433" s="110"/>
      <c r="AA433" s="100"/>
      <c r="AB433" s="109"/>
      <c r="AC433" s="109"/>
      <c r="AD433" s="109"/>
      <c r="AE433" s="108"/>
      <c r="AF433" s="109"/>
      <c r="AG433" s="108"/>
      <c r="AH433" s="111"/>
      <c r="AI433" s="100"/>
      <c r="AJ433" s="100"/>
      <c r="AK433" s="100"/>
      <c r="AL433" s="100"/>
      <c r="AM433" s="100"/>
      <c r="AN433" s="111"/>
      <c r="AO433" s="100"/>
      <c r="AP433" s="100"/>
      <c r="AQ433" s="111"/>
      <c r="AR433" s="100"/>
      <c r="AS433" s="100"/>
      <c r="AT433" s="111"/>
    </row>
    <row r="434" spans="1:48" ht="16.3">
      <c r="A434" s="246" t="s">
        <v>362</v>
      </c>
      <c r="B434" s="240">
        <f>SUM(J434+K434+L434+M434+N434+S434+V434+W434+X434+AA434+AI434+AJ434+AI434+AM434+AP434+AQ434+AS434+AT434+AU434+AV434)+1</f>
        <v>2</v>
      </c>
      <c r="C434" s="215">
        <f>SUM(J434+K434+L434+M434+N434+S434+W434+X434+V434+AA434+AJ434+AI434+AJ434+AN434+AQ434+AM434+AT434+AU434+AV434+AW434+AP434+AS434)+1</f>
        <v>2</v>
      </c>
      <c r="D434" s="133"/>
      <c r="E434" s="134"/>
      <c r="F434" s="135"/>
      <c r="G434" s="136"/>
      <c r="H434" s="96"/>
      <c r="I434" s="96"/>
      <c r="J434" s="104"/>
      <c r="K434" s="75">
        <v>1</v>
      </c>
      <c r="L434" s="75"/>
      <c r="M434" s="75"/>
      <c r="N434" s="75"/>
      <c r="O434" s="96"/>
      <c r="P434" s="105"/>
      <c r="Q434" s="105"/>
      <c r="R434" s="96"/>
      <c r="S434" s="128"/>
      <c r="T434" s="137"/>
      <c r="U434" s="110"/>
      <c r="V434" s="100"/>
      <c r="W434" s="100"/>
      <c r="X434" s="100"/>
      <c r="Y434" s="110"/>
      <c r="Z434" s="110"/>
      <c r="AA434" s="100"/>
      <c r="AB434" s="109"/>
      <c r="AC434" s="109"/>
      <c r="AD434" s="109"/>
      <c r="AE434" s="108"/>
      <c r="AF434" s="109"/>
      <c r="AG434" s="108"/>
      <c r="AH434" s="111"/>
      <c r="AI434" s="100"/>
      <c r="AJ434" s="100"/>
      <c r="AK434" s="100"/>
      <c r="AL434" s="100"/>
      <c r="AM434" s="100"/>
      <c r="AN434" s="111"/>
      <c r="AO434" s="100"/>
      <c r="AP434" s="100"/>
      <c r="AQ434" s="111"/>
      <c r="AR434" s="100"/>
      <c r="AS434" s="100"/>
      <c r="AT434" s="111"/>
    </row>
    <row r="435" spans="1:48" ht="16.3">
      <c r="A435" s="91" t="s">
        <v>3</v>
      </c>
      <c r="B435" s="239">
        <f>SUM(J435+K435+L435+M435+N435+S435+V435+W435+X435+AA435+AI435+AJ435+AI435+AM435+AP435+AQ435+AS435+AT435+AU435+AV435)+6</f>
        <v>8</v>
      </c>
      <c r="C435" s="214">
        <f>SUM(J435+K435+L435+M435+N435+S435+W435+X435+V435+AA435+AJ435+AI435+AJ435+AN435+AQ435+AM435+AT435+AU435+AV435+AW435+AP435+AS435)+6</f>
        <v>8</v>
      </c>
      <c r="D435" s="133"/>
      <c r="E435" s="134"/>
      <c r="F435" s="135"/>
      <c r="G435" s="136"/>
      <c r="H435" s="96"/>
      <c r="I435" s="96"/>
      <c r="J435" s="104"/>
      <c r="K435" s="75"/>
      <c r="L435" s="75">
        <v>1</v>
      </c>
      <c r="M435" s="75">
        <v>1</v>
      </c>
      <c r="N435" s="75"/>
      <c r="O435" s="96"/>
      <c r="P435" s="105"/>
      <c r="Q435" s="105"/>
      <c r="R435" s="96"/>
      <c r="S435" s="128"/>
      <c r="T435" s="137">
        <v>2</v>
      </c>
      <c r="U435" s="110"/>
      <c r="V435" s="100"/>
      <c r="W435" s="100"/>
      <c r="X435" s="100"/>
      <c r="Y435" s="110"/>
      <c r="Z435" s="110"/>
      <c r="AA435" s="100"/>
      <c r="AB435" s="109"/>
      <c r="AC435" s="109"/>
      <c r="AD435" s="109"/>
      <c r="AE435" s="108"/>
      <c r="AF435" s="109"/>
      <c r="AG435" s="108"/>
      <c r="AH435" s="111"/>
      <c r="AI435" s="100"/>
      <c r="AJ435" s="100"/>
      <c r="AK435" s="100"/>
      <c r="AL435" s="100"/>
      <c r="AM435" s="100"/>
      <c r="AN435" s="111"/>
      <c r="AO435" s="100"/>
      <c r="AP435" s="100"/>
      <c r="AQ435" s="111"/>
      <c r="AR435" s="100"/>
      <c r="AS435" s="100"/>
      <c r="AT435" s="111"/>
    </row>
    <row r="436" spans="1:48" ht="17" thickBot="1">
      <c r="A436" s="92" t="s">
        <v>4</v>
      </c>
      <c r="B436" s="241">
        <f>SUM(J436+K436+L436+M436+N436+S436+V436+W436+X436+AA436+AI436+AJ436+AI436+AM436+AP436+AQ436+AS436+AT436+AU436+AV436)+30</f>
        <v>40</v>
      </c>
      <c r="C436" s="217">
        <f>SUM(J436+K436+L436+M436+N436+S436+W436+X436+V436+AA436+AJ436+AI436+AJ436+AN436+AQ436+AM436+AT436+AU436+AV436+AW436+AP436+AS436)+30</f>
        <v>40</v>
      </c>
      <c r="D436" s="144"/>
      <c r="E436" s="145"/>
      <c r="F436" s="146"/>
      <c r="G436" s="147"/>
      <c r="H436" s="114"/>
      <c r="I436" s="114"/>
      <c r="J436" s="113"/>
      <c r="K436" s="112"/>
      <c r="L436" s="112">
        <v>5</v>
      </c>
      <c r="M436" s="112">
        <v>5</v>
      </c>
      <c r="N436" s="112"/>
      <c r="O436" s="114"/>
      <c r="P436" s="127"/>
      <c r="Q436" s="127"/>
      <c r="R436" s="114"/>
      <c r="S436" s="129"/>
      <c r="T436" s="148">
        <v>10</v>
      </c>
      <c r="U436" s="120"/>
      <c r="V436" s="112"/>
      <c r="W436" s="100"/>
      <c r="X436" s="100"/>
      <c r="Y436" s="110"/>
      <c r="Z436" s="110"/>
      <c r="AA436" s="100"/>
      <c r="AB436" s="109"/>
      <c r="AC436" s="109"/>
      <c r="AD436" s="109"/>
      <c r="AE436" s="108"/>
      <c r="AF436" s="109"/>
      <c r="AG436" s="108"/>
      <c r="AH436" s="111"/>
      <c r="AI436" s="100"/>
      <c r="AJ436" s="100"/>
      <c r="AK436" s="100"/>
      <c r="AL436" s="100"/>
      <c r="AM436" s="100"/>
      <c r="AN436" s="111"/>
      <c r="AO436" s="100"/>
      <c r="AP436" s="100"/>
      <c r="AQ436" s="111"/>
      <c r="AR436" s="100"/>
      <c r="AS436" s="100"/>
      <c r="AT436" s="111"/>
    </row>
    <row r="437" spans="1:48" ht="21.1">
      <c r="A437" s="86" t="s">
        <v>8</v>
      </c>
      <c r="B437" s="574"/>
      <c r="C437" s="180"/>
      <c r="D437" s="124"/>
      <c r="E437" s="125"/>
      <c r="F437" s="99"/>
      <c r="G437" s="102"/>
      <c r="H437" s="99"/>
      <c r="I437" s="99"/>
      <c r="J437" s="102"/>
      <c r="K437" s="102"/>
      <c r="L437" s="102"/>
      <c r="M437" s="102"/>
      <c r="N437" s="102"/>
      <c r="O437" s="99"/>
      <c r="P437" s="98"/>
      <c r="Q437" s="98"/>
      <c r="R437" s="124"/>
      <c r="S437" s="165"/>
      <c r="T437" s="157"/>
      <c r="U437" s="101"/>
      <c r="V437" s="102"/>
      <c r="W437" s="102"/>
      <c r="X437" s="102"/>
      <c r="Y437" s="101"/>
      <c r="Z437" s="101"/>
      <c r="AA437" s="102"/>
      <c r="AB437" s="99"/>
      <c r="AC437" s="99"/>
      <c r="AD437" s="99"/>
      <c r="AE437" s="98"/>
      <c r="AF437" s="99"/>
      <c r="AG437" s="98"/>
      <c r="AH437" s="103"/>
      <c r="AI437" s="102"/>
      <c r="AJ437" s="102"/>
      <c r="AK437" s="102"/>
      <c r="AL437" s="102"/>
      <c r="AM437" s="102"/>
      <c r="AN437" s="103"/>
      <c r="AO437" s="102"/>
      <c r="AP437" s="102"/>
      <c r="AQ437" s="103"/>
      <c r="AR437" s="102"/>
      <c r="AS437" s="102"/>
      <c r="AT437" s="103"/>
    </row>
    <row r="438" spans="1:48" ht="16.3">
      <c r="A438" s="83" t="s">
        <v>3</v>
      </c>
      <c r="B438" s="575"/>
      <c r="C438" s="105"/>
      <c r="D438" s="96"/>
      <c r="E438" s="97"/>
      <c r="F438" s="109"/>
      <c r="G438" s="100"/>
      <c r="H438" s="109"/>
      <c r="I438" s="109"/>
      <c r="J438" s="100"/>
      <c r="K438" s="100"/>
      <c r="L438" s="100"/>
      <c r="M438" s="100"/>
      <c r="N438" s="100"/>
      <c r="O438" s="109"/>
      <c r="P438" s="108"/>
      <c r="Q438" s="108"/>
      <c r="R438" s="96"/>
      <c r="S438" s="128"/>
      <c r="T438" s="137"/>
      <c r="U438" s="110"/>
      <c r="V438" s="100"/>
      <c r="W438" s="100"/>
      <c r="X438" s="100"/>
      <c r="Y438" s="110"/>
      <c r="Z438" s="110"/>
      <c r="AA438" s="100"/>
      <c r="AB438" s="109"/>
      <c r="AC438" s="109"/>
      <c r="AD438" s="109"/>
      <c r="AE438" s="108"/>
      <c r="AF438" s="109"/>
      <c r="AG438" s="108"/>
      <c r="AH438" s="111"/>
      <c r="AI438" s="100"/>
      <c r="AJ438" s="100"/>
      <c r="AK438" s="100"/>
      <c r="AL438" s="100"/>
      <c r="AM438" s="100"/>
      <c r="AN438" s="111"/>
      <c r="AO438" s="100"/>
      <c r="AP438" s="100"/>
      <c r="AQ438" s="111"/>
      <c r="AR438" s="100"/>
      <c r="AS438" s="100"/>
      <c r="AT438" s="111"/>
    </row>
    <row r="439" spans="1:48" ht="17" thickBot="1">
      <c r="A439" s="85" t="s">
        <v>4</v>
      </c>
      <c r="B439" s="576"/>
      <c r="C439" s="233"/>
      <c r="D439" s="114"/>
      <c r="E439" s="115"/>
      <c r="F439" s="118"/>
      <c r="G439" s="112"/>
      <c r="H439" s="118"/>
      <c r="I439" s="118"/>
      <c r="J439" s="116"/>
      <c r="K439" s="116"/>
      <c r="L439" s="116"/>
      <c r="M439" s="116"/>
      <c r="N439" s="116"/>
      <c r="O439" s="118"/>
      <c r="P439" s="117"/>
      <c r="Q439" s="117"/>
      <c r="R439" s="114"/>
      <c r="S439" s="129"/>
      <c r="T439" s="148"/>
      <c r="U439" s="120"/>
      <c r="V439" s="116"/>
      <c r="W439" s="116"/>
      <c r="X439" s="116"/>
      <c r="Y439" s="120"/>
      <c r="Z439" s="110"/>
      <c r="AA439" s="116"/>
      <c r="AB439" s="118"/>
      <c r="AC439" s="118"/>
      <c r="AD439" s="118"/>
      <c r="AE439" s="117"/>
      <c r="AF439" s="118"/>
      <c r="AG439" s="117"/>
      <c r="AH439" s="121"/>
      <c r="AI439" s="116"/>
      <c r="AJ439" s="116"/>
      <c r="AK439" s="116"/>
      <c r="AL439" s="116"/>
      <c r="AM439" s="116"/>
      <c r="AN439" s="121"/>
      <c r="AO439" s="116"/>
      <c r="AP439" s="116"/>
      <c r="AQ439" s="121"/>
      <c r="AR439" s="116"/>
      <c r="AS439" s="116"/>
      <c r="AT439" s="121"/>
    </row>
    <row r="440" spans="1:48">
      <c r="A440" s="635"/>
      <c r="B440" s="885" t="s">
        <v>352</v>
      </c>
      <c r="C440" s="863"/>
      <c r="D440" s="886" t="s">
        <v>350</v>
      </c>
      <c r="E440" s="865"/>
      <c r="F440" s="866" t="s">
        <v>351</v>
      </c>
      <c r="G440" s="867"/>
      <c r="H440" s="636"/>
      <c r="I440" s="637"/>
      <c r="J440" s="638"/>
      <c r="K440" s="637"/>
      <c r="L440" s="637"/>
      <c r="M440" s="639"/>
      <c r="N440" s="637"/>
      <c r="O440" s="637"/>
      <c r="P440" s="637"/>
      <c r="Q440" s="637"/>
      <c r="R440" s="637"/>
      <c r="S440" s="637"/>
      <c r="T440" s="637"/>
      <c r="U440" s="765"/>
      <c r="V440" s="637"/>
      <c r="W440" s="637"/>
      <c r="X440" s="786"/>
      <c r="Y440" s="640"/>
      <c r="Z440" s="765"/>
      <c r="AA440" s="786"/>
      <c r="AB440" s="637"/>
      <c r="AC440" s="637"/>
      <c r="AD440" s="637"/>
      <c r="AE440" s="637"/>
      <c r="AF440" s="637"/>
      <c r="AG440" s="637"/>
      <c r="AH440" s="637"/>
      <c r="AI440" s="637"/>
      <c r="AJ440" s="637"/>
      <c r="AK440" s="639"/>
      <c r="AL440" s="640"/>
      <c r="AM440" s="640"/>
      <c r="AN440" s="640"/>
      <c r="AO440" s="640"/>
      <c r="AP440" s="640"/>
      <c r="AQ440" s="640"/>
      <c r="AR440" s="640"/>
      <c r="AS440" s="640"/>
      <c r="AT440" s="640"/>
      <c r="AU440" s="640"/>
      <c r="AV440" s="640"/>
    </row>
    <row r="441" spans="1:48" ht="21.75" thickBot="1">
      <c r="A441" s="788" t="s">
        <v>970</v>
      </c>
      <c r="B441" s="649" t="s">
        <v>353</v>
      </c>
      <c r="C441" s="64" t="s">
        <v>349</v>
      </c>
      <c r="D441" s="630" t="s">
        <v>353</v>
      </c>
      <c r="E441" s="61" t="s">
        <v>349</v>
      </c>
      <c r="F441" s="630" t="s">
        <v>353</v>
      </c>
      <c r="G441" s="70" t="s">
        <v>349</v>
      </c>
      <c r="H441" s="641"/>
      <c r="I441" s="641"/>
      <c r="J441" s="642"/>
      <c r="K441" s="641"/>
      <c r="L441" s="641"/>
      <c r="M441" s="641"/>
      <c r="N441" s="641"/>
      <c r="O441" s="641"/>
      <c r="P441" s="641"/>
      <c r="Q441" s="643"/>
      <c r="R441" s="641"/>
      <c r="S441" s="643"/>
      <c r="T441" s="643"/>
      <c r="U441" s="766"/>
      <c r="V441" s="643"/>
      <c r="W441" s="643"/>
      <c r="X441" s="787"/>
      <c r="Y441" s="643"/>
      <c r="Z441" s="766"/>
      <c r="AA441" s="787"/>
      <c r="AB441" s="641"/>
      <c r="AC441" s="641"/>
      <c r="AD441" s="641"/>
      <c r="AE441" s="641"/>
      <c r="AF441" s="643"/>
      <c r="AG441" s="643"/>
      <c r="AH441" s="643"/>
      <c r="AI441" s="643"/>
      <c r="AJ441" s="643"/>
      <c r="AK441" s="643"/>
      <c r="AL441" s="644"/>
      <c r="AM441" s="644"/>
      <c r="AN441" s="644"/>
      <c r="AO441" s="644"/>
      <c r="AP441" s="644"/>
      <c r="AQ441" s="644"/>
      <c r="AR441" s="644"/>
      <c r="AS441" s="644"/>
      <c r="AT441" s="644"/>
      <c r="AU441" s="644"/>
      <c r="AV441" s="644"/>
    </row>
    <row r="442" spans="1:48">
      <c r="A442" s="301" t="s">
        <v>476</v>
      </c>
      <c r="B442" s="650">
        <f>SUM(J442+K442+L442+M442+N442+S442+V442+W442+X442+AA442+AI442+AJ442+AM442+AN442+AP442+AQ442+AS442+AT442+AU442+AV442)+149</f>
        <v>159</v>
      </c>
      <c r="C442" s="651">
        <f>B442</f>
        <v>159</v>
      </c>
      <c r="D442" s="645">
        <f>SUM(T442+U442+Y442+Z442+AK442+AL442+AO442+AR442)+15</f>
        <v>19</v>
      </c>
      <c r="E442" s="355">
        <f>SUM(U442+T442+Z442+Y442+AL442+AK442+AO442+AR442)+27</f>
        <v>31</v>
      </c>
      <c r="F442" s="631">
        <v>21</v>
      </c>
      <c r="G442" s="358">
        <v>35</v>
      </c>
      <c r="H442" s="494">
        <v>1</v>
      </c>
      <c r="I442" s="494">
        <v>1</v>
      </c>
      <c r="J442" s="303">
        <v>1</v>
      </c>
      <c r="K442" s="338">
        <v>1</v>
      </c>
      <c r="L442" s="302">
        <v>1</v>
      </c>
      <c r="M442" s="303">
        <v>1</v>
      </c>
      <c r="N442" s="338">
        <v>1</v>
      </c>
      <c r="O442" s="494">
        <v>1</v>
      </c>
      <c r="P442" s="533"/>
      <c r="Q442" s="533"/>
      <c r="R442" s="494">
        <v>1</v>
      </c>
      <c r="S442" s="302">
        <v>1</v>
      </c>
      <c r="T442" s="341">
        <v>1</v>
      </c>
      <c r="U442" s="342">
        <v>1</v>
      </c>
      <c r="V442" s="303">
        <v>1</v>
      </c>
      <c r="W442" s="303">
        <v>1</v>
      </c>
      <c r="X442" s="303">
        <v>1</v>
      </c>
      <c r="Y442" s="341">
        <v>1</v>
      </c>
      <c r="Z442" s="342">
        <v>1</v>
      </c>
      <c r="AA442" s="303">
        <v>1</v>
      </c>
      <c r="AB442" s="814">
        <v>1</v>
      </c>
      <c r="AC442" s="819">
        <v>1</v>
      </c>
      <c r="AD442" s="814">
        <v>1</v>
      </c>
      <c r="AE442" s="830"/>
      <c r="AF442" s="814">
        <v>1</v>
      </c>
      <c r="AG442" s="842"/>
      <c r="AH442" s="842"/>
      <c r="AI442" s="303"/>
      <c r="AJ442" s="303"/>
      <c r="AK442" s="424"/>
      <c r="AL442" s="463"/>
      <c r="AM442" s="362"/>
      <c r="AN442" s="362"/>
      <c r="AO442" s="464"/>
      <c r="AP442" s="362"/>
      <c r="AQ442" s="362"/>
      <c r="AR442" s="464"/>
      <c r="AS442" s="362"/>
      <c r="AT442" s="362"/>
      <c r="AU442" s="362"/>
      <c r="AV442" s="362"/>
    </row>
    <row r="443" spans="1:48">
      <c r="A443" s="304" t="s">
        <v>477</v>
      </c>
      <c r="B443" s="652">
        <f>SUM(J443+K443+L443+M443+N443+S443+V443+W443+X443+AA443+AI443+AJ443+AM443+AN443+AP443+AQ443+AS443+AT443+AU443+AV443)+77</f>
        <v>85</v>
      </c>
      <c r="C443" s="653">
        <f t="shared" ref="C443:C445" si="153">B443</f>
        <v>85</v>
      </c>
      <c r="D443" s="646">
        <f>SUM(T443+U443+Y443+Z443+AK443+AL443+AO443+AR443)+6</f>
        <v>9</v>
      </c>
      <c r="E443" s="356">
        <f>SUM(U443+T443+Z443+Y443+AL443+AK443+AO443+AR443)+13</f>
        <v>16</v>
      </c>
      <c r="F443" s="632">
        <v>16</v>
      </c>
      <c r="G443" s="359">
        <v>24</v>
      </c>
      <c r="H443" s="491">
        <v>0</v>
      </c>
      <c r="I443" s="491">
        <v>1</v>
      </c>
      <c r="J443" s="306">
        <v>1</v>
      </c>
      <c r="K443" s="362">
        <v>0</v>
      </c>
      <c r="L443" s="305">
        <v>1</v>
      </c>
      <c r="M443" s="306">
        <v>1</v>
      </c>
      <c r="N443" s="362">
        <v>0</v>
      </c>
      <c r="O443" s="491">
        <v>0</v>
      </c>
      <c r="P443" s="530"/>
      <c r="Q443" s="530"/>
      <c r="R443" s="491">
        <v>0</v>
      </c>
      <c r="S443" s="305">
        <v>1</v>
      </c>
      <c r="T443" s="343">
        <v>1</v>
      </c>
      <c r="U443" s="344">
        <v>1</v>
      </c>
      <c r="V443" s="306">
        <v>1</v>
      </c>
      <c r="W443" s="306">
        <v>1</v>
      </c>
      <c r="X443" s="306">
        <v>1</v>
      </c>
      <c r="Y443" s="344">
        <v>1</v>
      </c>
      <c r="Z443" s="344">
        <v>0</v>
      </c>
      <c r="AA443" s="306">
        <v>1</v>
      </c>
      <c r="AB443" s="815">
        <v>0</v>
      </c>
      <c r="AC443" s="812">
        <v>0</v>
      </c>
      <c r="AD443" s="815">
        <v>0</v>
      </c>
      <c r="AE443" s="817"/>
      <c r="AF443" s="815">
        <v>0</v>
      </c>
      <c r="AG443" s="820"/>
      <c r="AH443" s="820"/>
      <c r="AI443" s="306"/>
      <c r="AJ443" s="306"/>
      <c r="AK443" s="419"/>
      <c r="AL443" s="463"/>
      <c r="AM443" s="362"/>
      <c r="AN443" s="362"/>
      <c r="AO443" s="464"/>
      <c r="AP443" s="362"/>
      <c r="AQ443" s="362"/>
      <c r="AR443" s="464"/>
      <c r="AS443" s="362"/>
      <c r="AT443" s="362"/>
      <c r="AU443" s="362"/>
      <c r="AV443" s="362"/>
    </row>
    <row r="444" spans="1:48">
      <c r="A444" s="304" t="s">
        <v>478</v>
      </c>
      <c r="B444" s="652">
        <f>SUM(J444+K444+L444+M444+N444+S444+V444+W444+X444+AA444+AI444+AJ444+AM444+AN444+AP444+AQ444+AS444+AT444+AU444+AV444)+4</f>
        <v>4</v>
      </c>
      <c r="C444" s="653">
        <f t="shared" si="153"/>
        <v>4</v>
      </c>
      <c r="D444" s="646">
        <f>SUM(T444+U444+Y444+Z444+AK444+AL444+AO444+AR444)</f>
        <v>0</v>
      </c>
      <c r="E444" s="356">
        <f>SUM(U444+T444+Z444+Y444+AL444+AK444+AO444+AR444)</f>
        <v>0</v>
      </c>
      <c r="F444" s="632">
        <v>1</v>
      </c>
      <c r="G444" s="359">
        <v>1</v>
      </c>
      <c r="H444" s="491">
        <v>0</v>
      </c>
      <c r="I444" s="491">
        <v>0</v>
      </c>
      <c r="J444" s="306">
        <v>0</v>
      </c>
      <c r="K444" s="362">
        <v>0</v>
      </c>
      <c r="L444" s="305">
        <v>0</v>
      </c>
      <c r="M444" s="306">
        <v>0</v>
      </c>
      <c r="N444" s="362">
        <v>0</v>
      </c>
      <c r="O444" s="491">
        <v>0</v>
      </c>
      <c r="P444" s="530"/>
      <c r="Q444" s="530"/>
      <c r="R444" s="491">
        <v>0</v>
      </c>
      <c r="S444" s="305">
        <v>0</v>
      </c>
      <c r="T444" s="343">
        <v>0</v>
      </c>
      <c r="U444" s="344">
        <v>0</v>
      </c>
      <c r="V444" s="306">
        <v>0</v>
      </c>
      <c r="W444" s="306">
        <v>0</v>
      </c>
      <c r="X444" s="306">
        <v>0</v>
      </c>
      <c r="Y444" s="344">
        <v>0</v>
      </c>
      <c r="Z444" s="344">
        <v>0</v>
      </c>
      <c r="AA444" s="306">
        <v>0</v>
      </c>
      <c r="AB444" s="815">
        <v>0</v>
      </c>
      <c r="AC444" s="812">
        <v>0</v>
      </c>
      <c r="AD444" s="815">
        <v>0</v>
      </c>
      <c r="AE444" s="817"/>
      <c r="AF444" s="815">
        <v>0</v>
      </c>
      <c r="AG444" s="820"/>
      <c r="AH444" s="820"/>
      <c r="AI444" s="306"/>
      <c r="AJ444" s="306"/>
      <c r="AK444" s="419"/>
      <c r="AL444" s="463"/>
      <c r="AM444" s="362"/>
      <c r="AN444" s="362"/>
      <c r="AO444" s="464"/>
      <c r="AP444" s="362"/>
      <c r="AQ444" s="362"/>
      <c r="AR444" s="464"/>
      <c r="AS444" s="362"/>
      <c r="AT444" s="362"/>
      <c r="AU444" s="362"/>
      <c r="AV444" s="362"/>
    </row>
    <row r="445" spans="1:48" ht="14.95" thickBot="1">
      <c r="A445" s="304" t="s">
        <v>479</v>
      </c>
      <c r="B445" s="654">
        <f>SUM(J445+K445+L445+M445+N445+S445+V445+W445+X445+AA445+AI445+AJ445+AM445+AN445+AP445+AQ445+AS445+AT445+AU445+AV445)+68</f>
        <v>70</v>
      </c>
      <c r="C445" s="655">
        <f t="shared" si="153"/>
        <v>70</v>
      </c>
      <c r="D445" s="647">
        <f>SUM(T445+U445+Y445+Z445+AK445+AL445+AO445+AR445)+9</f>
        <v>10</v>
      </c>
      <c r="E445" s="357">
        <f>SUM(U445+T445+Z445+Y445+AL445+AK445+AO445+AR445)+14</f>
        <v>15</v>
      </c>
      <c r="F445" s="633">
        <v>4</v>
      </c>
      <c r="G445" s="360">
        <v>10</v>
      </c>
      <c r="H445" s="491">
        <v>1</v>
      </c>
      <c r="I445" s="491">
        <v>0</v>
      </c>
      <c r="J445" s="306">
        <v>0</v>
      </c>
      <c r="K445" s="362">
        <v>1</v>
      </c>
      <c r="L445" s="305">
        <v>0</v>
      </c>
      <c r="M445" s="306">
        <v>0</v>
      </c>
      <c r="N445" s="362">
        <v>1</v>
      </c>
      <c r="O445" s="491">
        <v>1</v>
      </c>
      <c r="P445" s="530"/>
      <c r="Q445" s="530"/>
      <c r="R445" s="491">
        <v>1</v>
      </c>
      <c r="S445" s="305">
        <v>0</v>
      </c>
      <c r="T445" s="343">
        <v>0</v>
      </c>
      <c r="U445" s="344">
        <v>0</v>
      </c>
      <c r="V445" s="306">
        <v>0</v>
      </c>
      <c r="W445" s="306">
        <v>0</v>
      </c>
      <c r="X445" s="306">
        <v>0</v>
      </c>
      <c r="Y445" s="344">
        <v>0</v>
      </c>
      <c r="Z445" s="344">
        <v>1</v>
      </c>
      <c r="AA445" s="306">
        <v>0</v>
      </c>
      <c r="AB445" s="815">
        <v>1</v>
      </c>
      <c r="AC445" s="812">
        <v>1</v>
      </c>
      <c r="AD445" s="815">
        <v>1</v>
      </c>
      <c r="AE445" s="817"/>
      <c r="AF445" s="815">
        <v>1</v>
      </c>
      <c r="AG445" s="820"/>
      <c r="AH445" s="820"/>
      <c r="AI445" s="306"/>
      <c r="AJ445" s="306"/>
      <c r="AK445" s="419"/>
      <c r="AL445" s="463"/>
      <c r="AM445" s="362"/>
      <c r="AN445" s="362"/>
      <c r="AO445" s="464"/>
      <c r="AP445" s="362"/>
      <c r="AQ445" s="362"/>
      <c r="AR445" s="464"/>
      <c r="AS445" s="362"/>
      <c r="AT445" s="362"/>
      <c r="AU445" s="362"/>
      <c r="AV445" s="362"/>
    </row>
    <row r="446" spans="1:48" ht="14.95" thickBot="1">
      <c r="A446" s="307" t="s">
        <v>480</v>
      </c>
      <c r="B446" s="656">
        <f t="shared" ref="B446:G446" si="154">SUM(B443+B444*0.5)/B442*100</f>
        <v>54.716981132075468</v>
      </c>
      <c r="C446" s="657">
        <f t="shared" si="154"/>
        <v>54.716981132075468</v>
      </c>
      <c r="D446" s="648">
        <f t="shared" si="154"/>
        <v>47.368421052631575</v>
      </c>
      <c r="E446" s="375">
        <f t="shared" si="154"/>
        <v>51.612903225806448</v>
      </c>
      <c r="F446" s="634">
        <f t="shared" si="154"/>
        <v>78.571428571428569</v>
      </c>
      <c r="G446" s="410">
        <f t="shared" si="154"/>
        <v>70</v>
      </c>
      <c r="H446" s="492"/>
      <c r="I446" s="492"/>
      <c r="J446" s="550"/>
      <c r="K446" s="547"/>
      <c r="L446" s="340"/>
      <c r="M446" s="309"/>
      <c r="N446" s="547"/>
      <c r="O446" s="583"/>
      <c r="P446" s="584"/>
      <c r="Q446" s="584"/>
      <c r="R446" s="583"/>
      <c r="S446" s="340"/>
      <c r="T446" s="308"/>
      <c r="U446" s="403"/>
      <c r="V446" s="310"/>
      <c r="W446" s="311"/>
      <c r="X446" s="309"/>
      <c r="Y446" s="311"/>
      <c r="Z446" s="403"/>
      <c r="AA446" s="309"/>
      <c r="AB446" s="816"/>
      <c r="AC446" s="813"/>
      <c r="AD446" s="816"/>
      <c r="AE446" s="818"/>
      <c r="AF446" s="816"/>
      <c r="AG446" s="821"/>
      <c r="AH446" s="821"/>
      <c r="AI446" s="309"/>
      <c r="AJ446" s="309"/>
      <c r="AK446" s="420"/>
      <c r="AL446" s="463"/>
      <c r="AM446" s="362"/>
      <c r="AN446" s="362"/>
      <c r="AO446" s="464"/>
      <c r="AP446" s="362"/>
      <c r="AQ446" s="362"/>
      <c r="AR446" s="464"/>
      <c r="AS446" s="362"/>
      <c r="AT446" s="362"/>
      <c r="AU446" s="362"/>
      <c r="AV446" s="362"/>
    </row>
    <row r="447" spans="1:48" ht="21.1">
      <c r="A447" s="206" t="s">
        <v>10</v>
      </c>
      <c r="B447" s="205"/>
      <c r="C447" s="34"/>
      <c r="D447" s="76"/>
      <c r="E447" s="34"/>
      <c r="F447" s="34"/>
      <c r="G447" s="34"/>
      <c r="H447" s="28"/>
      <c r="I447" s="28"/>
      <c r="J447" s="28"/>
      <c r="K447" s="28"/>
      <c r="L447" s="28"/>
      <c r="M447" s="28"/>
      <c r="N447" s="28"/>
      <c r="O447" s="28"/>
      <c r="P447" s="34"/>
      <c r="Q447" s="34"/>
      <c r="R447" s="28"/>
      <c r="S447" s="30"/>
      <c r="T447" s="30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3"/>
      <c r="AF447" s="31"/>
      <c r="AG447" s="33"/>
      <c r="AH447" s="33"/>
      <c r="AI447" s="31"/>
      <c r="AJ447" s="31"/>
      <c r="AK447" s="31"/>
      <c r="AL447" s="31"/>
      <c r="AM447" s="31"/>
      <c r="AN447" s="33"/>
      <c r="AO447" s="31"/>
      <c r="AP447" s="31"/>
      <c r="AQ447" s="33"/>
      <c r="AR447" s="31"/>
      <c r="AS447" s="31"/>
      <c r="AT447" s="33"/>
    </row>
    <row r="448" spans="1:48">
      <c r="A448" s="207" t="s">
        <v>1</v>
      </c>
      <c r="B448" s="205"/>
      <c r="C448" s="34"/>
      <c r="D448" s="34"/>
      <c r="E448" s="34"/>
      <c r="F448" s="34" t="str">
        <f>IF(SUMIF($A$4:$A439,$A448,F$4:F439)=0,"",SUMIF($A$4:$A439,$A448,F$4:F439))</f>
        <v/>
      </c>
      <c r="G448" s="34" t="str">
        <f>IF(SUMIF($A$4:$A439,$A448,G$4:G439)=0,"",SUMIF($A$4:$A439,$A448,G$4:G439))</f>
        <v/>
      </c>
      <c r="H448" s="28">
        <f>IF(SUMIF($A$4:$A439,$A448,H$4:H439)=0,"",SUMIF($A$4:$A439,$A448,H$4:H439))</f>
        <v>15</v>
      </c>
      <c r="I448" s="28">
        <f>IF(SUMIF($A$4:$A439,$A448,I$4:I439)=0,"",SUMIF($A$4:$A439,$A448,I$4:I439))</f>
        <v>15</v>
      </c>
      <c r="J448" s="28">
        <f>IF(SUMIF($A$4:$A439,$A448,J$4:J439)=0,"",SUMIF($A$4:$A439,$A448,J$4:J439))</f>
        <v>15</v>
      </c>
      <c r="K448" s="28">
        <f>IF(SUMIF($A$4:$A439,$A448,K$4:K439)=0,"",SUMIF($A$4:$A439,$A448,K$4:K439))</f>
        <v>15</v>
      </c>
      <c r="L448" s="28">
        <f>IF(SUMIF($A$4:$A439,$A448,L$4:L439)=0,"",SUMIF($A$4:$A439,$A448,L$4:L439))</f>
        <v>15</v>
      </c>
      <c r="M448" s="28">
        <f>IF(SUMIF($A$4:$A439,$A448,M$4:M439)=0,"",SUMIF($A$4:$A439,$A448,M$4:M439))</f>
        <v>15</v>
      </c>
      <c r="N448" s="28">
        <f>IF(SUMIF($A$4:$A439,$A448,N$4:N439)=0,"",SUMIF($A$4:$A439,$A448,N$4:N439))</f>
        <v>15</v>
      </c>
      <c r="O448" s="28">
        <f>IF(SUMIF($A$4:$A439,$A448,O$4:O439)=0,"",SUMIF($A$4:$A439,$A448,O$4:O439))</f>
        <v>14</v>
      </c>
      <c r="P448" s="34"/>
      <c r="Q448" s="34" t="str">
        <f>IF(SUMIF($A$4:$A439,$A448,Q$4:Q439)=0,"",SUMIF($A$4:$A439,$A448,Q$4:Q439))</f>
        <v/>
      </c>
      <c r="R448" s="28">
        <f>IF(SUMIF($A$4:$A439,$A448,R$4:R439)=0,"",SUMIF($A$4:$A439,$A448,R$4:R439))</f>
        <v>15</v>
      </c>
      <c r="S448" s="28">
        <f>IF(SUMIF($A$4:$A439,$A448,S$4:S439)=0,"",SUMIF($A$4:$A439,$A448,S$4:S439))</f>
        <v>15</v>
      </c>
      <c r="T448" s="28">
        <f>IF(SUMIF($A$4:$A439,$A448,T$4:T439)=0,"",SUMIF($A$4:$A439,$A448,T$4:T439))</f>
        <v>15</v>
      </c>
      <c r="U448" s="28">
        <f>IF(SUMIF($A$4:$A439,$A448,U$4:U439)=0,"",SUMIF($A$4:$A439,$A448,U$4:U439))</f>
        <v>15</v>
      </c>
      <c r="V448" s="28">
        <f>IF(SUMIF($A$4:$A439,$A448,V$4:V439)=0,"",SUMIF($A$4:$A439,$A448,V$4:V439))</f>
        <v>15</v>
      </c>
      <c r="W448" s="28">
        <f>IF(SUMIF($A$4:$A439,$A448,W$4:W439)=0,"",SUMIF($A$4:$A439,$A448,W$4:W439))</f>
        <v>15</v>
      </c>
      <c r="X448" s="28">
        <f>IF(SUMIF($A$4:$A439,$A448,X$4:X439)=0,"",SUMIF($A$4:$A439,$A448,X$4:X439))</f>
        <v>15</v>
      </c>
      <c r="Y448" s="28">
        <f>IF(SUMIF($A$4:$A439,$A448,Y$4:Y439)=0,"",SUMIF($A$4:$A439,$A448,Y$4:Y439))</f>
        <v>15</v>
      </c>
      <c r="Z448" s="28">
        <f>IF(SUMIF($A$4:$A439,$A448,Z$4:Z439)=0,"",SUMIF($A$4:$A439,$A448,Z$4:Z439))</f>
        <v>15</v>
      </c>
      <c r="AA448" s="28">
        <f>IF(SUMIF($A$4:$A439,$A448,AA$4:AA439)=0,"",SUMIF($A$4:$A439,$A448,AA$4:AA439))</f>
        <v>15</v>
      </c>
      <c r="AB448" s="28">
        <f>IF(SUMIF($A$4:$A439,$A448,AB$4:AB439)=0,"",SUMIF($A$4:$A439,$A448,AB$4:AB439))</f>
        <v>15</v>
      </c>
      <c r="AC448" s="28">
        <f>IF(SUMIF($A$4:$A439,$A448,AC$4:AC439)=0,"",SUMIF($A$4:$A439,$A448,AC$4:AC439))</f>
        <v>15</v>
      </c>
      <c r="AD448" s="28">
        <f>IF(SUMIF($A$4:$A439,$A448,AD$4:AD439)=0,"",SUMIF($A$4:$A439,$A448,AD$4:AD439))</f>
        <v>15</v>
      </c>
      <c r="AE448" s="34" t="str">
        <f>IF(SUMIF($A$4:$A439,$A448,AE$4:AE439)=0,"",SUMIF($A$4:$A439,$A448,AE$4:AE439))</f>
        <v/>
      </c>
      <c r="AF448" s="28">
        <f>IF(SUMIF($A$4:$A439,$A448,AF$4:AF439)=0,"",SUMIF($A$4:$A439,$A448,AF$4:AF439))</f>
        <v>15</v>
      </c>
      <c r="AG448" s="34" t="str">
        <f>IF(SUMIF($A$4:$A439,$A448,AG$4:AG439)=0,"",SUMIF($A$4:$A439,$A448,AG$4:AG439))</f>
        <v/>
      </c>
      <c r="AH448" s="34" t="str">
        <f>IF(SUMIF($A$4:$A439,$A448,AH$4:AH439)=0,"",SUMIF($A$4:$A439,$A448,AH$4:AH439))</f>
        <v/>
      </c>
      <c r="AI448" s="28" t="str">
        <f>IF(SUMIF($A$4:$A439,$A448,AI$4:AI439)=0,"",SUMIF($A$4:$A439,$A448,AI$4:AI439))</f>
        <v/>
      </c>
      <c r="AJ448" s="28" t="str">
        <f>IF(SUMIF($A$4:$A439,$A448,AJ$4:AJ439)=0,"",SUMIF($A$4:$A439,$A448,AJ$4:AJ439))</f>
        <v/>
      </c>
      <c r="AK448" s="28" t="str">
        <f>IF(SUMIF($A$4:$A439,$A448,AK$4:AK439)=0,"",SUMIF($A$4:$A439,$A448,AK$4:AK439))</f>
        <v/>
      </c>
      <c r="AL448" s="28" t="str">
        <f>IF(SUMIF($A$4:$A439,$A448,AL$4:AL439)=0,"",SUMIF($A$4:$A439,$A448,AL$4:AL439))</f>
        <v/>
      </c>
      <c r="AM448" s="28" t="str">
        <f>IF(SUMIF($A$4:$A439,$A448,AM$4:AM439)=0,"",SUMIF($A$4:$A439,$A448,AM$4:AM439))</f>
        <v/>
      </c>
      <c r="AN448" s="34" t="str">
        <f>IF(SUMIF($A$4:$A439,$A448,AN$4:AN439)=0,"",SUMIF($A$4:$A439,$A448,AN$4:AN439))</f>
        <v/>
      </c>
      <c r="AO448" s="28" t="str">
        <f>IF(SUMIF($A$4:$A439,$A448,AO$4:AO439)=0,"",SUMIF($A$4:$A439,$A448,AO$4:AO439))</f>
        <v/>
      </c>
      <c r="AP448" s="28" t="str">
        <f>IF(SUMIF($A$4:$A439,$A448,AP$4:AP439)=0,"",SUMIF($A$4:$A439,$A448,AP$4:AP439))</f>
        <v/>
      </c>
      <c r="AQ448" s="34" t="str">
        <f>IF(SUMIF($A$4:$A439,$A448,AQ$4:AQ439)=0,"",SUMIF($A$4:$A439,$A448,AQ$4:AQ439))</f>
        <v/>
      </c>
      <c r="AR448" s="28" t="str">
        <f>IF(SUMIF($A$4:$A439,$A448,AR$4:AR439)=0,"",SUMIF($A$4:$A439,$A448,AR$4:AR439))</f>
        <v/>
      </c>
      <c r="AS448" s="28" t="str">
        <f>IF(SUMIF($A$4:$A439,$A448,AS$4:AS439)=0,"",SUMIF($A$4:$A439,$A448,AS$4:AS439))</f>
        <v/>
      </c>
      <c r="AT448" s="34" t="str">
        <f>IF(SUMIF($A$4:$A439,$A448,AT$4:AT439)=0,"",SUMIF($A$4:$A439,$A448,AT$4:AT439))</f>
        <v/>
      </c>
    </row>
    <row r="449" spans="1:46">
      <c r="A449" s="207" t="s">
        <v>2</v>
      </c>
      <c r="B449" s="205"/>
      <c r="C449" s="34"/>
      <c r="D449" s="34"/>
      <c r="E449" s="34"/>
      <c r="F449" s="34" t="str">
        <f>IF(SUMIF($A$4:$A447,$A449,F$4:F447)=0,"",SUMIF($A$4:$A447,$A449,F$4:F447))</f>
        <v/>
      </c>
      <c r="G449" s="34" t="str">
        <f>IF(SUMIF($A$4:$A447,$A449,G$4:G447)=0,"",SUMIF($A$4:$A447,$A449,G$4:G447))</f>
        <v/>
      </c>
      <c r="H449" s="28">
        <f>IF(SUMIF($A$4:$A447,$A449,H$4:H447)=0,"",SUMIF($A$4:$A447,$A449,H$4:H447))</f>
        <v>8</v>
      </c>
      <c r="I449" s="28">
        <f>IF(SUMIF($A$4:$A447,$A449,I$4:I447)=0,"",SUMIF($A$4:$A447,$A449,I$4:I447))</f>
        <v>8</v>
      </c>
      <c r="J449" s="28">
        <f>IF(SUMIF($A$4:$A447,$A449,J$4:J447)=0,"",SUMIF($A$4:$A447,$A449,J$4:J447))</f>
        <v>8</v>
      </c>
      <c r="K449" s="28">
        <f>IF(SUMIF($A$4:$A447,$A449,K$4:K447)=0,"",SUMIF($A$4:$A447,$A449,K$4:K447))</f>
        <v>8</v>
      </c>
      <c r="L449" s="28">
        <f>IF(SUMIF($A$4:$A447,$A449,L$4:L447)=0,"",SUMIF($A$4:$A447,$A449,L$4:L447))</f>
        <v>7</v>
      </c>
      <c r="M449" s="28">
        <f>IF(SUMIF($A$4:$A447,$A449,M$4:M447)=0,"",SUMIF($A$4:$A447,$A449,M$4:M447))</f>
        <v>8</v>
      </c>
      <c r="N449" s="28">
        <f>IF(SUMIF($A$4:$A447,$A449,N$4:N447)=0,"",SUMIF($A$4:$A447,$A449,N$4:N447))</f>
        <v>6</v>
      </c>
      <c r="O449" s="28">
        <f>IF(SUMIF($A$4:$A447,$A449,O$4:O447)=0,"",SUMIF($A$4:$A447,$A449,O$4:O447))</f>
        <v>8</v>
      </c>
      <c r="P449" s="34"/>
      <c r="Q449" s="34" t="str">
        <f>IF(SUMIF($A$4:$A447,$A449,Q$4:Q447)=0,"",SUMIF($A$4:$A447,$A449,Q$4:Q447))</f>
        <v/>
      </c>
      <c r="R449" s="28">
        <f>IF(SUMIF($A$4:$A447,$A449,R$4:R447)=0,"",SUMIF($A$4:$A447,$A449,R$4:R447))</f>
        <v>8</v>
      </c>
      <c r="S449" s="28">
        <f>IF(SUMIF($A$4:$A447,$A449,S$4:S447)=0,"",SUMIF($A$4:$A447,$A449,S$4:S447))</f>
        <v>8</v>
      </c>
      <c r="T449" s="28">
        <f>IF(SUMIF($A$4:$A447,$A449,T$4:T447)=0,"",SUMIF($A$4:$A447,$A449,T$4:T447))</f>
        <v>7</v>
      </c>
      <c r="U449" s="28">
        <f>IF(SUMIF($A$4:$A447,$A449,U$4:U447)=0,"",SUMIF($A$4:$A447,$A449,U$4:U447))</f>
        <v>8</v>
      </c>
      <c r="V449" s="28">
        <f>IF(SUMIF($A$4:$A447,$A449,V$4:V447)=0,"",SUMIF($A$4:$A447,$A449,V$4:V447))</f>
        <v>8</v>
      </c>
      <c r="W449" s="28">
        <f>IF(SUMIF($A$4:$A447,$A449,W$4:W447)=0,"",SUMIF($A$4:$A447,$A449,W$4:W447))</f>
        <v>8</v>
      </c>
      <c r="X449" s="28">
        <f>IF(SUMIF($A$4:$A447,$A449,X$4:X447)=0,"",SUMIF($A$4:$A447,$A449,X$4:X447))</f>
        <v>7</v>
      </c>
      <c r="Y449" s="28">
        <f>IF(SUMIF($A$4:$A447,$A449,Y$4:Y447)=0,"",SUMIF($A$4:$A447,$A449,Y$4:Y447))</f>
        <v>8</v>
      </c>
      <c r="Z449" s="28">
        <f>IF(SUMIF($A$4:$A447,$A449,Z$4:Z447)=0,"",SUMIF($A$4:$A447,$A449,Z$4:Z447))</f>
        <v>6</v>
      </c>
      <c r="AA449" s="28">
        <f>IF(SUMIF($A$4:$A447,$A449,AA$4:AA447)=0,"",SUMIF($A$4:$A447,$A449,AA$4:AA447))</f>
        <v>6</v>
      </c>
      <c r="AB449" s="28">
        <f>IF(SUMIF($A$4:$A447,$A449,AB$4:AB447)=0,"",SUMIF($A$4:$A447,$A449,AB$4:AB447))</f>
        <v>2</v>
      </c>
      <c r="AC449" s="28">
        <f>IF(SUMIF($A$4:$A447,$A449,AC$4:AC447)=0,"",SUMIF($A$4:$A447,$A449,AC$4:AC447))</f>
        <v>8</v>
      </c>
      <c r="AD449" s="28">
        <f>IF(SUMIF($A$4:$A447,$A449,AD$4:AD447)=0,"",SUMIF($A$4:$A447,$A449,AD$4:AD447))</f>
        <v>4</v>
      </c>
      <c r="AE449" s="34" t="str">
        <f>IF(SUMIF($A$4:$A447,$A449,AE$4:AE447)=0,"",SUMIF($A$4:$A447,$A449,AE$4:AE447))</f>
        <v/>
      </c>
      <c r="AF449" s="28">
        <f>IF(SUMIF($A$4:$A447,$A449,AF$4:AF447)=0,"",SUMIF($A$4:$A447,$A449,AF$4:AF447))</f>
        <v>8</v>
      </c>
      <c r="AG449" s="34" t="str">
        <f>IF(SUMIF($A$4:$A447,$A449,AG$4:AG447)=0,"",SUMIF($A$4:$A447,$A449,AG$4:AG447))</f>
        <v/>
      </c>
      <c r="AH449" s="34" t="str">
        <f>IF(SUMIF($A$4:$A447,$A449,AH$4:AH447)=0,"",SUMIF($A$4:$A447,$A449,AH$4:AH447))</f>
        <v/>
      </c>
      <c r="AI449" s="28" t="str">
        <f>IF(SUMIF($A$4:$A447,$A449,AI$4:AI447)=0,"",SUMIF($A$4:$A447,$A449,AI$4:AI447))</f>
        <v/>
      </c>
      <c r="AJ449" s="28" t="str">
        <f>IF(SUMIF($A$4:$A447,$A449,AJ$4:AJ447)=0,"",SUMIF($A$4:$A447,$A449,AJ$4:AJ447))</f>
        <v/>
      </c>
      <c r="AK449" s="28" t="str">
        <f>IF(SUMIF($A$4:$A447,$A449,AK$4:AK447)=0,"",SUMIF($A$4:$A447,$A449,AK$4:AK447))</f>
        <v/>
      </c>
      <c r="AL449" s="28" t="str">
        <f>IF(SUMIF($A$4:$A447,$A449,AL$4:AL447)=0,"",SUMIF($A$4:$A447,$A449,AL$4:AL447))</f>
        <v/>
      </c>
      <c r="AM449" s="28" t="str">
        <f>IF(SUMIF($A$4:$A447,$A449,AM$4:AM447)=0,"",SUMIF($A$4:$A447,$A449,AM$4:AM447))</f>
        <v/>
      </c>
      <c r="AN449" s="34" t="str">
        <f>IF(SUMIF($A$4:$A447,$A449,AN$4:AN447)=0,"",SUMIF($A$4:$A447,$A449,AN$4:AN447))</f>
        <v/>
      </c>
      <c r="AO449" s="28" t="str">
        <f>IF(SUMIF($A$4:$A447,$A449,AO$4:AO447)=0,"",SUMIF($A$4:$A447,$A449,AO$4:AO447))</f>
        <v/>
      </c>
      <c r="AP449" s="28" t="str">
        <f>IF(SUMIF($A$4:$A447,$A449,AP$4:AP447)=0,"",SUMIF($A$4:$A447,$A449,AP$4:AP447))</f>
        <v/>
      </c>
      <c r="AQ449" s="34" t="str">
        <f>IF(SUMIF($A$4:$A447,$A449,AQ$4:AQ447)=0,"",SUMIF($A$4:$A447,$A449,AQ$4:AQ447))</f>
        <v/>
      </c>
      <c r="AR449" s="28" t="str">
        <f>IF(SUMIF($A$4:$A447,$A449,AR$4:AR447)=0,"",SUMIF($A$4:$A447,$A449,AR$4:AR447))</f>
        <v/>
      </c>
      <c r="AS449" s="28" t="str">
        <f>IF(SUMIF($A$4:$A447,$A449,AS$4:AS447)=0,"",SUMIF($A$4:$A447,$A449,AS$4:AS447))</f>
        <v/>
      </c>
      <c r="AT449" s="34" t="str">
        <f>IF(SUMIF($A$4:$A447,$A449,AT$4:AT447)=0,"",SUMIF($A$4:$A447,$A449,AT$4:AT447))</f>
        <v/>
      </c>
    </row>
    <row r="450" spans="1:46">
      <c r="A450" s="207" t="s">
        <v>3</v>
      </c>
      <c r="B450" s="205"/>
      <c r="C450" s="34"/>
      <c r="D450" s="34"/>
      <c r="E450" s="34"/>
      <c r="F450" s="34" t="str">
        <f>IF(SUMIF($A$4:$A448,$A450,F$4:F448)=0,"",SUMIF($A$4:$A448,$A450,F$4:F448))</f>
        <v/>
      </c>
      <c r="G450" s="34" t="str">
        <f>IF(SUMIF($A$4:$A448,$A450,G$4:G448)=0,"",SUMIF($A$4:$A448,$A450,G$4:G448))</f>
        <v/>
      </c>
      <c r="H450" s="28">
        <f>IF(SUMIF($A$4:$A448,$A450,H$4:H448)=0,"",SUMIF($A$4:$A448,$A450,H$4:H448))</f>
        <v>2</v>
      </c>
      <c r="I450" s="28">
        <f>IF(SUMIF($A$4:$A448,$A450,I$4:I448)=0,"",SUMIF($A$4:$A448,$A450,I$4:I448))</f>
        <v>6</v>
      </c>
      <c r="J450" s="28">
        <f>IF(SUMIF($A$4:$A448,$A450,J$4:J448)=0,"",SUMIF($A$4:$A448,$A450,J$4:J448))</f>
        <v>5</v>
      </c>
      <c r="K450" s="28">
        <f>IF(SUMIF($A$4:$A448,$A450,K$4:K448)=0,"",SUMIF($A$4:$A448,$A450,K$4:K448))</f>
        <v>3</v>
      </c>
      <c r="L450" s="28">
        <f>IF(SUMIF($A$4:$A448,$A450,L$4:L448)=0,"",SUMIF($A$4:$A448,$A450,L$4:L448))</f>
        <v>2</v>
      </c>
      <c r="M450" s="28">
        <f>IF(SUMIF($A$4:$A448,$A450,M$4:M448)=0,"",SUMIF($A$4:$A448,$A450,M$4:M448))</f>
        <v>7</v>
      </c>
      <c r="N450" s="28">
        <f>IF(SUMIF($A$4:$A448,$A450,N$4:N448)=0,"",SUMIF($A$4:$A448,$A450,N$4:N448))</f>
        <v>2</v>
      </c>
      <c r="O450" s="28">
        <f>IF(SUMIF($A$4:$A448,$A450,O$4:O448)=0,"",SUMIF($A$4:$A448,$A450,O$4:O448))</f>
        <v>3</v>
      </c>
      <c r="P450" s="34"/>
      <c r="Q450" s="34" t="str">
        <f>IF(SUMIF($A$4:$A448,$A450,Q$4:Q448)=0,"",SUMIF($A$4:$A448,$A450,Q$4:Q448))</f>
        <v/>
      </c>
      <c r="R450" s="28">
        <f>IF(SUMIF($A$4:$A448,$A450,R$4:R448)=0,"",SUMIF($A$4:$A448,$A450,R$4:R448))</f>
        <v>2</v>
      </c>
      <c r="S450" s="28">
        <f>IF(SUMIF($A$4:$A448,$A450,S$4:S448)=0,"",SUMIF($A$4:$A448,$A450,S$4:S448))</f>
        <v>6</v>
      </c>
      <c r="T450" s="28">
        <f>IF(SUMIF($A$4:$A448,$A450,T$4:T448)=0,"",SUMIF($A$4:$A448,$A450,T$4:T448))</f>
        <v>3</v>
      </c>
      <c r="U450" s="28">
        <f>IF(SUMIF($A$4:$A448,$A450,U$4:U448)=0,"",SUMIF($A$4:$A448,$A450,U$4:U448))</f>
        <v>9</v>
      </c>
      <c r="V450" s="28">
        <f>IF(SUMIF($A$4:$A448,$A450,V$4:V448)=0,"",SUMIF($A$4:$A448,$A450,V$4:V448))</f>
        <v>6</v>
      </c>
      <c r="W450" s="28">
        <f>IF(SUMIF($A$4:$A448,$A450,W$4:W448)=0,"",SUMIF($A$4:$A448,$A450,W$4:W448))</f>
        <v>6</v>
      </c>
      <c r="X450" s="28">
        <f>IF(SUMIF($A$4:$A448,$A450,X$4:X448)=0,"",SUMIF($A$4:$A448,$A450,X$4:X448))</f>
        <v>3</v>
      </c>
      <c r="Y450" s="28">
        <f>IF(SUMIF($A$4:$A448,$A450,Y$4:Y448)=0,"",SUMIF($A$4:$A448,$A450,Y$4:Y448))</f>
        <v>9</v>
      </c>
      <c r="Z450" s="28">
        <f>IF(SUMIF($A$4:$A448,$A450,Z$4:Z448)=0,"",SUMIF($A$4:$A448,$A450,Z$4:Z448))</f>
        <v>2</v>
      </c>
      <c r="AA450" s="28">
        <f>IF(SUMIF($A$4:$A448,$A450,AA$4:AA448)=0,"",SUMIF($A$4:$A448,$A450,AA$4:AA448))</f>
        <v>1</v>
      </c>
      <c r="AB450" s="28">
        <f>IF(SUMIF($A$4:$A448,$A450,AB$4:AB448)=0,"",SUMIF($A$4:$A448,$A450,AB$4:AB448))</f>
        <v>1</v>
      </c>
      <c r="AC450" s="28">
        <f>IF(SUMIF($A$4:$A448,$A450,AC$4:AC448)=0,"",SUMIF($A$4:$A448,$A450,AC$4:AC448))</f>
        <v>5</v>
      </c>
      <c r="AD450" s="28">
        <f>IF(SUMIF($A$4:$A448,$A450,AD$4:AD448)=0,"",SUMIF($A$4:$A448,$A450,AD$4:AD448))</f>
        <v>3</v>
      </c>
      <c r="AE450" s="34" t="str">
        <f>IF(SUMIF($A$4:$A448,$A450,AE$4:AE448)=0,"",SUMIF($A$4:$A448,$A450,AE$4:AE448))</f>
        <v/>
      </c>
      <c r="AF450" s="28">
        <f>IF(SUMIF($A$4:$A448,$A450,AF$4:AF448)=0,"",SUMIF($A$4:$A448,$A450,AF$4:AF448))</f>
        <v>6</v>
      </c>
      <c r="AG450" s="34" t="str">
        <f>IF(SUMIF($A$4:$A448,$A450,AG$4:AG448)=0,"",SUMIF($A$4:$A448,$A450,AG$4:AG448))</f>
        <v/>
      </c>
      <c r="AH450" s="34" t="str">
        <f>IF(SUMIF($A$4:$A448,$A450,AH$4:AH448)=0,"",SUMIF($A$4:$A448,$A450,AH$4:AH448))</f>
        <v/>
      </c>
      <c r="AI450" s="28" t="str">
        <f>IF(SUMIF($A$4:$A448,$A450,AI$4:AI448)=0,"",SUMIF($A$4:$A448,$A450,AI$4:AI448))</f>
        <v/>
      </c>
      <c r="AJ450" s="28" t="str">
        <f>IF(SUMIF($A$4:$A448,$A450,AJ$4:AJ448)=0,"",SUMIF($A$4:$A448,$A450,AJ$4:AJ448))</f>
        <v/>
      </c>
      <c r="AK450" s="28" t="str">
        <f>IF(SUMIF($A$4:$A448,$A450,AK$4:AK448)=0,"",SUMIF($A$4:$A448,$A450,AK$4:AK448))</f>
        <v/>
      </c>
      <c r="AL450" s="28" t="str">
        <f>IF(SUMIF($A$4:$A448,$A450,AL$4:AL448)=0,"",SUMIF($A$4:$A448,$A450,AL$4:AL448))</f>
        <v/>
      </c>
      <c r="AM450" s="28" t="str">
        <f>IF(SUMIF($A$4:$A448,$A450,AM$4:AM448)=0,"",SUMIF($A$4:$A448,$A450,AM$4:AM448))</f>
        <v/>
      </c>
      <c r="AN450" s="34" t="str">
        <f>IF(SUMIF($A$4:$A448,$A450,AN$4:AN448)=0,"",SUMIF($A$4:$A448,$A450,AN$4:AN448))</f>
        <v/>
      </c>
      <c r="AO450" s="28" t="str">
        <f>IF(SUMIF($A$4:$A448,$A450,AO$4:AO448)=0,"",SUMIF($A$4:$A448,$A450,AO$4:AO448))</f>
        <v/>
      </c>
      <c r="AP450" s="28" t="str">
        <f>IF(SUMIF($A$4:$A448,$A450,AP$4:AP448)=0,"",SUMIF($A$4:$A448,$A450,AP$4:AP448))</f>
        <v/>
      </c>
      <c r="AQ450" s="34" t="str">
        <f>IF(SUMIF($A$4:$A448,$A450,AQ$4:AQ448)=0,"",SUMIF($A$4:$A448,$A450,AQ$4:AQ448))</f>
        <v/>
      </c>
      <c r="AR450" s="28" t="str">
        <f>IF(SUMIF($A$4:$A448,$A450,AR$4:AR448)=0,"",SUMIF($A$4:$A448,$A450,AR$4:AR448))</f>
        <v/>
      </c>
      <c r="AS450" s="28" t="str">
        <f>IF(SUMIF($A$4:$A448,$A450,AS$4:AS448)=0,"",SUMIF($A$4:$A448,$A450,AS$4:AS448))</f>
        <v/>
      </c>
      <c r="AT450" s="34" t="str">
        <f>IF(SUMIF($A$4:$A448,$A450,AT$4:AT448)=0,"",SUMIF($A$4:$A448,$A450,AT$4:AT448))</f>
        <v/>
      </c>
    </row>
    <row r="451" spans="1:46" ht="14.95" thickBot="1">
      <c r="A451" s="208" t="s">
        <v>4</v>
      </c>
      <c r="B451" s="72"/>
      <c r="C451" s="37"/>
      <c r="D451" s="37"/>
      <c r="E451" s="37"/>
      <c r="F451" s="37" t="str">
        <f>IF(SUMIF($A$4:$A449,$A451,F$4:F449)=0,"",SUMIF($A$4:$A449,$A451,F$4:F449))</f>
        <v/>
      </c>
      <c r="G451" s="37" t="str">
        <f>IF(SUMIF($A$4:$A449,$A451,G$4:G449)=0,"",SUMIF($A$4:$A449,$A451,G$4:G449))</f>
        <v/>
      </c>
      <c r="H451" s="36">
        <f>IF(SUMIF($A$4:$A449,$A451,H$4:H449)=0,"",SUMIF($A$4:$A449,$A451,H$4:H449))</f>
        <v>15</v>
      </c>
      <c r="I451" s="36">
        <f>IF(SUMIF($A$4:$A449,$A451,I$4:I449)=0,"",SUMIF($A$4:$A449,$A451,I$4:I449))</f>
        <v>40</v>
      </c>
      <c r="J451" s="36">
        <f>IF(SUMIF($A$4:$A449,$A451,J$4:J449)=0,"",SUMIF($A$4:$A449,$A451,J$4:J449))</f>
        <v>42</v>
      </c>
      <c r="K451" s="36">
        <f>IF(SUMIF($A$4:$A449,$A451,K$4:K449)=0,"",SUMIF($A$4:$A449,$A451,K$4:K449))</f>
        <v>17</v>
      </c>
      <c r="L451" s="36">
        <f>IF(SUMIF($A$4:$A449,$A451,L$4:L449)=0,"",SUMIF($A$4:$A449,$A451,L$4:L449))</f>
        <v>18</v>
      </c>
      <c r="M451" s="36">
        <f>IF(SUMIF($A$4:$A449,$A451,M$4:M449)=0,"",SUMIF($A$4:$A449,$A451,M$4:M449))</f>
        <v>49</v>
      </c>
      <c r="N451" s="36">
        <f>IF(SUMIF($A$4:$A449,$A451,N$4:N449)=0,"",SUMIF($A$4:$A449,$A451,N$4:N449))</f>
        <v>15</v>
      </c>
      <c r="O451" s="36">
        <f>IF(SUMIF($A$4:$A449,$A451,O$4:O449)=0,"",SUMIF($A$4:$A449,$A451,O$4:O449))</f>
        <v>19</v>
      </c>
      <c r="P451" s="37"/>
      <c r="Q451" s="37" t="str">
        <f>IF(SUMIF($A$4:$A449,$A451,Q$4:Q449)=0,"",SUMIF($A$4:$A449,$A451,Q$4:Q449))</f>
        <v/>
      </c>
      <c r="R451" s="36">
        <f>IF(SUMIF($A$4:$A449,$A451,R$4:R449)=0,"",SUMIF($A$4:$A449,$A451,R$4:R449))</f>
        <v>17</v>
      </c>
      <c r="S451" s="36">
        <f>IF(SUMIF($A$4:$A449,$A451,S$4:S449)=0,"",SUMIF($A$4:$A449,$A451,S$4:S449))</f>
        <v>46</v>
      </c>
      <c r="T451" s="36">
        <f>IF(SUMIF($A$4:$A449,$A451,T$4:T449)=0,"",SUMIF($A$4:$A449,$A451,T$4:T449))</f>
        <v>17</v>
      </c>
      <c r="U451" s="36">
        <f>IF(SUMIF($A$4:$A449,$A451,U$4:U449)=0,"",SUMIF($A$4:$A449,$A451,U$4:U449))</f>
        <v>61</v>
      </c>
      <c r="V451" s="36">
        <f>IF(SUMIF($A$4:$A449,$A451,V$4:V449)=0,"",SUMIF($A$4:$A449,$A451,V$4:V449))</f>
        <v>40</v>
      </c>
      <c r="W451" s="36">
        <f>IF(SUMIF($A$4:$A449,$A451,W$4:W449)=0,"",SUMIF($A$4:$A449,$A451,W$4:W449))</f>
        <v>36</v>
      </c>
      <c r="X451" s="36">
        <f>IF(SUMIF($A$4:$A449,$A451,X$4:X449)=0,"",SUMIF($A$4:$A449,$A451,X$4:X449))</f>
        <v>19</v>
      </c>
      <c r="Y451" s="36">
        <f>IF(SUMIF($A$4:$A449,$A451,Y$4:Y449)=0,"",SUMIF($A$4:$A449,$A451,Y$4:Y449))</f>
        <v>61</v>
      </c>
      <c r="Z451" s="36">
        <f>IF(SUMIF($A$4:$A449,$A451,Z$4:Z449)=0,"",SUMIF($A$4:$A449,$A451,Z$4:Z449))</f>
        <v>15</v>
      </c>
      <c r="AA451" s="36">
        <f>IF(SUMIF($A$4:$A449,$A451,AA$4:AA449)=0,"",SUMIF($A$4:$A449,$A451,AA$4:AA449))</f>
        <v>8</v>
      </c>
      <c r="AB451" s="36">
        <f>IF(SUMIF($A$4:$A449,$A451,AB$4:AB449)=0,"",SUMIF($A$4:$A449,$A451,AB$4:AB449))</f>
        <v>8</v>
      </c>
      <c r="AC451" s="36">
        <f>IF(SUMIF($A$4:$A449,$A451,AC$4:AC449)=0,"",SUMIF($A$4:$A449,$A451,AC$4:AC449))</f>
        <v>35</v>
      </c>
      <c r="AD451" s="36">
        <f>IF(SUMIF($A$4:$A449,$A451,AD$4:AD449)=0,"",SUMIF($A$4:$A449,$A451,AD$4:AD449))</f>
        <v>24</v>
      </c>
      <c r="AE451" s="37" t="str">
        <f>IF(SUMIF($A$4:$A449,$A451,AE$4:AE449)=0,"",SUMIF($A$4:$A449,$A451,AE$4:AE449))</f>
        <v/>
      </c>
      <c r="AF451" s="36">
        <f>IF(SUMIF($A$4:$A449,$A451,AF$4:AF449)=0,"",SUMIF($A$4:$A449,$A451,AF$4:AF449))</f>
        <v>36</v>
      </c>
      <c r="AG451" s="37" t="str">
        <f>IF(SUMIF($A$4:$A449,$A451,AG$4:AG449)=0,"",SUMIF($A$4:$A449,$A451,AG$4:AG449))</f>
        <v/>
      </c>
      <c r="AH451" s="37" t="str">
        <f>IF(SUMIF($A$4:$A449,$A451,AH$4:AH449)=0,"",SUMIF($A$4:$A449,$A451,AH$4:AH449))</f>
        <v/>
      </c>
      <c r="AI451" s="36" t="str">
        <f>IF(SUMIF($A$4:$A449,$A451,AI$4:AI449)=0,"",SUMIF($A$4:$A449,$A451,AI$4:AI449))</f>
        <v/>
      </c>
      <c r="AJ451" s="36" t="str">
        <f>IF(SUMIF($A$4:$A449,$A451,AJ$4:AJ449)=0,"",SUMIF($A$4:$A449,$A451,AJ$4:AJ449))</f>
        <v/>
      </c>
      <c r="AK451" s="36" t="str">
        <f>IF(SUMIF($A$4:$A449,$A451,AK$4:AK449)=0,"",SUMIF($A$4:$A449,$A451,AK$4:AK449))</f>
        <v/>
      </c>
      <c r="AL451" s="36" t="str">
        <f>IF(SUMIF($A$4:$A449,$A451,AL$4:AL449)=0,"",SUMIF($A$4:$A449,$A451,AL$4:AL449))</f>
        <v/>
      </c>
      <c r="AM451" s="36" t="str">
        <f>IF(SUMIF($A$4:$A449,$A451,AM$4:AM449)=0,"",SUMIF($A$4:$A449,$A451,AM$4:AM449))</f>
        <v/>
      </c>
      <c r="AN451" s="37" t="str">
        <f>IF(SUMIF($A$4:$A449,$A451,AN$4:AN449)=0,"",SUMIF($A$4:$A449,$A451,AN$4:AN449))</f>
        <v/>
      </c>
      <c r="AO451" s="36" t="str">
        <f>IF(SUMIF($A$4:$A449,$A451,AO$4:AO449)=0,"",SUMIF($A$4:$A449,$A451,AO$4:AO449))</f>
        <v/>
      </c>
      <c r="AP451" s="36" t="str">
        <f>IF(SUMIF($A$4:$A449,$A451,AP$4:AP449)=0,"",SUMIF($A$4:$A449,$A451,AP$4:AP449))</f>
        <v/>
      </c>
      <c r="AQ451" s="37" t="str">
        <f>IF(SUMIF($A$4:$A449,$A451,AQ$4:AQ449)=0,"",SUMIF($A$4:$A449,$A451,AQ$4:AQ449))</f>
        <v/>
      </c>
      <c r="AR451" s="36" t="str">
        <f>IF(SUMIF($A$4:$A449,$A451,AR$4:AR449)=0,"",SUMIF($A$4:$A449,$A451,AR$4:AR449))</f>
        <v/>
      </c>
      <c r="AS451" s="36" t="str">
        <f>IF(SUMIF($A$4:$A449,$A451,AS$4:AS449)=0,"",SUMIF($A$4:$A449,$A451,AS$4:AS449))</f>
        <v/>
      </c>
      <c r="AT451" s="37" t="str">
        <f>IF(SUMIF($A$4:$A449,$A451,AT$4:AT449)=0,"",SUMIF($A$4:$A449,$A451,AT$4:AT449))</f>
        <v/>
      </c>
    </row>
    <row r="452" spans="1:46">
      <c r="A452" s="3" t="s">
        <v>898</v>
      </c>
      <c r="V452" s="15"/>
      <c r="AO452" s="441"/>
      <c r="AP452" s="442"/>
    </row>
    <row r="453" spans="1:46">
      <c r="A453" s="3" t="s">
        <v>971</v>
      </c>
      <c r="AO453" s="296"/>
    </row>
    <row r="454" spans="1:46" ht="16.3">
      <c r="A454" s="528" t="s">
        <v>7</v>
      </c>
      <c r="B454" s="2"/>
      <c r="C454" s="2"/>
      <c r="D454" s="2"/>
    </row>
    <row r="455" spans="1:46">
      <c r="A455" s="2"/>
      <c r="B455" s="2"/>
      <c r="C455" s="2"/>
      <c r="D455" s="2"/>
    </row>
    <row r="456" spans="1:46">
      <c r="A456" s="2"/>
    </row>
    <row r="457" spans="1:46">
      <c r="A457" s="2"/>
    </row>
    <row r="458" spans="1:46">
      <c r="A458" s="2"/>
    </row>
    <row r="459" spans="1:46">
      <c r="A459" s="2"/>
    </row>
    <row r="460" spans="1:46">
      <c r="A460" s="2"/>
    </row>
    <row r="461" spans="1:46">
      <c r="A461" s="2"/>
    </row>
    <row r="462" spans="1:46">
      <c r="A462" s="2"/>
    </row>
    <row r="463" spans="1:46">
      <c r="A463" s="2"/>
    </row>
    <row r="464" spans="1:46">
      <c r="A464" s="2"/>
    </row>
    <row r="465" spans="1:1">
      <c r="A465" s="2"/>
    </row>
    <row r="466" spans="1:1">
      <c r="A466" s="2"/>
    </row>
    <row r="467" spans="1:1">
      <c r="A467" s="3" t="s">
        <v>0</v>
      </c>
    </row>
  </sheetData>
  <mergeCells count="8">
    <mergeCell ref="A1:A3"/>
    <mergeCell ref="B440:C440"/>
    <mergeCell ref="D440:E440"/>
    <mergeCell ref="F440:G440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7:C7 B11:C11 B367:C382 B197:C208 B210:C211 B183:C195 B224:C235 B416:C436 C383 B82:C102 B57:C80 B384:C395 B144:C173 B402:C409 B413:C413 B221:C221 B112 B116:C142 B397:C400 B237:C334 B45:C55 C177 B30:C32 B36:C36 B42:C42 B336:C36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404"/>
  <sheetViews>
    <sheetView zoomScaleNormal="100" workbookViewId="0">
      <pane xSplit="9" ySplit="3" topLeftCell="AB4" activePane="bottomRight" state="frozen"/>
      <selection pane="topRight" activeCell="J1" sqref="J1"/>
      <selection pane="bottomLeft" activeCell="A4" sqref="A4"/>
      <selection pane="bottomRight" activeCell="AI60" sqref="AI60"/>
    </sheetView>
  </sheetViews>
  <sheetFormatPr defaultColWidth="8.875" defaultRowHeight="14.3"/>
  <cols>
    <col min="1" max="1" width="40.5" bestFit="1" customWidth="1"/>
    <col min="2" max="9" width="5.625" customWidth="1"/>
    <col min="10" max="32" width="9.875" customWidth="1"/>
    <col min="38" max="39" width="10.125" bestFit="1" customWidth="1"/>
    <col min="41" max="42" width="10.125" bestFit="1" customWidth="1"/>
    <col min="45" max="45" width="10.125" bestFit="1" customWidth="1"/>
  </cols>
  <sheetData>
    <row r="1" spans="1:50" ht="17" thickBot="1">
      <c r="A1" s="890" t="s">
        <v>511</v>
      </c>
      <c r="B1" s="879" t="s">
        <v>347</v>
      </c>
      <c r="C1" s="880"/>
      <c r="D1" s="880"/>
      <c r="E1" s="880"/>
      <c r="F1" s="880"/>
      <c r="G1" s="880"/>
      <c r="H1" s="880"/>
      <c r="I1" s="881"/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534</v>
      </c>
      <c r="P1" s="22" t="s">
        <v>535</v>
      </c>
      <c r="Q1" s="22" t="s">
        <v>9</v>
      </c>
      <c r="R1" s="22" t="s">
        <v>9</v>
      </c>
      <c r="S1" s="22" t="s">
        <v>436</v>
      </c>
      <c r="T1" s="22" t="s">
        <v>536</v>
      </c>
      <c r="U1" s="22" t="s">
        <v>537</v>
      </c>
      <c r="V1" s="22" t="s">
        <v>866</v>
      </c>
      <c r="W1" s="1" t="s">
        <v>867</v>
      </c>
      <c r="X1" s="22" t="s">
        <v>538</v>
      </c>
      <c r="Y1" s="22" t="s">
        <v>539</v>
      </c>
      <c r="Z1" s="22" t="s">
        <v>540</v>
      </c>
      <c r="AA1" s="1" t="s">
        <v>914</v>
      </c>
      <c r="AB1" s="1" t="s">
        <v>915</v>
      </c>
      <c r="AC1" s="22" t="s">
        <v>541</v>
      </c>
      <c r="AD1" s="22" t="s">
        <v>542</v>
      </c>
      <c r="AE1" s="22" t="s">
        <v>543</v>
      </c>
      <c r="AF1" s="22" t="s">
        <v>544</v>
      </c>
      <c r="AG1" s="22" t="s">
        <v>545</v>
      </c>
      <c r="AH1" s="22" t="s">
        <v>9</v>
      </c>
      <c r="AI1" s="22" t="s">
        <v>304</v>
      </c>
      <c r="AJ1" s="22" t="s">
        <v>546</v>
      </c>
      <c r="AK1" s="22" t="s">
        <v>547</v>
      </c>
      <c r="AL1" s="22" t="s">
        <v>548</v>
      </c>
      <c r="AM1" s="1" t="s">
        <v>549</v>
      </c>
      <c r="AN1" s="1" t="s">
        <v>550</v>
      </c>
      <c r="AO1" s="22" t="s">
        <v>551</v>
      </c>
      <c r="AP1" s="22" t="s">
        <v>552</v>
      </c>
      <c r="AQ1" s="1" t="s">
        <v>553</v>
      </c>
      <c r="AR1" s="22" t="s">
        <v>554</v>
      </c>
      <c r="AS1" s="22" t="s">
        <v>555</v>
      </c>
      <c r="AT1" s="1" t="s">
        <v>556</v>
      </c>
      <c r="AU1" s="22" t="s">
        <v>557</v>
      </c>
      <c r="AV1" s="22" t="s">
        <v>558</v>
      </c>
      <c r="AW1" s="22" t="s">
        <v>559</v>
      </c>
      <c r="AX1" s="22" t="s">
        <v>560</v>
      </c>
    </row>
    <row r="2" spans="1:50">
      <c r="A2" s="891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868" t="s">
        <v>873</v>
      </c>
      <c r="I2" s="869"/>
      <c r="J2" s="42">
        <v>41153</v>
      </c>
      <c r="K2" s="42">
        <v>44075</v>
      </c>
      <c r="L2" s="4">
        <v>46997</v>
      </c>
      <c r="M2" s="4">
        <v>38261</v>
      </c>
      <c r="N2" s="5">
        <v>40817</v>
      </c>
      <c r="O2" s="5">
        <v>43739</v>
      </c>
      <c r="P2" s="5">
        <v>45931</v>
      </c>
      <c r="Q2" s="56">
        <v>37196</v>
      </c>
      <c r="R2" s="56">
        <v>39753</v>
      </c>
      <c r="S2" s="41">
        <v>42309</v>
      </c>
      <c r="T2" s="41">
        <v>44866</v>
      </c>
      <c r="U2" s="4">
        <v>47058</v>
      </c>
      <c r="V2" s="616">
        <v>39417</v>
      </c>
      <c r="W2" s="616">
        <v>41974</v>
      </c>
      <c r="X2" s="4">
        <v>44166</v>
      </c>
      <c r="Y2" s="4">
        <v>10563</v>
      </c>
      <c r="Z2" s="5">
        <v>37622</v>
      </c>
      <c r="AA2" s="616">
        <v>40179</v>
      </c>
      <c r="AB2" s="616">
        <v>43101</v>
      </c>
      <c r="AC2" s="4">
        <v>45292</v>
      </c>
      <c r="AD2" s="41">
        <v>47849</v>
      </c>
      <c r="AE2" s="41">
        <v>39114</v>
      </c>
      <c r="AF2" s="41">
        <v>41671</v>
      </c>
      <c r="AG2" s="41">
        <v>44228</v>
      </c>
      <c r="AH2" s="41">
        <v>46784</v>
      </c>
      <c r="AI2" s="41">
        <v>39508</v>
      </c>
      <c r="AJ2" s="41">
        <v>42064</v>
      </c>
      <c r="AK2" s="4">
        <v>44621</v>
      </c>
      <c r="AL2" s="4">
        <v>46813</v>
      </c>
      <c r="AM2" s="4">
        <v>38443</v>
      </c>
      <c r="AN2" s="4">
        <v>41000</v>
      </c>
      <c r="AO2" s="4">
        <v>43556</v>
      </c>
      <c r="AP2" s="4">
        <v>9588</v>
      </c>
      <c r="AQ2" s="4">
        <v>37742</v>
      </c>
      <c r="AR2" s="4">
        <v>40299</v>
      </c>
      <c r="AS2" s="4">
        <v>43221</v>
      </c>
      <c r="AT2" s="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6.149999999999999" customHeight="1" thickBot="1">
      <c r="A3" s="892"/>
      <c r="B3" s="65" t="s">
        <v>354</v>
      </c>
      <c r="C3" s="64" t="s">
        <v>349</v>
      </c>
      <c r="D3" s="65" t="s">
        <v>354</v>
      </c>
      <c r="E3" s="61" t="s">
        <v>349</v>
      </c>
      <c r="F3" s="65" t="s">
        <v>354</v>
      </c>
      <c r="G3" s="70" t="s">
        <v>349</v>
      </c>
      <c r="H3" s="65" t="s">
        <v>354</v>
      </c>
      <c r="I3" s="681" t="s">
        <v>349</v>
      </c>
      <c r="J3" s="74" t="s">
        <v>390</v>
      </c>
      <c r="K3" s="6" t="s">
        <v>376</v>
      </c>
      <c r="L3" s="552" t="s">
        <v>694</v>
      </c>
      <c r="M3" s="73" t="s">
        <v>728</v>
      </c>
      <c r="N3" s="577" t="s">
        <v>700</v>
      </c>
      <c r="O3" s="24" t="s">
        <v>391</v>
      </c>
      <c r="P3" s="24" t="s">
        <v>680</v>
      </c>
      <c r="Q3" s="24"/>
      <c r="R3" s="7"/>
      <c r="S3" s="10" t="s">
        <v>392</v>
      </c>
      <c r="T3" s="9" t="s">
        <v>380</v>
      </c>
      <c r="U3" s="11" t="s">
        <v>392</v>
      </c>
      <c r="V3" s="9" t="s">
        <v>865</v>
      </c>
      <c r="W3" s="779" t="s">
        <v>891</v>
      </c>
      <c r="X3" s="11" t="s">
        <v>396</v>
      </c>
      <c r="Y3" s="9" t="s">
        <v>652</v>
      </c>
      <c r="Z3" s="10" t="s">
        <v>376</v>
      </c>
      <c r="AA3" s="10" t="s">
        <v>945</v>
      </c>
      <c r="AB3" s="9" t="s">
        <v>950</v>
      </c>
      <c r="AC3" s="21" t="s">
        <v>380</v>
      </c>
      <c r="AD3" s="9" t="s">
        <v>706</v>
      </c>
      <c r="AE3" s="11" t="s">
        <v>700</v>
      </c>
      <c r="AF3" s="9" t="s">
        <v>680</v>
      </c>
      <c r="AG3" s="9" t="s">
        <v>687</v>
      </c>
      <c r="AH3" s="9"/>
      <c r="AI3" s="9" t="s">
        <v>639</v>
      </c>
      <c r="AJ3" s="11"/>
      <c r="AK3" s="6"/>
      <c r="AL3" s="11"/>
      <c r="AM3" s="55"/>
      <c r="AN3" s="54"/>
      <c r="AO3" s="7"/>
      <c r="AP3" s="11"/>
      <c r="AQ3" s="55"/>
      <c r="AR3" s="9"/>
      <c r="AS3" s="9"/>
      <c r="AT3" s="465"/>
      <c r="AU3" s="11"/>
      <c r="AV3" s="9"/>
      <c r="AW3" s="785"/>
      <c r="AX3" s="465"/>
    </row>
    <row r="4" spans="1:50" ht="21.1">
      <c r="A4" s="86" t="s">
        <v>134</v>
      </c>
      <c r="B4" s="265"/>
      <c r="C4" s="214"/>
      <c r="D4" s="133"/>
      <c r="E4" s="134"/>
      <c r="F4" s="135"/>
      <c r="G4" s="136"/>
      <c r="H4" s="683"/>
      <c r="I4" s="676"/>
      <c r="J4" s="124"/>
      <c r="K4" s="124">
        <v>15</v>
      </c>
      <c r="L4" s="104" t="s">
        <v>704</v>
      </c>
      <c r="M4" s="122" t="s">
        <v>703</v>
      </c>
      <c r="N4" s="122" t="s">
        <v>703</v>
      </c>
      <c r="O4" s="102">
        <v>15</v>
      </c>
      <c r="P4" s="102">
        <v>15</v>
      </c>
      <c r="Q4" s="98"/>
      <c r="R4" s="98"/>
      <c r="S4" s="99"/>
      <c r="T4" s="99"/>
      <c r="U4" s="102" t="s">
        <v>379</v>
      </c>
      <c r="V4" s="138" t="s">
        <v>339</v>
      </c>
      <c r="W4" s="138" t="s">
        <v>339</v>
      </c>
      <c r="X4" s="102" t="s">
        <v>339</v>
      </c>
      <c r="Y4" s="102" t="s">
        <v>339</v>
      </c>
      <c r="Z4" s="102" t="s">
        <v>339</v>
      </c>
      <c r="AA4" s="138" t="s">
        <v>339</v>
      </c>
      <c r="AB4" s="138" t="s">
        <v>339</v>
      </c>
      <c r="AC4" s="102" t="s">
        <v>339</v>
      </c>
      <c r="AD4" s="99">
        <v>15</v>
      </c>
      <c r="AE4" s="99" t="s">
        <v>379</v>
      </c>
      <c r="AF4" s="99" t="s">
        <v>379</v>
      </c>
      <c r="AG4" s="99"/>
      <c r="AH4" s="98"/>
      <c r="AI4" s="99">
        <v>15</v>
      </c>
      <c r="AJ4" s="102"/>
      <c r="AK4" s="102"/>
      <c r="AL4" s="122"/>
      <c r="AM4" s="102"/>
      <c r="AN4" s="122"/>
      <c r="AO4" s="102"/>
      <c r="AP4" s="131"/>
      <c r="AQ4" s="102"/>
      <c r="AR4" s="122"/>
      <c r="AS4" s="103"/>
      <c r="AT4" s="122"/>
      <c r="AU4" s="430"/>
      <c r="AV4" s="103"/>
    </row>
    <row r="5" spans="1:50" ht="16.3">
      <c r="A5" s="246" t="s">
        <v>1</v>
      </c>
      <c r="B5" s="266">
        <f>SUM(L5+M5+N5+O5+P5+U5+X5+Y5+Z5+AC5+AK5+AL5+AK5+AO5+AR5+AS5+AU5+AV5+AW5+AX5+AP5)+52</f>
        <v>56</v>
      </c>
      <c r="C5" s="215">
        <f>SUM(L5+M5+N5+O5+P5+U5+Y5+Z5+X5+AC5+AL5+AK5+AL5+AP5+AS5+AO5+AV5+AW5+AX5+AY5+AR5+AU5)+52</f>
        <v>56</v>
      </c>
      <c r="D5" s="139"/>
      <c r="E5" s="140"/>
      <c r="F5" s="135"/>
      <c r="G5" s="136"/>
      <c r="H5" s="683"/>
      <c r="I5" s="676"/>
      <c r="J5" s="96"/>
      <c r="K5" s="96">
        <v>1</v>
      </c>
      <c r="L5" s="104">
        <v>1</v>
      </c>
      <c r="M5" s="75"/>
      <c r="N5" s="75"/>
      <c r="O5" s="100">
        <v>1</v>
      </c>
      <c r="P5" s="100">
        <v>1</v>
      </c>
      <c r="Q5" s="108"/>
      <c r="R5" s="108"/>
      <c r="S5" s="109"/>
      <c r="T5" s="109"/>
      <c r="U5" s="100">
        <v>1</v>
      </c>
      <c r="V5" s="142"/>
      <c r="W5" s="142"/>
      <c r="X5" s="100"/>
      <c r="Y5" s="100"/>
      <c r="Z5" s="100"/>
      <c r="AA5" s="142"/>
      <c r="AB5" s="142"/>
      <c r="AC5" s="100"/>
      <c r="AD5" s="109">
        <v>1</v>
      </c>
      <c r="AE5" s="109">
        <v>1</v>
      </c>
      <c r="AF5" s="109">
        <v>1</v>
      </c>
      <c r="AG5" s="109"/>
      <c r="AH5" s="108"/>
      <c r="AI5" s="109">
        <v>1</v>
      </c>
      <c r="AJ5" s="100"/>
      <c r="AK5" s="100"/>
      <c r="AL5" s="75"/>
      <c r="AM5" s="100"/>
      <c r="AN5" s="75"/>
      <c r="AO5" s="100"/>
      <c r="AP5" s="107"/>
      <c r="AQ5" s="100"/>
      <c r="AR5" s="75"/>
      <c r="AS5" s="111"/>
      <c r="AT5" s="75"/>
      <c r="AU5" s="431"/>
      <c r="AV5" s="111"/>
    </row>
    <row r="6" spans="1:50" ht="16.3">
      <c r="A6" s="246" t="s">
        <v>2</v>
      </c>
      <c r="B6" s="266">
        <f>SUM(L6+M6+N6+O6+P6+U6+X6+Y6+Z6+AC6+AK6+AL6+AK6+AO6+AR6+AS6+AU6+AV6+AW6+AX6)+7</f>
        <v>7</v>
      </c>
      <c r="C6" s="215">
        <f>SUM(L6+M6+N6+O6+P6+U6+Y6+Z6+X6+AC6+AL6+AK6+AL6+AP6+AS6+AO6+AV6+AW6+AX6+AY6+AR6+AU6)+7</f>
        <v>7</v>
      </c>
      <c r="D6" s="139"/>
      <c r="E6" s="140"/>
      <c r="F6" s="135"/>
      <c r="G6" s="136"/>
      <c r="H6" s="683"/>
      <c r="I6" s="676"/>
      <c r="J6" s="96"/>
      <c r="K6" s="96"/>
      <c r="L6" s="104"/>
      <c r="M6" s="75"/>
      <c r="N6" s="75"/>
      <c r="O6" s="100"/>
      <c r="P6" s="100"/>
      <c r="Q6" s="108"/>
      <c r="R6" s="108"/>
      <c r="S6" s="109"/>
      <c r="T6" s="109"/>
      <c r="U6" s="100"/>
      <c r="V6" s="142"/>
      <c r="W6" s="142"/>
      <c r="X6" s="100"/>
      <c r="Y6" s="100"/>
      <c r="Z6" s="100"/>
      <c r="AA6" s="142"/>
      <c r="AB6" s="142"/>
      <c r="AC6" s="100"/>
      <c r="AD6" s="109"/>
      <c r="AE6" s="109"/>
      <c r="AF6" s="109"/>
      <c r="AG6" s="109"/>
      <c r="AH6" s="108"/>
      <c r="AI6" s="109"/>
      <c r="AJ6" s="100"/>
      <c r="AK6" s="100"/>
      <c r="AL6" s="75"/>
      <c r="AM6" s="100"/>
      <c r="AN6" s="75"/>
      <c r="AO6" s="100"/>
      <c r="AP6" s="107"/>
      <c r="AQ6" s="100"/>
      <c r="AR6" s="75"/>
      <c r="AS6" s="111"/>
      <c r="AT6" s="75"/>
      <c r="AU6" s="431"/>
      <c r="AV6" s="111"/>
    </row>
    <row r="7" spans="1:50" ht="16.3">
      <c r="A7" s="83" t="s">
        <v>363</v>
      </c>
      <c r="B7" s="265">
        <f>SUM(B5+B6)</f>
        <v>63</v>
      </c>
      <c r="C7" s="214">
        <f>SUM(C5+C6)</f>
        <v>63</v>
      </c>
      <c r="D7" s="139"/>
      <c r="E7" s="140"/>
      <c r="F7" s="135"/>
      <c r="G7" s="136"/>
      <c r="H7" s="683"/>
      <c r="I7" s="676"/>
      <c r="J7" s="96"/>
      <c r="K7" s="96"/>
      <c r="L7" s="104"/>
      <c r="M7" s="75"/>
      <c r="N7" s="75"/>
      <c r="O7" s="100"/>
      <c r="P7" s="100"/>
      <c r="Q7" s="108"/>
      <c r="R7" s="108"/>
      <c r="S7" s="109"/>
      <c r="T7" s="109"/>
      <c r="U7" s="100"/>
      <c r="V7" s="142"/>
      <c r="W7" s="142"/>
      <c r="X7" s="100"/>
      <c r="Y7" s="100"/>
      <c r="Z7" s="100"/>
      <c r="AA7" s="142"/>
      <c r="AB7" s="142"/>
      <c r="AC7" s="100"/>
      <c r="AD7" s="109"/>
      <c r="AE7" s="109"/>
      <c r="AF7" s="109"/>
      <c r="AG7" s="109"/>
      <c r="AH7" s="108"/>
      <c r="AI7" s="109"/>
      <c r="AJ7" s="100"/>
      <c r="AK7" s="100"/>
      <c r="AL7" s="75"/>
      <c r="AM7" s="100"/>
      <c r="AN7" s="75"/>
      <c r="AO7" s="100"/>
      <c r="AP7" s="107"/>
      <c r="AQ7" s="100"/>
      <c r="AR7" s="75"/>
      <c r="AS7" s="111"/>
      <c r="AT7" s="75"/>
      <c r="AU7" s="431"/>
      <c r="AV7" s="111"/>
    </row>
    <row r="8" spans="1:50" ht="16.3">
      <c r="A8" s="246" t="s">
        <v>362</v>
      </c>
      <c r="B8" s="266">
        <f>SUM(L8+M8+N8+O8+P8+U8+X8+Y8+Z8+AC8+AK8+AL8+AK8+AO8+AR8+AS8+AU8+AV8+AW8+AX8)+1</f>
        <v>1</v>
      </c>
      <c r="C8" s="215">
        <f>SUM(L8+M8+N8+O8+P8+U8+Y8+Z8+X8+AC8+AL8+AK8+AL8+AP8+AS8+AO8+AV8+AW8+AX8+AY8+AR8+AU8)+1</f>
        <v>1</v>
      </c>
      <c r="D8" s="139"/>
      <c r="E8" s="140"/>
      <c r="F8" s="135"/>
      <c r="G8" s="136"/>
      <c r="H8" s="683"/>
      <c r="I8" s="676"/>
      <c r="J8" s="96"/>
      <c r="K8" s="96"/>
      <c r="L8" s="104"/>
      <c r="M8" s="75"/>
      <c r="N8" s="75"/>
      <c r="O8" s="100"/>
      <c r="P8" s="100"/>
      <c r="Q8" s="108"/>
      <c r="R8" s="108"/>
      <c r="S8" s="109"/>
      <c r="T8" s="109"/>
      <c r="U8" s="100"/>
      <c r="V8" s="142"/>
      <c r="W8" s="142"/>
      <c r="X8" s="100"/>
      <c r="Y8" s="100"/>
      <c r="Z8" s="100"/>
      <c r="AA8" s="142"/>
      <c r="AB8" s="142"/>
      <c r="AC8" s="100"/>
      <c r="AD8" s="109"/>
      <c r="AE8" s="109"/>
      <c r="AF8" s="109"/>
      <c r="AG8" s="109"/>
      <c r="AH8" s="108"/>
      <c r="AI8" s="109"/>
      <c r="AJ8" s="100"/>
      <c r="AK8" s="100"/>
      <c r="AL8" s="75"/>
      <c r="AM8" s="100"/>
      <c r="AN8" s="75"/>
      <c r="AO8" s="100"/>
      <c r="AP8" s="107"/>
      <c r="AQ8" s="100"/>
      <c r="AR8" s="75"/>
      <c r="AS8" s="111"/>
      <c r="AT8" s="75"/>
      <c r="AU8" s="431"/>
      <c r="AV8" s="111"/>
    </row>
    <row r="9" spans="1:50" ht="16.3">
      <c r="A9" s="246" t="s">
        <v>5</v>
      </c>
      <c r="B9" s="266">
        <f>SUM(L9+M9+N9+O9+P9+U9+X9+Y9+Z9+AC9+AK9+AL9+AK9+AO9+AR9+AS9+AU9+AV9+AW9+AX9)+30</f>
        <v>31</v>
      </c>
      <c r="C9" s="215">
        <f>SUM(L9+M9+N9+O9+P9+U9+Y9+Z9+X9+AC9+AL9+AK9+AL9+AP9+AS9+AO9+AV9+AW9+AX9+AY9+AR9+AU9)+30</f>
        <v>31</v>
      </c>
      <c r="D9" s="133"/>
      <c r="E9" s="134"/>
      <c r="F9" s="135"/>
      <c r="G9" s="136"/>
      <c r="H9" s="683"/>
      <c r="I9" s="676"/>
      <c r="J9" s="96"/>
      <c r="K9" s="96"/>
      <c r="L9" s="104"/>
      <c r="M9" s="75"/>
      <c r="N9" s="75"/>
      <c r="O9" s="100"/>
      <c r="P9" s="100">
        <v>1</v>
      </c>
      <c r="Q9" s="108"/>
      <c r="R9" s="108"/>
      <c r="S9" s="109"/>
      <c r="T9" s="109"/>
      <c r="U9" s="100"/>
      <c r="V9" s="142"/>
      <c r="W9" s="142"/>
      <c r="X9" s="100"/>
      <c r="Y9" s="100"/>
      <c r="Z9" s="100"/>
      <c r="AA9" s="142"/>
      <c r="AB9" s="142"/>
      <c r="AC9" s="100"/>
      <c r="AD9" s="109">
        <v>7</v>
      </c>
      <c r="AE9" s="109">
        <v>1</v>
      </c>
      <c r="AF9" s="109"/>
      <c r="AG9" s="109"/>
      <c r="AH9" s="108"/>
      <c r="AI9" s="109"/>
      <c r="AJ9" s="100"/>
      <c r="AK9" s="100"/>
      <c r="AL9" s="75"/>
      <c r="AM9" s="100"/>
      <c r="AN9" s="75"/>
      <c r="AO9" s="100"/>
      <c r="AP9" s="107"/>
      <c r="AQ9" s="100"/>
      <c r="AR9" s="75"/>
      <c r="AS9" s="111"/>
      <c r="AT9" s="75"/>
      <c r="AU9" s="431"/>
      <c r="AV9" s="111"/>
    </row>
    <row r="10" spans="1:50" ht="16.3">
      <c r="A10" s="246" t="s">
        <v>6</v>
      </c>
      <c r="B10" s="266">
        <f>SUM(L10+M10+N10+O10+P10+U10+X10+Y10+Z10+AC10+AK10+AL10+AK10+AO10+AR10+AS10+AU10+AV10+AW10+AX10)+39</f>
        <v>40</v>
      </c>
      <c r="C10" s="215">
        <f>SUM(L10+M10+N10+O10+P10+U10+Y10+Z10+X10+AC10+AL10+AK10+AL10+AP10+AS10+AO10+AV10+AW10+AX10+AY10+AR10+AU10)+39</f>
        <v>40</v>
      </c>
      <c r="D10" s="133"/>
      <c r="E10" s="134"/>
      <c r="F10" s="135"/>
      <c r="G10" s="136"/>
      <c r="H10" s="683"/>
      <c r="I10" s="676"/>
      <c r="J10" s="96"/>
      <c r="K10" s="96"/>
      <c r="L10" s="104"/>
      <c r="M10" s="75"/>
      <c r="N10" s="75"/>
      <c r="O10" s="100"/>
      <c r="P10" s="100">
        <v>1</v>
      </c>
      <c r="Q10" s="108"/>
      <c r="R10" s="108"/>
      <c r="S10" s="109"/>
      <c r="T10" s="109"/>
      <c r="U10" s="100"/>
      <c r="V10" s="142"/>
      <c r="W10" s="142"/>
      <c r="X10" s="100"/>
      <c r="Y10" s="100"/>
      <c r="Z10" s="100"/>
      <c r="AA10" s="142"/>
      <c r="AB10" s="142"/>
      <c r="AC10" s="100"/>
      <c r="AD10" s="109">
        <v>9</v>
      </c>
      <c r="AE10" s="109">
        <v>4</v>
      </c>
      <c r="AF10" s="109"/>
      <c r="AG10" s="109"/>
      <c r="AH10" s="108"/>
      <c r="AI10" s="109"/>
      <c r="AJ10" s="100"/>
      <c r="AK10" s="100"/>
      <c r="AL10" s="75"/>
      <c r="AM10" s="100"/>
      <c r="AN10" s="75"/>
      <c r="AO10" s="100"/>
      <c r="AP10" s="107"/>
      <c r="AQ10" s="100"/>
      <c r="AR10" s="75"/>
      <c r="AS10" s="111"/>
      <c r="AT10" s="75"/>
      <c r="AU10" s="431"/>
      <c r="AV10" s="111"/>
    </row>
    <row r="11" spans="1:50" ht="16.3">
      <c r="A11" s="246" t="s">
        <v>368</v>
      </c>
      <c r="B11" s="267">
        <f>SUM(B9/B10)*100</f>
        <v>77.5</v>
      </c>
      <c r="C11" s="216">
        <f>SUM(C9/C10)*100</f>
        <v>77.5</v>
      </c>
      <c r="D11" s="133"/>
      <c r="E11" s="134"/>
      <c r="F11" s="135"/>
      <c r="G11" s="136"/>
      <c r="H11" s="683"/>
      <c r="I11" s="676"/>
      <c r="J11" s="96"/>
      <c r="K11" s="96"/>
      <c r="L11" s="104"/>
      <c r="M11" s="75"/>
      <c r="N11" s="75"/>
      <c r="O11" s="100"/>
      <c r="P11" s="100">
        <v>100</v>
      </c>
      <c r="Q11" s="108"/>
      <c r="R11" s="108"/>
      <c r="S11" s="109"/>
      <c r="T11" s="109"/>
      <c r="U11" s="100"/>
      <c r="V11" s="142"/>
      <c r="W11" s="142"/>
      <c r="X11" s="100"/>
      <c r="Y11" s="100"/>
      <c r="Z11" s="100"/>
      <c r="AA11" s="142"/>
      <c r="AB11" s="142"/>
      <c r="AC11" s="100"/>
      <c r="AD11" s="109">
        <v>78</v>
      </c>
      <c r="AE11" s="109">
        <v>25</v>
      </c>
      <c r="AF11" s="109"/>
      <c r="AG11" s="109"/>
      <c r="AH11" s="108"/>
      <c r="AI11" s="109"/>
      <c r="AJ11" s="100"/>
      <c r="AK11" s="100"/>
      <c r="AL11" s="75"/>
      <c r="AM11" s="100"/>
      <c r="AN11" s="75"/>
      <c r="AO11" s="100"/>
      <c r="AP11" s="107"/>
      <c r="AQ11" s="100"/>
      <c r="AR11" s="75"/>
      <c r="AS11" s="111"/>
      <c r="AT11" s="75"/>
      <c r="AU11" s="431"/>
      <c r="AV11" s="111"/>
    </row>
    <row r="12" spans="1:50" ht="16.3">
      <c r="A12" s="83" t="s">
        <v>3</v>
      </c>
      <c r="B12" s="265">
        <f>SUM(L12+M12+N12+O12+P12+U12+X12+Y12+Z12+AC12+AK12+AL12+AK12+AO12+AR12+AS12+AU12+AV12+AW12+AX12)+15</f>
        <v>15</v>
      </c>
      <c r="C12" s="214">
        <f>SUM(L12+M12+N12+O12+P12+U12+Y12+Z12+X12+AC12+AL12+AK12+AL12+AP12+AS12+AO12+AV12+AW12+AX12+AY12+AR12+AU12)+15</f>
        <v>15</v>
      </c>
      <c r="D12" s="133"/>
      <c r="E12" s="134"/>
      <c r="F12" s="135"/>
      <c r="G12" s="136"/>
      <c r="H12" s="683"/>
      <c r="I12" s="676"/>
      <c r="J12" s="96"/>
      <c r="K12" s="96"/>
      <c r="L12" s="104"/>
      <c r="M12" s="75"/>
      <c r="N12" s="75"/>
      <c r="O12" s="100"/>
      <c r="P12" s="100"/>
      <c r="Q12" s="108"/>
      <c r="R12" s="108"/>
      <c r="S12" s="109"/>
      <c r="T12" s="109"/>
      <c r="U12" s="100"/>
      <c r="V12" s="142"/>
      <c r="W12" s="142"/>
      <c r="X12" s="100"/>
      <c r="Y12" s="100"/>
      <c r="Z12" s="100"/>
      <c r="AA12" s="142"/>
      <c r="AB12" s="142"/>
      <c r="AC12" s="100"/>
      <c r="AD12" s="109"/>
      <c r="AE12" s="109"/>
      <c r="AF12" s="109"/>
      <c r="AG12" s="109"/>
      <c r="AH12" s="108"/>
      <c r="AI12" s="109">
        <v>2</v>
      </c>
      <c r="AJ12" s="100"/>
      <c r="AK12" s="100"/>
      <c r="AL12" s="75"/>
      <c r="AM12" s="100"/>
      <c r="AN12" s="75"/>
      <c r="AO12" s="100"/>
      <c r="AP12" s="107"/>
      <c r="AQ12" s="100"/>
      <c r="AR12" s="75"/>
      <c r="AS12" s="111"/>
      <c r="AT12" s="75"/>
      <c r="AU12" s="431"/>
      <c r="AV12" s="111"/>
    </row>
    <row r="13" spans="1:50" ht="17" thickBot="1">
      <c r="A13" s="83" t="s">
        <v>4</v>
      </c>
      <c r="B13" s="268">
        <f>SUM(L13+M13+N13+O13+P13+U13+X13+Y13+Z13+AC13+AK13+AL13+AK13+AO13+AR13+AS13+AU13+AV13+AW13+AX13)+143</f>
        <v>145</v>
      </c>
      <c r="C13" s="217">
        <f>SUM(L13+M13+N13+O13+P13+U13+Y13+Z13+X13+AC13+AL13+AK13+AL13+AP13+AS13+AO13+AV13+AW13+AX13+AY13+AR13+AU13)+143</f>
        <v>145</v>
      </c>
      <c r="D13" s="144"/>
      <c r="E13" s="145"/>
      <c r="F13" s="146"/>
      <c r="G13" s="147"/>
      <c r="H13" s="146"/>
      <c r="I13" s="677"/>
      <c r="J13" s="114"/>
      <c r="K13" s="114"/>
      <c r="L13" s="104"/>
      <c r="M13" s="75"/>
      <c r="N13" s="75"/>
      <c r="O13" s="100"/>
      <c r="P13" s="100">
        <v>2</v>
      </c>
      <c r="Q13" s="422"/>
      <c r="R13" s="108"/>
      <c r="S13" s="109"/>
      <c r="T13" s="109"/>
      <c r="U13" s="100"/>
      <c r="V13" s="142"/>
      <c r="W13" s="142"/>
      <c r="X13" s="100"/>
      <c r="Y13" s="100"/>
      <c r="Z13" s="100"/>
      <c r="AA13" s="142"/>
      <c r="AB13" s="142"/>
      <c r="AC13" s="100"/>
      <c r="AD13" s="109">
        <v>14</v>
      </c>
      <c r="AE13" s="109">
        <v>2</v>
      </c>
      <c r="AF13" s="109"/>
      <c r="AG13" s="150"/>
      <c r="AH13" s="108"/>
      <c r="AI13" s="109">
        <v>10</v>
      </c>
      <c r="AJ13" s="100"/>
      <c r="AK13" s="100"/>
      <c r="AL13" s="75"/>
      <c r="AM13" s="100"/>
      <c r="AN13" s="75"/>
      <c r="AO13" s="100"/>
      <c r="AP13" s="107"/>
      <c r="AQ13" s="100"/>
      <c r="AR13" s="75"/>
      <c r="AS13" s="111"/>
      <c r="AT13" s="75"/>
      <c r="AU13" s="431"/>
      <c r="AV13" s="111"/>
    </row>
    <row r="14" spans="1:50" ht="21.1">
      <c r="A14" s="86" t="s">
        <v>135</v>
      </c>
      <c r="B14" s="265"/>
      <c r="C14" s="214"/>
      <c r="D14" s="133"/>
      <c r="E14" s="134"/>
      <c r="F14" s="135"/>
      <c r="G14" s="136"/>
      <c r="H14" s="683"/>
      <c r="I14" s="676"/>
      <c r="J14" s="96"/>
      <c r="K14" s="96">
        <v>11</v>
      </c>
      <c r="L14" s="123"/>
      <c r="M14" s="122">
        <v>15</v>
      </c>
      <c r="N14" s="122">
        <v>15</v>
      </c>
      <c r="O14" s="102"/>
      <c r="P14" s="102"/>
      <c r="Q14" s="98"/>
      <c r="R14" s="98"/>
      <c r="S14" s="99">
        <v>14</v>
      </c>
      <c r="T14" s="99">
        <v>15</v>
      </c>
      <c r="U14" s="102"/>
      <c r="V14" s="138" t="s">
        <v>375</v>
      </c>
      <c r="W14" s="138">
        <v>14</v>
      </c>
      <c r="X14" s="102"/>
      <c r="Y14" s="102" t="s">
        <v>393</v>
      </c>
      <c r="Z14" s="102" t="s">
        <v>375</v>
      </c>
      <c r="AA14" s="138"/>
      <c r="AB14" s="138"/>
      <c r="AC14" s="102"/>
      <c r="AD14" s="99" t="s">
        <v>375</v>
      </c>
      <c r="AE14" s="99">
        <v>14</v>
      </c>
      <c r="AF14" s="99" t="s">
        <v>375</v>
      </c>
      <c r="AG14" s="99">
        <v>15</v>
      </c>
      <c r="AH14" s="98"/>
      <c r="AI14" s="99"/>
      <c r="AJ14" s="102"/>
      <c r="AK14" s="102"/>
      <c r="AL14" s="122"/>
      <c r="AM14" s="102"/>
      <c r="AN14" s="122"/>
      <c r="AO14" s="102"/>
      <c r="AP14" s="131"/>
      <c r="AQ14" s="102"/>
      <c r="AR14" s="122"/>
      <c r="AS14" s="103"/>
      <c r="AT14" s="122"/>
      <c r="AU14" s="430"/>
      <c r="AV14" s="103"/>
    </row>
    <row r="15" spans="1:50" ht="16.3">
      <c r="A15" s="246" t="s">
        <v>1</v>
      </c>
      <c r="B15" s="266">
        <f>SUM(L15+M15+N15+O15+P15+U15+X15+Y15+Z15+AC15+AK15+AL15+AK15+AO15+AR15+AS15+AU15+AV15+AW15+AX15)+9</f>
        <v>11</v>
      </c>
      <c r="C15" s="215">
        <f>SUM(L15+M15+N15+O15+P15+U15+Y15+Z15+X15+AC15+AL15+AK15+AL15+AP15+AS15+AO15+AV15+AW15+AX15+AY15+AR15+AU15)+9</f>
        <v>11</v>
      </c>
      <c r="D15" s="133"/>
      <c r="E15" s="134"/>
      <c r="F15" s="135"/>
      <c r="G15" s="136"/>
      <c r="H15" s="683"/>
      <c r="I15" s="676"/>
      <c r="J15" s="96"/>
      <c r="K15" s="96">
        <v>1</v>
      </c>
      <c r="L15" s="104"/>
      <c r="M15" s="75">
        <v>1</v>
      </c>
      <c r="N15" s="75">
        <v>1</v>
      </c>
      <c r="O15" s="100"/>
      <c r="P15" s="100"/>
      <c r="Q15" s="108"/>
      <c r="R15" s="108"/>
      <c r="S15" s="109">
        <v>1</v>
      </c>
      <c r="T15" s="109">
        <v>1</v>
      </c>
      <c r="U15" s="100"/>
      <c r="V15" s="142"/>
      <c r="W15" s="142">
        <v>1</v>
      </c>
      <c r="X15" s="100"/>
      <c r="Y15" s="100"/>
      <c r="Z15" s="100"/>
      <c r="AA15" s="142"/>
      <c r="AB15" s="142"/>
      <c r="AC15" s="100"/>
      <c r="AD15" s="109"/>
      <c r="AE15" s="109">
        <v>1</v>
      </c>
      <c r="AF15" s="109"/>
      <c r="AG15" s="109">
        <v>1</v>
      </c>
      <c r="AH15" s="108"/>
      <c r="AI15" s="109"/>
      <c r="AJ15" s="100"/>
      <c r="AK15" s="100"/>
      <c r="AL15" s="75"/>
      <c r="AM15" s="100"/>
      <c r="AN15" s="75"/>
      <c r="AO15" s="100"/>
      <c r="AP15" s="107"/>
      <c r="AQ15" s="100"/>
      <c r="AR15" s="75"/>
      <c r="AS15" s="111"/>
      <c r="AT15" s="75"/>
      <c r="AU15" s="431"/>
      <c r="AV15" s="111"/>
    </row>
    <row r="16" spans="1:50" ht="16.3">
      <c r="A16" s="246" t="s">
        <v>2</v>
      </c>
      <c r="B16" s="266">
        <f>SUM(L16+M16+N16+O16+P16+U16+X16+Y16+Z16+AC16+AK16+AL16+AK16+AO16+AR16+AS16+AU16+AV16+AW16+AX16)+2</f>
        <v>3</v>
      </c>
      <c r="C16" s="215">
        <f>SUM(L16+M16+N16+O16+P16+U16+Y16+Z16+X16+AC16+AL16+AK16+AL16+AP16+AS16+AO16+AV16+AW16+AX16+AY16+AR16+AU16)+2</f>
        <v>3</v>
      </c>
      <c r="D16" s="133"/>
      <c r="E16" s="134"/>
      <c r="F16" s="135"/>
      <c r="G16" s="136"/>
      <c r="H16" s="683"/>
      <c r="I16" s="676"/>
      <c r="J16" s="96"/>
      <c r="K16" s="96"/>
      <c r="L16" s="104"/>
      <c r="M16" s="75"/>
      <c r="N16" s="75"/>
      <c r="O16" s="100"/>
      <c r="P16" s="100"/>
      <c r="Q16" s="108"/>
      <c r="R16" s="108"/>
      <c r="S16" s="109"/>
      <c r="T16" s="109"/>
      <c r="U16" s="100"/>
      <c r="V16" s="142">
        <v>1</v>
      </c>
      <c r="W16" s="142"/>
      <c r="X16" s="100"/>
      <c r="Y16" s="100"/>
      <c r="Z16" s="100">
        <v>1</v>
      </c>
      <c r="AA16" s="142"/>
      <c r="AB16" s="142"/>
      <c r="AC16" s="100"/>
      <c r="AD16" s="109">
        <v>1</v>
      </c>
      <c r="AE16" s="109"/>
      <c r="AF16" s="109">
        <v>1</v>
      </c>
      <c r="AG16" s="109"/>
      <c r="AH16" s="108"/>
      <c r="AI16" s="109"/>
      <c r="AJ16" s="100"/>
      <c r="AK16" s="100"/>
      <c r="AL16" s="75"/>
      <c r="AM16" s="100"/>
      <c r="AN16" s="75"/>
      <c r="AO16" s="100"/>
      <c r="AP16" s="107"/>
      <c r="AQ16" s="100"/>
      <c r="AR16" s="75"/>
      <c r="AS16" s="111"/>
      <c r="AT16" s="75"/>
      <c r="AU16" s="431"/>
      <c r="AV16" s="111"/>
    </row>
    <row r="17" spans="1:48" ht="16.3">
      <c r="A17" s="83" t="s">
        <v>363</v>
      </c>
      <c r="B17" s="265">
        <f>SUM(B15+B16)</f>
        <v>14</v>
      </c>
      <c r="C17" s="214">
        <f>SUM(C15+C16)</f>
        <v>14</v>
      </c>
      <c r="D17" s="133"/>
      <c r="E17" s="134"/>
      <c r="F17" s="135"/>
      <c r="G17" s="136"/>
      <c r="H17" s="683"/>
      <c r="I17" s="676"/>
      <c r="J17" s="96"/>
      <c r="K17" s="96"/>
      <c r="L17" s="104"/>
      <c r="M17" s="75"/>
      <c r="N17" s="75"/>
      <c r="O17" s="100"/>
      <c r="P17" s="100"/>
      <c r="Q17" s="108"/>
      <c r="R17" s="108"/>
      <c r="S17" s="109"/>
      <c r="T17" s="109"/>
      <c r="U17" s="100"/>
      <c r="V17" s="142"/>
      <c r="W17" s="142"/>
      <c r="X17" s="100"/>
      <c r="Y17" s="100"/>
      <c r="Z17" s="100"/>
      <c r="AA17" s="142"/>
      <c r="AB17" s="142"/>
      <c r="AC17" s="100"/>
      <c r="AD17" s="109"/>
      <c r="AE17" s="109"/>
      <c r="AF17" s="109"/>
      <c r="AG17" s="109"/>
      <c r="AH17" s="108"/>
      <c r="AI17" s="109"/>
      <c r="AJ17" s="100"/>
      <c r="AK17" s="100"/>
      <c r="AL17" s="75"/>
      <c r="AM17" s="100"/>
      <c r="AN17" s="75"/>
      <c r="AO17" s="100"/>
      <c r="AP17" s="107"/>
      <c r="AQ17" s="100"/>
      <c r="AR17" s="75"/>
      <c r="AS17" s="111"/>
      <c r="AT17" s="75"/>
      <c r="AU17" s="431"/>
      <c r="AV17" s="111"/>
    </row>
    <row r="18" spans="1:48" ht="16.3">
      <c r="A18" s="83" t="s">
        <v>3</v>
      </c>
      <c r="B18" s="265">
        <f>SUM(L18+M18+N18+O18+P18+U18+X18+Y18+Z18+AC18+AK18+AL18+AK18+AO18+AR18+AS18+AU18+AV18+AW18+AX18)+2</f>
        <v>2</v>
      </c>
      <c r="C18" s="214">
        <f>SUM(L18+M18+N18+O18+P18+U18+Y18+Z18+X18+AC18+AL18+AK18+AL18+AP18+AS18+AO18+AV18+AW18+AX18+AY18+AR18+AU18)+2</f>
        <v>2</v>
      </c>
      <c r="D18" s="133"/>
      <c r="E18" s="134"/>
      <c r="F18" s="135"/>
      <c r="G18" s="136"/>
      <c r="H18" s="683"/>
      <c r="I18" s="676"/>
      <c r="J18" s="96"/>
      <c r="K18" s="96">
        <v>1</v>
      </c>
      <c r="L18" s="104"/>
      <c r="M18" s="75"/>
      <c r="N18" s="75"/>
      <c r="O18" s="100"/>
      <c r="P18" s="100"/>
      <c r="Q18" s="108"/>
      <c r="R18" s="108"/>
      <c r="S18" s="109"/>
      <c r="T18" s="109"/>
      <c r="U18" s="100"/>
      <c r="V18" s="142"/>
      <c r="W18" s="142"/>
      <c r="X18" s="100"/>
      <c r="Y18" s="100"/>
      <c r="Z18" s="100"/>
      <c r="AA18" s="142"/>
      <c r="AB18" s="142"/>
      <c r="AC18" s="100"/>
      <c r="AD18" s="109"/>
      <c r="AE18" s="109">
        <v>1</v>
      </c>
      <c r="AF18" s="109"/>
      <c r="AG18" s="109">
        <v>2</v>
      </c>
      <c r="AH18" s="108"/>
      <c r="AI18" s="109"/>
      <c r="AJ18" s="100"/>
      <c r="AK18" s="100"/>
      <c r="AL18" s="75"/>
      <c r="AM18" s="100"/>
      <c r="AN18" s="75"/>
      <c r="AO18" s="100"/>
      <c r="AP18" s="107"/>
      <c r="AQ18" s="100"/>
      <c r="AR18" s="75"/>
      <c r="AS18" s="111"/>
      <c r="AT18" s="75"/>
      <c r="AU18" s="431"/>
      <c r="AV18" s="111"/>
    </row>
    <row r="19" spans="1:48" ht="17" thickBot="1">
      <c r="A19" s="85" t="s">
        <v>4</v>
      </c>
      <c r="B19" s="268">
        <f>SUM(L19+M19+N19+O19+P19+U19+X19+Y19+Z19+AC19+AK19+AL19+AK19+AO19+AR19+AS19+AU19+AV19+AW19+AX19)+10</f>
        <v>10</v>
      </c>
      <c r="C19" s="217">
        <f>SUM(L19+M19+N19+O19+P19+U19+Y19+Z19+X19+AC19+AL19+AK19+AL19+AP19+AS19+AO19+AV19+AW19+AX19+AY19+AR19+AU19)+10</f>
        <v>10</v>
      </c>
      <c r="D19" s="144"/>
      <c r="E19" s="145"/>
      <c r="F19" s="146"/>
      <c r="G19" s="147"/>
      <c r="H19" s="684"/>
      <c r="I19" s="677"/>
      <c r="J19" s="114"/>
      <c r="K19" s="114">
        <v>5</v>
      </c>
      <c r="L19" s="113"/>
      <c r="M19" s="112"/>
      <c r="N19" s="112"/>
      <c r="O19" s="116"/>
      <c r="P19" s="116"/>
      <c r="Q19" s="127"/>
      <c r="R19" s="108"/>
      <c r="S19" s="109"/>
      <c r="T19" s="109"/>
      <c r="U19" s="100"/>
      <c r="V19" s="142"/>
      <c r="W19" s="142"/>
      <c r="X19" s="100"/>
      <c r="Y19" s="100"/>
      <c r="Z19" s="100"/>
      <c r="AA19" s="142"/>
      <c r="AB19" s="142"/>
      <c r="AC19" s="100"/>
      <c r="AD19" s="109"/>
      <c r="AE19" s="109">
        <v>5</v>
      </c>
      <c r="AF19" s="109"/>
      <c r="AG19" s="109">
        <v>10</v>
      </c>
      <c r="AH19" s="108"/>
      <c r="AI19" s="109"/>
      <c r="AJ19" s="100"/>
      <c r="AK19" s="100"/>
      <c r="AL19" s="75"/>
      <c r="AM19" s="100"/>
      <c r="AN19" s="75"/>
      <c r="AO19" s="100"/>
      <c r="AP19" s="107"/>
      <c r="AQ19" s="100"/>
      <c r="AR19" s="75"/>
      <c r="AS19" s="111"/>
      <c r="AT19" s="75"/>
      <c r="AU19" s="431"/>
      <c r="AV19" s="111"/>
    </row>
    <row r="20" spans="1:48" ht="21.1">
      <c r="A20" s="82" t="s">
        <v>269</v>
      </c>
      <c r="B20" s="265"/>
      <c r="C20" s="214"/>
      <c r="D20" s="133"/>
      <c r="E20" s="134"/>
      <c r="F20" s="135"/>
      <c r="G20" s="136"/>
      <c r="H20" s="683"/>
      <c r="I20" s="676"/>
      <c r="J20" s="96" t="s">
        <v>339</v>
      </c>
      <c r="K20" s="96" t="s">
        <v>339</v>
      </c>
      <c r="L20" s="104" t="s">
        <v>339</v>
      </c>
      <c r="M20" s="75" t="s">
        <v>339</v>
      </c>
      <c r="N20" s="75" t="s">
        <v>339</v>
      </c>
      <c r="O20" s="100" t="s">
        <v>339</v>
      </c>
      <c r="P20" s="100" t="s">
        <v>339</v>
      </c>
      <c r="Q20" s="108"/>
      <c r="R20" s="98"/>
      <c r="S20" s="99" t="s">
        <v>339</v>
      </c>
      <c r="T20" s="99" t="s">
        <v>339</v>
      </c>
      <c r="U20" s="102" t="s">
        <v>339</v>
      </c>
      <c r="V20" s="138" t="s">
        <v>339</v>
      </c>
      <c r="W20" s="138" t="s">
        <v>339</v>
      </c>
      <c r="X20" s="102" t="s">
        <v>339</v>
      </c>
      <c r="Y20" s="102" t="s">
        <v>339</v>
      </c>
      <c r="Z20" s="102" t="s">
        <v>339</v>
      </c>
      <c r="AA20" s="138" t="s">
        <v>339</v>
      </c>
      <c r="AB20" s="138" t="s">
        <v>339</v>
      </c>
      <c r="AC20" s="102" t="s">
        <v>339</v>
      </c>
      <c r="AD20" s="99" t="s">
        <v>339</v>
      </c>
      <c r="AE20" s="99" t="s">
        <v>339</v>
      </c>
      <c r="AF20" s="99" t="s">
        <v>339</v>
      </c>
      <c r="AG20" s="99" t="s">
        <v>339</v>
      </c>
      <c r="AH20" s="98"/>
      <c r="AI20" s="99"/>
      <c r="AJ20" s="102"/>
      <c r="AK20" s="102"/>
      <c r="AL20" s="122"/>
      <c r="AM20" s="102"/>
      <c r="AN20" s="122"/>
      <c r="AO20" s="102"/>
      <c r="AP20" s="131"/>
      <c r="AQ20" s="102"/>
      <c r="AR20" s="122"/>
      <c r="AS20" s="103"/>
      <c r="AT20" s="122"/>
      <c r="AU20" s="430"/>
      <c r="AV20" s="103"/>
    </row>
    <row r="21" spans="1:48" ht="16.3">
      <c r="A21" s="246" t="s">
        <v>1</v>
      </c>
      <c r="B21" s="266">
        <f>SUM(L21+M21+N21+O21+P21+U21+X21+Y21+Z21+AC21+AK21+AL21+AK21+AO21+AR21+AS21+AU21+AV21+AW21+AX21)+22</f>
        <v>22</v>
      </c>
      <c r="C21" s="215">
        <f>SUM(L21+M21+N21+O21+P21+U21+Y21+Z21+X21+AC21+AL21+AK21+AL21+AP21+AS21+AO21+AV21+AW21+AX21+AY21+AR21+AU21)+22</f>
        <v>22</v>
      </c>
      <c r="D21" s="133"/>
      <c r="E21" s="134"/>
      <c r="F21" s="135"/>
      <c r="G21" s="136"/>
      <c r="H21" s="683"/>
      <c r="I21" s="676"/>
      <c r="J21" s="96"/>
      <c r="K21" s="96"/>
      <c r="L21" s="104"/>
      <c r="M21" s="75"/>
      <c r="N21" s="75"/>
      <c r="O21" s="100"/>
      <c r="P21" s="100"/>
      <c r="Q21" s="108"/>
      <c r="R21" s="105"/>
      <c r="S21" s="96"/>
      <c r="T21" s="96"/>
      <c r="U21" s="75"/>
      <c r="V21" s="141"/>
      <c r="W21" s="141"/>
      <c r="X21" s="75"/>
      <c r="Y21" s="75"/>
      <c r="Z21" s="75"/>
      <c r="AA21" s="141"/>
      <c r="AB21" s="141"/>
      <c r="AC21" s="75"/>
      <c r="AD21" s="96"/>
      <c r="AE21" s="96"/>
      <c r="AF21" s="96"/>
      <c r="AG21" s="96"/>
      <c r="AH21" s="105"/>
      <c r="AI21" s="96"/>
      <c r="AJ21" s="75"/>
      <c r="AK21" s="75"/>
      <c r="AL21" s="75"/>
      <c r="AM21" s="75"/>
      <c r="AN21" s="75"/>
      <c r="AO21" s="75"/>
      <c r="AP21" s="107"/>
      <c r="AQ21" s="75"/>
      <c r="AR21" s="75"/>
      <c r="AS21" s="107"/>
      <c r="AT21" s="75"/>
      <c r="AU21" s="431"/>
      <c r="AV21" s="107"/>
    </row>
    <row r="22" spans="1:48" ht="16.3">
      <c r="A22" s="246" t="s">
        <v>2</v>
      </c>
      <c r="B22" s="266">
        <f>SUM(L22+M22+N22+O22+P22+U22+X22+Y22+Z22+AC22+AK22+AL22+AK22+AO22+AR22+AS22+AU22+AV22+AW22+AX22)+2</f>
        <v>2</v>
      </c>
      <c r="C22" s="215">
        <f>SUM(L22+M22+N22+O22+P22+U22+Y22+Z22+X22+AC22+AL22+AK22+AL22+AP22+AS22+AO22+AV22+AW22+AX22+AY22+AR22+AU22)+2</f>
        <v>2</v>
      </c>
      <c r="D22" s="133"/>
      <c r="E22" s="134"/>
      <c r="F22" s="135"/>
      <c r="G22" s="136"/>
      <c r="H22" s="683"/>
      <c r="I22" s="676"/>
      <c r="J22" s="96"/>
      <c r="K22" s="96"/>
      <c r="L22" s="104"/>
      <c r="M22" s="75"/>
      <c r="N22" s="75"/>
      <c r="O22" s="100"/>
      <c r="P22" s="100"/>
      <c r="Q22" s="108"/>
      <c r="R22" s="108"/>
      <c r="S22" s="109"/>
      <c r="T22" s="109"/>
      <c r="U22" s="100"/>
      <c r="V22" s="142"/>
      <c r="W22" s="142"/>
      <c r="X22" s="100"/>
      <c r="Y22" s="100"/>
      <c r="Z22" s="100"/>
      <c r="AA22" s="142"/>
      <c r="AB22" s="142"/>
      <c r="AC22" s="100"/>
      <c r="AD22" s="109"/>
      <c r="AE22" s="109"/>
      <c r="AF22" s="109"/>
      <c r="AG22" s="109"/>
      <c r="AH22" s="108"/>
      <c r="AI22" s="109"/>
      <c r="AJ22" s="100"/>
      <c r="AK22" s="100"/>
      <c r="AL22" s="75"/>
      <c r="AM22" s="100"/>
      <c r="AN22" s="75"/>
      <c r="AO22" s="100"/>
      <c r="AP22" s="107"/>
      <c r="AQ22" s="100"/>
      <c r="AR22" s="75"/>
      <c r="AS22" s="111"/>
      <c r="AT22" s="75"/>
      <c r="AU22" s="431"/>
      <c r="AV22" s="111"/>
    </row>
    <row r="23" spans="1:48" ht="16.3">
      <c r="A23" s="83" t="s">
        <v>363</v>
      </c>
      <c r="B23" s="265">
        <f>SUM(B21+B22)</f>
        <v>24</v>
      </c>
      <c r="C23" s="214">
        <f>SUM(C21+C22)</f>
        <v>24</v>
      </c>
      <c r="D23" s="133"/>
      <c r="E23" s="134"/>
      <c r="F23" s="135"/>
      <c r="G23" s="136"/>
      <c r="H23" s="683"/>
      <c r="I23" s="676"/>
      <c r="J23" s="96"/>
      <c r="K23" s="96"/>
      <c r="L23" s="104"/>
      <c r="M23" s="75"/>
      <c r="N23" s="75"/>
      <c r="O23" s="100"/>
      <c r="P23" s="100"/>
      <c r="Q23" s="108"/>
      <c r="R23" s="108"/>
      <c r="S23" s="109"/>
      <c r="T23" s="109"/>
      <c r="U23" s="100"/>
      <c r="V23" s="142"/>
      <c r="W23" s="142"/>
      <c r="X23" s="100"/>
      <c r="Y23" s="100"/>
      <c r="Z23" s="100"/>
      <c r="AA23" s="142"/>
      <c r="AB23" s="142"/>
      <c r="AC23" s="100"/>
      <c r="AD23" s="109"/>
      <c r="AE23" s="109"/>
      <c r="AF23" s="109"/>
      <c r="AG23" s="109"/>
      <c r="AH23" s="108"/>
      <c r="AI23" s="109"/>
      <c r="AJ23" s="100"/>
      <c r="AK23" s="100"/>
      <c r="AL23" s="75"/>
      <c r="AM23" s="100"/>
      <c r="AN23" s="75"/>
      <c r="AO23" s="100"/>
      <c r="AP23" s="107"/>
      <c r="AQ23" s="100"/>
      <c r="AR23" s="75"/>
      <c r="AS23" s="111"/>
      <c r="AT23" s="75"/>
      <c r="AU23" s="431"/>
      <c r="AV23" s="111"/>
    </row>
    <row r="24" spans="1:48" ht="16.3">
      <c r="A24" s="246" t="s">
        <v>362</v>
      </c>
      <c r="B24" s="266">
        <f>SUM(L24+M24+N24+O24+P24+U24+X24+Y24+Z24+AC24+AK24+AL24+AK24+AO24+AR24+AS24+AU24+AV24+AW24+AX24)+2</f>
        <v>2</v>
      </c>
      <c r="C24" s="215">
        <f>SUM(L24+M24+N24+O24+P24+U24+Y24+Z24+X24+AC24+AL24+AK24+AL24+AP24+AS24+AO24+AV24+AW24+AX24+AY24+AR24+AU24)+2</f>
        <v>2</v>
      </c>
      <c r="D24" s="133"/>
      <c r="E24" s="134"/>
      <c r="F24" s="135"/>
      <c r="G24" s="136"/>
      <c r="H24" s="683"/>
      <c r="I24" s="676"/>
      <c r="J24" s="96"/>
      <c r="K24" s="96"/>
      <c r="L24" s="104"/>
      <c r="M24" s="75"/>
      <c r="N24" s="75"/>
      <c r="O24" s="100"/>
      <c r="P24" s="100"/>
      <c r="Q24" s="108"/>
      <c r="R24" s="108"/>
      <c r="S24" s="109"/>
      <c r="T24" s="109"/>
      <c r="U24" s="100"/>
      <c r="V24" s="142"/>
      <c r="W24" s="142"/>
      <c r="X24" s="100"/>
      <c r="Y24" s="100"/>
      <c r="Z24" s="100"/>
      <c r="AA24" s="142"/>
      <c r="AB24" s="142"/>
      <c r="AC24" s="100"/>
      <c r="AD24" s="109"/>
      <c r="AE24" s="109"/>
      <c r="AF24" s="109"/>
      <c r="AG24" s="109"/>
      <c r="AH24" s="108"/>
      <c r="AI24" s="109"/>
      <c r="AJ24" s="100"/>
      <c r="AK24" s="100"/>
      <c r="AL24" s="75"/>
      <c r="AM24" s="100"/>
      <c r="AN24" s="75"/>
      <c r="AO24" s="100"/>
      <c r="AP24" s="107"/>
      <c r="AQ24" s="100"/>
      <c r="AR24" s="75"/>
      <c r="AS24" s="111"/>
      <c r="AT24" s="75"/>
      <c r="AU24" s="431"/>
      <c r="AV24" s="111"/>
    </row>
    <row r="25" spans="1:48" ht="16.3">
      <c r="A25" s="83" t="s">
        <v>3</v>
      </c>
      <c r="B25" s="265">
        <f>SUM(L25+M25+N25+O25+P25+U25+X25+Y25+Z25+AC25+AK25+AL25+AK25+AO25+AR25+AS25+AU25+AV25+AW25+AX25)+5</f>
        <v>5</v>
      </c>
      <c r="C25" s="214">
        <f>SUM(L25+M25+N25+O25+P25+U25+Y25+Z25+X25+AC25+AL25+AK25+AL25+AP25+AS25+AO25+AV25+AW25+AX25+AY25+AR25+AU25)+5</f>
        <v>5</v>
      </c>
      <c r="D25" s="133"/>
      <c r="E25" s="134"/>
      <c r="F25" s="135"/>
      <c r="G25" s="136"/>
      <c r="H25" s="683"/>
      <c r="I25" s="676"/>
      <c r="J25" s="96"/>
      <c r="K25" s="96"/>
      <c r="L25" s="104"/>
      <c r="M25" s="75"/>
      <c r="N25" s="75"/>
      <c r="O25" s="100"/>
      <c r="P25" s="100"/>
      <c r="Q25" s="108"/>
      <c r="R25" s="108"/>
      <c r="S25" s="109"/>
      <c r="T25" s="109"/>
      <c r="U25" s="100"/>
      <c r="V25" s="142"/>
      <c r="W25" s="142"/>
      <c r="X25" s="100"/>
      <c r="Y25" s="100"/>
      <c r="Z25" s="100"/>
      <c r="AA25" s="142"/>
      <c r="AB25" s="142"/>
      <c r="AC25" s="100"/>
      <c r="AD25" s="109"/>
      <c r="AE25" s="109"/>
      <c r="AF25" s="109"/>
      <c r="AG25" s="109"/>
      <c r="AH25" s="108"/>
      <c r="AI25" s="109"/>
      <c r="AJ25" s="100"/>
      <c r="AK25" s="100"/>
      <c r="AL25" s="75"/>
      <c r="AM25" s="100"/>
      <c r="AN25" s="75"/>
      <c r="AO25" s="100"/>
      <c r="AP25" s="107"/>
      <c r="AQ25" s="100"/>
      <c r="AR25" s="75"/>
      <c r="AS25" s="111"/>
      <c r="AT25" s="75"/>
      <c r="AU25" s="431"/>
      <c r="AV25" s="111"/>
    </row>
    <row r="26" spans="1:48" ht="17" thickBot="1">
      <c r="A26" s="85" t="s">
        <v>4</v>
      </c>
      <c r="B26" s="268">
        <f>SUM(L26+M26+N26+O26+P26+U26+X26+Y26+Z26+AC26+AK26+AL26+AK26+AO26+AR26+AS26+AU26+AV26+AW26+AX26)+25</f>
        <v>25</v>
      </c>
      <c r="C26" s="217">
        <f>SUM(L26+M26+N26+O26+P26+U26+Y26+Z26+X26+AC26+AL26+AK26+AL26+AP26+AS26+AO26+AV26+AW26+AX26+AY26+AR26+AU26)+25</f>
        <v>25</v>
      </c>
      <c r="D26" s="144"/>
      <c r="E26" s="145"/>
      <c r="F26" s="146"/>
      <c r="G26" s="147"/>
      <c r="H26" s="684"/>
      <c r="I26" s="677"/>
      <c r="J26" s="114"/>
      <c r="K26" s="114"/>
      <c r="L26" s="113"/>
      <c r="M26" s="112"/>
      <c r="N26" s="112"/>
      <c r="O26" s="116"/>
      <c r="P26" s="116"/>
      <c r="Q26" s="117"/>
      <c r="R26" s="108"/>
      <c r="S26" s="109"/>
      <c r="T26" s="109"/>
      <c r="U26" s="100"/>
      <c r="V26" s="142"/>
      <c r="W26" s="142"/>
      <c r="X26" s="100"/>
      <c r="Y26" s="100"/>
      <c r="Z26" s="100"/>
      <c r="AA26" s="142"/>
      <c r="AB26" s="142"/>
      <c r="AC26" s="100"/>
      <c r="AD26" s="109"/>
      <c r="AE26" s="109"/>
      <c r="AF26" s="109"/>
      <c r="AG26" s="109"/>
      <c r="AH26" s="108"/>
      <c r="AI26" s="109"/>
      <c r="AJ26" s="100"/>
      <c r="AK26" s="100"/>
      <c r="AL26" s="75"/>
      <c r="AM26" s="100"/>
      <c r="AN26" s="75"/>
      <c r="AO26" s="100"/>
      <c r="AP26" s="107"/>
      <c r="AQ26" s="100"/>
      <c r="AR26" s="75"/>
      <c r="AS26" s="111"/>
      <c r="AT26" s="75"/>
      <c r="AU26" s="431"/>
      <c r="AV26" s="111"/>
    </row>
    <row r="27" spans="1:48" ht="21.1">
      <c r="A27" s="82" t="s">
        <v>232</v>
      </c>
      <c r="B27" s="265"/>
      <c r="C27" s="214"/>
      <c r="D27" s="133"/>
      <c r="E27" s="134"/>
      <c r="F27" s="135"/>
      <c r="G27" s="136"/>
      <c r="H27" s="683"/>
      <c r="I27" s="676"/>
      <c r="J27" s="96">
        <v>13</v>
      </c>
      <c r="K27" s="96">
        <v>13</v>
      </c>
      <c r="L27" s="104">
        <v>12</v>
      </c>
      <c r="M27" s="75" t="s">
        <v>381</v>
      </c>
      <c r="N27" s="75">
        <v>12</v>
      </c>
      <c r="O27" s="102" t="s">
        <v>375</v>
      </c>
      <c r="P27" s="102" t="s">
        <v>375</v>
      </c>
      <c r="Q27" s="98"/>
      <c r="R27" s="98"/>
      <c r="S27" s="99" t="s">
        <v>367</v>
      </c>
      <c r="T27" s="99"/>
      <c r="U27" s="102" t="s">
        <v>375</v>
      </c>
      <c r="V27" s="138" t="s">
        <v>379</v>
      </c>
      <c r="W27" s="138" t="s">
        <v>339</v>
      </c>
      <c r="X27" s="102" t="s">
        <v>339</v>
      </c>
      <c r="Y27" s="102" t="s">
        <v>339</v>
      </c>
      <c r="Z27" s="102" t="s">
        <v>339</v>
      </c>
      <c r="AA27" s="138" t="s">
        <v>339</v>
      </c>
      <c r="AB27" s="138" t="s">
        <v>375</v>
      </c>
      <c r="AC27" s="102" t="s">
        <v>393</v>
      </c>
      <c r="AD27" s="99">
        <v>13</v>
      </c>
      <c r="AE27" s="99" t="s">
        <v>339</v>
      </c>
      <c r="AF27" s="99" t="s">
        <v>339</v>
      </c>
      <c r="AG27" s="99" t="s">
        <v>339</v>
      </c>
      <c r="AH27" s="98"/>
      <c r="AI27" s="99"/>
      <c r="AJ27" s="102"/>
      <c r="AK27" s="102"/>
      <c r="AL27" s="122"/>
      <c r="AM27" s="102"/>
      <c r="AN27" s="122"/>
      <c r="AO27" s="102"/>
      <c r="AP27" s="131"/>
      <c r="AQ27" s="102"/>
      <c r="AR27" s="102"/>
      <c r="AS27" s="103"/>
      <c r="AT27" s="122"/>
      <c r="AU27" s="430"/>
      <c r="AV27" s="103"/>
    </row>
    <row r="28" spans="1:48" ht="16.3">
      <c r="A28" s="246" t="s">
        <v>1</v>
      </c>
      <c r="B28" s="266">
        <f>SUM(L28+M28+N28+O28+P28+U28+X28+Y28+Z28+AC28+AK28+AL28+AK28+AO28+AR28+AS28+AU28+AV28+AW28+AX28)+18</f>
        <v>21</v>
      </c>
      <c r="C28" s="215">
        <f>SUM(L28+M28+N28+O28+P28+U28+Y28+Z28+X28+AC28+AL28+AK28+AL28+AP28+AS28+AO28+AV28+AW28+AX28+AY28+AR28+AU28)+18</f>
        <v>21</v>
      </c>
      <c r="D28" s="139"/>
      <c r="E28" s="140"/>
      <c r="F28" s="169"/>
      <c r="G28" s="170"/>
      <c r="H28" s="685"/>
      <c r="I28" s="678"/>
      <c r="J28" s="96">
        <v>1</v>
      </c>
      <c r="K28" s="96">
        <v>1</v>
      </c>
      <c r="L28" s="104">
        <v>1</v>
      </c>
      <c r="M28" s="75">
        <v>1</v>
      </c>
      <c r="N28" s="75">
        <v>1</v>
      </c>
      <c r="O28" s="100"/>
      <c r="P28" s="100"/>
      <c r="Q28" s="108"/>
      <c r="R28" s="108"/>
      <c r="S28" s="109">
        <v>1</v>
      </c>
      <c r="T28" s="109"/>
      <c r="U28" s="100"/>
      <c r="V28" s="142">
        <v>1</v>
      </c>
      <c r="W28" s="142"/>
      <c r="X28" s="100"/>
      <c r="Y28" s="100"/>
      <c r="Z28" s="100"/>
      <c r="AA28" s="142"/>
      <c r="AB28" s="142"/>
      <c r="AC28" s="100"/>
      <c r="AD28" s="109">
        <v>1</v>
      </c>
      <c r="AE28" s="109"/>
      <c r="AF28" s="109"/>
      <c r="AG28" s="109"/>
      <c r="AH28" s="108"/>
      <c r="AI28" s="109"/>
      <c r="AJ28" s="100"/>
      <c r="AK28" s="100"/>
      <c r="AL28" s="75"/>
      <c r="AM28" s="100"/>
      <c r="AN28" s="75"/>
      <c r="AO28" s="100"/>
      <c r="AP28" s="107"/>
      <c r="AQ28" s="100"/>
      <c r="AR28" s="75"/>
      <c r="AS28" s="111"/>
      <c r="AT28" s="75"/>
      <c r="AU28" s="431"/>
      <c r="AV28" s="111"/>
    </row>
    <row r="29" spans="1:48" ht="16.3">
      <c r="A29" s="246" t="s">
        <v>2</v>
      </c>
      <c r="B29" s="266">
        <f>SUM(L29+M29+N29+O29+P29+U29+X29+Y29+Z29+AC29+AK29+AL29+AK29+AO29+AR29+AS29+AU29+AV29+AW29+AX29)+7</f>
        <v>10</v>
      </c>
      <c r="C29" s="215">
        <f>SUM(L29+M29+N29+O29+P29+U29+Y29+Z29+X29+AC29+AL29+AK29+AL29+AP29+AS29+AO29+AV29+AW29+AX29+AY29+AR29+AU29)+7</f>
        <v>10</v>
      </c>
      <c r="D29" s="139"/>
      <c r="E29" s="140"/>
      <c r="F29" s="169"/>
      <c r="G29" s="170"/>
      <c r="H29" s="685"/>
      <c r="I29" s="678"/>
      <c r="J29" s="96"/>
      <c r="K29" s="96"/>
      <c r="L29" s="104"/>
      <c r="M29" s="75"/>
      <c r="N29" s="75"/>
      <c r="O29" s="100">
        <v>1</v>
      </c>
      <c r="P29" s="100">
        <v>1</v>
      </c>
      <c r="Q29" s="108"/>
      <c r="R29" s="108"/>
      <c r="S29" s="109"/>
      <c r="T29" s="109"/>
      <c r="U29" s="100">
        <v>1</v>
      </c>
      <c r="V29" s="142"/>
      <c r="W29" s="142"/>
      <c r="X29" s="100"/>
      <c r="Y29" s="100"/>
      <c r="Z29" s="100"/>
      <c r="AA29" s="142"/>
      <c r="AB29" s="142">
        <v>1</v>
      </c>
      <c r="AC29" s="100"/>
      <c r="AD29" s="109"/>
      <c r="AE29" s="109"/>
      <c r="AF29" s="109"/>
      <c r="AG29" s="109"/>
      <c r="AH29" s="108"/>
      <c r="AI29" s="109"/>
      <c r="AJ29" s="100"/>
      <c r="AK29" s="100"/>
      <c r="AL29" s="75"/>
      <c r="AM29" s="100"/>
      <c r="AN29" s="75"/>
      <c r="AO29" s="100"/>
      <c r="AP29" s="107"/>
      <c r="AQ29" s="100"/>
      <c r="AR29" s="75"/>
      <c r="AS29" s="111"/>
      <c r="AT29" s="75"/>
      <c r="AU29" s="431"/>
      <c r="AV29" s="111"/>
    </row>
    <row r="30" spans="1:48" ht="16.3">
      <c r="A30" s="83" t="s">
        <v>363</v>
      </c>
      <c r="B30" s="265">
        <f>SUM(B28+B29)</f>
        <v>31</v>
      </c>
      <c r="C30" s="214">
        <f>SUM(C28+C29)</f>
        <v>31</v>
      </c>
      <c r="D30" s="133"/>
      <c r="E30" s="134"/>
      <c r="F30" s="135"/>
      <c r="G30" s="136"/>
      <c r="H30" s="683"/>
      <c r="I30" s="676"/>
      <c r="J30" s="96"/>
      <c r="K30" s="96"/>
      <c r="L30" s="104"/>
      <c r="M30" s="75"/>
      <c r="N30" s="75"/>
      <c r="O30" s="100"/>
      <c r="P30" s="100"/>
      <c r="Q30" s="108"/>
      <c r="R30" s="108"/>
      <c r="S30" s="109"/>
      <c r="T30" s="109"/>
      <c r="U30" s="100"/>
      <c r="V30" s="142"/>
      <c r="W30" s="142"/>
      <c r="X30" s="100"/>
      <c r="Y30" s="100"/>
      <c r="Z30" s="100"/>
      <c r="AA30" s="142"/>
      <c r="AB30" s="142"/>
      <c r="AC30" s="100"/>
      <c r="AD30" s="109"/>
      <c r="AE30" s="109"/>
      <c r="AF30" s="109"/>
      <c r="AG30" s="109"/>
      <c r="AH30" s="108"/>
      <c r="AI30" s="109"/>
      <c r="AJ30" s="100"/>
      <c r="AK30" s="100"/>
      <c r="AL30" s="75"/>
      <c r="AM30" s="100"/>
      <c r="AN30" s="75"/>
      <c r="AO30" s="100"/>
      <c r="AP30" s="107"/>
      <c r="AQ30" s="100"/>
      <c r="AR30" s="75"/>
      <c r="AS30" s="111"/>
      <c r="AT30" s="75"/>
      <c r="AU30" s="431"/>
      <c r="AV30" s="111"/>
    </row>
    <row r="31" spans="1:48" ht="16.3">
      <c r="A31" s="246" t="s">
        <v>362</v>
      </c>
      <c r="B31" s="266">
        <f>SUM(L31+M31+N31+O31+P31+U31+X31+Y31+Z31+AC31+AK31+AL31+AK31+AO31+AR31+AS31+AU31+AV31+AW31+AX31)+1</f>
        <v>1</v>
      </c>
      <c r="C31" s="215">
        <f>SUM(L31+M31+N31+O31+P31+U31+Y31+Z31+X31+AC31+AL31+AK31+AL31+AP31+AS31+AO31+AV31+AW31+AX31+AY31+AR31+AU31)+1</f>
        <v>1</v>
      </c>
      <c r="D31" s="133"/>
      <c r="E31" s="134"/>
      <c r="F31" s="135"/>
      <c r="G31" s="136"/>
      <c r="H31" s="683"/>
      <c r="I31" s="676"/>
      <c r="J31" s="96"/>
      <c r="K31" s="96"/>
      <c r="L31" s="104"/>
      <c r="M31" s="75"/>
      <c r="N31" s="75"/>
      <c r="O31" s="100"/>
      <c r="P31" s="100"/>
      <c r="Q31" s="108"/>
      <c r="R31" s="108"/>
      <c r="S31" s="109"/>
      <c r="T31" s="109"/>
      <c r="U31" s="100"/>
      <c r="V31" s="142"/>
      <c r="W31" s="142"/>
      <c r="X31" s="100"/>
      <c r="Y31" s="100"/>
      <c r="Z31" s="100"/>
      <c r="AA31" s="142"/>
      <c r="AB31" s="142"/>
      <c r="AC31" s="100"/>
      <c r="AD31" s="109"/>
      <c r="AE31" s="109"/>
      <c r="AF31" s="109"/>
      <c r="AG31" s="109"/>
      <c r="AH31" s="108"/>
      <c r="AI31" s="109"/>
      <c r="AJ31" s="100"/>
      <c r="AK31" s="100"/>
      <c r="AL31" s="75"/>
      <c r="AM31" s="100"/>
      <c r="AN31" s="75"/>
      <c r="AO31" s="100"/>
      <c r="AP31" s="107"/>
      <c r="AQ31" s="100"/>
      <c r="AR31" s="75"/>
      <c r="AS31" s="111"/>
      <c r="AT31" s="75"/>
      <c r="AU31" s="431"/>
      <c r="AV31" s="111"/>
    </row>
    <row r="32" spans="1:48" ht="16.3">
      <c r="A32" s="83" t="s">
        <v>3</v>
      </c>
      <c r="B32" s="265">
        <f>SUM(L32+M32+N32+O32+P32+U32+X32+Y32+Z32+AC32+AK32+AL32+AK32+AO32+AR32+AS32+AU32+AV32+AW32+AX32)+1</f>
        <v>2</v>
      </c>
      <c r="C32" s="214">
        <f>SUM(L32+M32+N32+O32+P32+U32+Y32+Z32+X32+AC32+AL32+AK32+AL32+AP32+AS32+AO32+AV32+AW32+AX32+AY32+AR32+AU32)+1</f>
        <v>2</v>
      </c>
      <c r="D32" s="133"/>
      <c r="E32" s="134"/>
      <c r="F32" s="135"/>
      <c r="G32" s="136"/>
      <c r="H32" s="683"/>
      <c r="I32" s="676"/>
      <c r="J32" s="96"/>
      <c r="K32" s="96"/>
      <c r="L32" s="104"/>
      <c r="M32" s="75"/>
      <c r="N32" s="75">
        <v>1</v>
      </c>
      <c r="O32" s="100"/>
      <c r="P32" s="100"/>
      <c r="Q32" s="108"/>
      <c r="R32" s="108"/>
      <c r="S32" s="109"/>
      <c r="T32" s="109"/>
      <c r="U32" s="100"/>
      <c r="V32" s="142"/>
      <c r="W32" s="142"/>
      <c r="X32" s="100"/>
      <c r="Y32" s="100"/>
      <c r="Z32" s="100"/>
      <c r="AA32" s="142"/>
      <c r="AB32" s="142"/>
      <c r="AC32" s="100"/>
      <c r="AD32" s="109"/>
      <c r="AE32" s="109"/>
      <c r="AF32" s="109"/>
      <c r="AG32" s="109"/>
      <c r="AH32" s="108"/>
      <c r="AI32" s="109"/>
      <c r="AJ32" s="100"/>
      <c r="AK32" s="100"/>
      <c r="AL32" s="75"/>
      <c r="AM32" s="100"/>
      <c r="AN32" s="75"/>
      <c r="AO32" s="100"/>
      <c r="AP32" s="107"/>
      <c r="AQ32" s="100"/>
      <c r="AR32" s="75"/>
      <c r="AS32" s="111"/>
      <c r="AT32" s="75"/>
      <c r="AU32" s="431"/>
      <c r="AV32" s="111"/>
    </row>
    <row r="33" spans="1:48" ht="17" thickBot="1">
      <c r="A33" s="85" t="s">
        <v>4</v>
      </c>
      <c r="B33" s="268">
        <f>SUM(L33+M33+N33+O33+P33+U33+X33+Y33+Z33+AC33+AK33+AL33+AK33+AO33+AR33+AS33+AU33+AV33+AW33+AX33)+5</f>
        <v>10</v>
      </c>
      <c r="C33" s="217">
        <f>SUM(L33+M33+N33+O33+P33+U33+Y33+Z33+X33+AC33+AL33+AK33+AL33+AP33+AS33+AO33+AV33+AW33+AX33+AY33+AR33+AU33)+5</f>
        <v>10</v>
      </c>
      <c r="D33" s="144"/>
      <c r="E33" s="145"/>
      <c r="F33" s="146"/>
      <c r="G33" s="147"/>
      <c r="H33" s="684"/>
      <c r="I33" s="677"/>
      <c r="J33" s="114"/>
      <c r="K33" s="114"/>
      <c r="L33" s="113"/>
      <c r="M33" s="112"/>
      <c r="N33" s="112">
        <v>5</v>
      </c>
      <c r="O33" s="116"/>
      <c r="P33" s="116"/>
      <c r="Q33" s="117"/>
      <c r="R33" s="117"/>
      <c r="S33" s="118"/>
      <c r="T33" s="118"/>
      <c r="U33" s="116"/>
      <c r="V33" s="149"/>
      <c r="W33" s="149"/>
      <c r="X33" s="116"/>
      <c r="Y33" s="116"/>
      <c r="Z33" s="116"/>
      <c r="AA33" s="149"/>
      <c r="AB33" s="149"/>
      <c r="AC33" s="116"/>
      <c r="AD33" s="118"/>
      <c r="AE33" s="118"/>
      <c r="AF33" s="118"/>
      <c r="AG33" s="118"/>
      <c r="AH33" s="117"/>
      <c r="AI33" s="118"/>
      <c r="AJ33" s="116"/>
      <c r="AK33" s="116"/>
      <c r="AL33" s="112"/>
      <c r="AM33" s="116"/>
      <c r="AN33" s="112"/>
      <c r="AO33" s="116"/>
      <c r="AP33" s="130"/>
      <c r="AQ33" s="116"/>
      <c r="AR33" s="112"/>
      <c r="AS33" s="121"/>
      <c r="AT33" s="112"/>
      <c r="AU33" s="432"/>
      <c r="AV33" s="121"/>
    </row>
    <row r="34" spans="1:48" ht="21.1">
      <c r="A34" s="82" t="s">
        <v>13</v>
      </c>
      <c r="B34" s="265"/>
      <c r="C34" s="214"/>
      <c r="D34" s="133"/>
      <c r="E34" s="134"/>
      <c r="F34" s="135"/>
      <c r="G34" s="136"/>
      <c r="H34" s="683"/>
      <c r="I34" s="676"/>
      <c r="J34" s="96" t="s">
        <v>339</v>
      </c>
      <c r="K34" s="96" t="s">
        <v>339</v>
      </c>
      <c r="L34" s="104" t="s">
        <v>339</v>
      </c>
      <c r="M34" s="75" t="s">
        <v>339</v>
      </c>
      <c r="N34" s="75" t="s">
        <v>339</v>
      </c>
      <c r="O34" s="102" t="s">
        <v>367</v>
      </c>
      <c r="P34" s="102">
        <v>11</v>
      </c>
      <c r="Q34" s="98"/>
      <c r="R34" s="98"/>
      <c r="S34" s="99"/>
      <c r="T34" s="99"/>
      <c r="U34" s="102">
        <v>11</v>
      </c>
      <c r="V34" s="138">
        <v>14</v>
      </c>
      <c r="W34" s="138"/>
      <c r="X34" s="102">
        <v>15</v>
      </c>
      <c r="Y34" s="102">
        <v>15</v>
      </c>
      <c r="Z34" s="102">
        <v>15</v>
      </c>
      <c r="AA34" s="138">
        <v>15</v>
      </c>
      <c r="AB34" s="138">
        <v>15</v>
      </c>
      <c r="AC34" s="102">
        <v>15</v>
      </c>
      <c r="AD34" s="99"/>
      <c r="AE34" s="99"/>
      <c r="AF34" s="99"/>
      <c r="AG34" s="99">
        <v>11</v>
      </c>
      <c r="AH34" s="98"/>
      <c r="AI34" s="99" t="s">
        <v>367</v>
      </c>
      <c r="AJ34" s="102"/>
      <c r="AK34" s="102"/>
      <c r="AL34" s="122"/>
      <c r="AM34" s="102"/>
      <c r="AN34" s="122"/>
      <c r="AO34" s="102"/>
      <c r="AP34" s="131"/>
      <c r="AQ34" s="102"/>
      <c r="AR34" s="122"/>
      <c r="AS34" s="103"/>
      <c r="AT34" s="122"/>
      <c r="AU34" s="430"/>
      <c r="AV34" s="103"/>
    </row>
    <row r="35" spans="1:48" ht="16.3">
      <c r="A35" s="246" t="s">
        <v>1</v>
      </c>
      <c r="B35" s="266">
        <f>SUM(L35+M35+N35+O35+P35+U35+X35+Y35+Z35+AC35+AK35+AL35+AK35+AO35+AR35+AS35+AU35+AV35+AW35+AX35)+138</f>
        <v>145</v>
      </c>
      <c r="C35" s="215">
        <f>SUM(L35+M35+N35+O35+P35+U35+Y35+Z35+X35+AC35+AL35+AK35+AL35+AP35+AS35+AO35+AV35+AW35+AX35+AY35+AR35+AU35)+157</f>
        <v>164</v>
      </c>
      <c r="D35" s="139"/>
      <c r="E35" s="140"/>
      <c r="F35" s="135"/>
      <c r="G35" s="136"/>
      <c r="H35" s="683"/>
      <c r="I35" s="676"/>
      <c r="J35" s="96"/>
      <c r="K35" s="96"/>
      <c r="L35" s="104"/>
      <c r="M35" s="75"/>
      <c r="N35" s="75"/>
      <c r="O35" s="100">
        <v>1</v>
      </c>
      <c r="P35" s="100">
        <v>1</v>
      </c>
      <c r="Q35" s="108"/>
      <c r="R35" s="108"/>
      <c r="S35" s="109"/>
      <c r="T35" s="109"/>
      <c r="U35" s="100">
        <v>1</v>
      </c>
      <c r="V35" s="142">
        <v>1</v>
      </c>
      <c r="W35" s="142"/>
      <c r="X35" s="100">
        <v>1</v>
      </c>
      <c r="Y35" s="100">
        <v>1</v>
      </c>
      <c r="Z35" s="100">
        <v>1</v>
      </c>
      <c r="AA35" s="142">
        <v>1</v>
      </c>
      <c r="AB35" s="142">
        <v>1</v>
      </c>
      <c r="AC35" s="100">
        <v>1</v>
      </c>
      <c r="AD35" s="109"/>
      <c r="AE35" s="109"/>
      <c r="AF35" s="109"/>
      <c r="AG35" s="109">
        <v>1</v>
      </c>
      <c r="AH35" s="108"/>
      <c r="AI35" s="109">
        <v>1</v>
      </c>
      <c r="AJ35" s="100"/>
      <c r="AK35" s="100"/>
      <c r="AL35" s="75"/>
      <c r="AM35" s="100"/>
      <c r="AN35" s="75"/>
      <c r="AO35" s="100"/>
      <c r="AP35" s="107"/>
      <c r="AQ35" s="100"/>
      <c r="AR35" s="75"/>
      <c r="AS35" s="111"/>
      <c r="AT35" s="75"/>
      <c r="AU35" s="431"/>
      <c r="AV35" s="111"/>
    </row>
    <row r="36" spans="1:48" ht="16.3">
      <c r="A36" s="246" t="s">
        <v>2</v>
      </c>
      <c r="B36" s="266">
        <f>SUM(L36+M36+N36+O36+P36+U36+X36+Y36+Z36+AC36+AK36+AL36+AK36+AO36+AR36+AS36+AU36+AV36+AW36+AX36)+5</f>
        <v>5</v>
      </c>
      <c r="C36" s="215">
        <f>SUM(L36+M36+N36+O36+P36+U36+Y36+Z36+X36+AC36+AL36+AK36+AL36+AP36+AS36+AO36+AV36+AW36+AX36+AY36+AR36+AU36)+10</f>
        <v>10</v>
      </c>
      <c r="D36" s="139"/>
      <c r="E36" s="140"/>
      <c r="F36" s="135"/>
      <c r="G36" s="136"/>
      <c r="H36" s="683"/>
      <c r="I36" s="676"/>
      <c r="J36" s="96"/>
      <c r="K36" s="96"/>
      <c r="L36" s="104"/>
      <c r="M36" s="75"/>
      <c r="N36" s="75"/>
      <c r="O36" s="100"/>
      <c r="P36" s="100"/>
      <c r="Q36" s="108"/>
      <c r="R36" s="108"/>
      <c r="S36" s="109"/>
      <c r="T36" s="109"/>
      <c r="U36" s="100"/>
      <c r="V36" s="142"/>
      <c r="W36" s="142"/>
      <c r="X36" s="100"/>
      <c r="Y36" s="100"/>
      <c r="Z36" s="100"/>
      <c r="AA36" s="142"/>
      <c r="AB36" s="142"/>
      <c r="AC36" s="100"/>
      <c r="AD36" s="109"/>
      <c r="AE36" s="109"/>
      <c r="AF36" s="109"/>
      <c r="AG36" s="109"/>
      <c r="AH36" s="108"/>
      <c r="AI36" s="109"/>
      <c r="AJ36" s="100"/>
      <c r="AK36" s="100"/>
      <c r="AL36" s="75"/>
      <c r="AM36" s="100"/>
      <c r="AN36" s="75"/>
      <c r="AO36" s="100"/>
      <c r="AP36" s="107"/>
      <c r="AQ36" s="100"/>
      <c r="AR36" s="75"/>
      <c r="AS36" s="111"/>
      <c r="AT36" s="75"/>
      <c r="AU36" s="431"/>
      <c r="AV36" s="111"/>
    </row>
    <row r="37" spans="1:48" ht="16.3">
      <c r="A37" s="83" t="s">
        <v>363</v>
      </c>
      <c r="B37" s="265">
        <f>SUM(B35+B36)</f>
        <v>150</v>
      </c>
      <c r="C37" s="214">
        <f>SUM(C35+C36)</f>
        <v>174</v>
      </c>
      <c r="D37" s="133"/>
      <c r="E37" s="134"/>
      <c r="F37" s="135"/>
      <c r="G37" s="136"/>
      <c r="H37" s="683"/>
      <c r="I37" s="676"/>
      <c r="J37" s="96"/>
      <c r="K37" s="96"/>
      <c r="L37" s="104"/>
      <c r="M37" s="75"/>
      <c r="N37" s="75"/>
      <c r="O37" s="100"/>
      <c r="P37" s="100"/>
      <c r="Q37" s="108"/>
      <c r="R37" s="108"/>
      <c r="S37" s="109"/>
      <c r="T37" s="109"/>
      <c r="U37" s="100"/>
      <c r="V37" s="142"/>
      <c r="W37" s="142"/>
      <c r="X37" s="100"/>
      <c r="Y37" s="100"/>
      <c r="Z37" s="100"/>
      <c r="AA37" s="142"/>
      <c r="AB37" s="142"/>
      <c r="AC37" s="100"/>
      <c r="AD37" s="109"/>
      <c r="AE37" s="109"/>
      <c r="AF37" s="109"/>
      <c r="AG37" s="109"/>
      <c r="AH37" s="108"/>
      <c r="AI37" s="109"/>
      <c r="AJ37" s="100"/>
      <c r="AK37" s="100"/>
      <c r="AL37" s="75"/>
      <c r="AM37" s="100"/>
      <c r="AN37" s="75"/>
      <c r="AO37" s="100"/>
      <c r="AP37" s="107"/>
      <c r="AQ37" s="100"/>
      <c r="AR37" s="75"/>
      <c r="AS37" s="111"/>
      <c r="AT37" s="75"/>
      <c r="AU37" s="431"/>
      <c r="AV37" s="111"/>
    </row>
    <row r="38" spans="1:48" ht="16.3">
      <c r="A38" s="246" t="s">
        <v>362</v>
      </c>
      <c r="B38" s="266">
        <f>SUM(L38+M38+N38+O38+P38+U38+X38+Y38+Z38+AC38+AK38+AL38+AK38+AO38+AR38+AS38+AU38+AV38+AW38+AX38)+3</f>
        <v>3</v>
      </c>
      <c r="C38" s="215">
        <f>SUM(L38+M38+N38+O38+P38+U38+Y38+Z38+X38+AC38+AL38+AK38+AL38+AP38+AS38+AO38+AV38+AW38+AX38+AY38+AR38+AU38)+3</f>
        <v>3</v>
      </c>
      <c r="D38" s="139"/>
      <c r="E38" s="140"/>
      <c r="F38" s="169"/>
      <c r="G38" s="170"/>
      <c r="H38" s="685"/>
      <c r="I38" s="678"/>
      <c r="J38" s="96"/>
      <c r="K38" s="96"/>
      <c r="L38" s="104"/>
      <c r="M38" s="75"/>
      <c r="N38" s="75"/>
      <c r="O38" s="100"/>
      <c r="P38" s="100"/>
      <c r="Q38" s="108"/>
      <c r="R38" s="108"/>
      <c r="S38" s="109"/>
      <c r="T38" s="109"/>
      <c r="U38" s="100"/>
      <c r="V38" s="142"/>
      <c r="W38" s="142"/>
      <c r="X38" s="100"/>
      <c r="Y38" s="100"/>
      <c r="Z38" s="100"/>
      <c r="AA38" s="142"/>
      <c r="AB38" s="142"/>
      <c r="AC38" s="100"/>
      <c r="AD38" s="109"/>
      <c r="AE38" s="109"/>
      <c r="AF38" s="109"/>
      <c r="AG38" s="109"/>
      <c r="AH38" s="108"/>
      <c r="AI38" s="109"/>
      <c r="AJ38" s="100"/>
      <c r="AK38" s="100"/>
      <c r="AL38" s="75"/>
      <c r="AM38" s="100"/>
      <c r="AN38" s="75"/>
      <c r="AO38" s="100"/>
      <c r="AP38" s="107"/>
      <c r="AQ38" s="100"/>
      <c r="AR38" s="75"/>
      <c r="AS38" s="111"/>
      <c r="AT38" s="75"/>
      <c r="AU38" s="431"/>
      <c r="AV38" s="111"/>
    </row>
    <row r="39" spans="1:48" ht="16.3">
      <c r="A39" s="246" t="s">
        <v>364</v>
      </c>
      <c r="B39" s="266">
        <f>SUM(L39+M39+N39+O39+P39+U39+X39+Y39+Z39+AC39+AK39+AL39+AK39+AO39+AR39+AS39+AU39+AV39+AW39+AX39)+1</f>
        <v>1</v>
      </c>
      <c r="C39" s="215">
        <f>SUM(L39+M39+N39+O39+P39+U39+Y39+Z39+X39+AC39+AL39+AK39+AL39+AP39+AS39+AO39+AV39+AW39+AX39+AY39+AR39+AU39)+1</f>
        <v>1</v>
      </c>
      <c r="D39" s="139"/>
      <c r="E39" s="140"/>
      <c r="F39" s="169"/>
      <c r="G39" s="170"/>
      <c r="H39" s="685"/>
      <c r="I39" s="678"/>
      <c r="J39" s="96"/>
      <c r="K39" s="96"/>
      <c r="L39" s="104"/>
      <c r="M39" s="75"/>
      <c r="N39" s="75"/>
      <c r="O39" s="100"/>
      <c r="P39" s="100"/>
      <c r="Q39" s="108"/>
      <c r="R39" s="108"/>
      <c r="S39" s="109"/>
      <c r="T39" s="109"/>
      <c r="U39" s="100"/>
      <c r="V39" s="142"/>
      <c r="W39" s="142"/>
      <c r="X39" s="100"/>
      <c r="Y39" s="100"/>
      <c r="Z39" s="100"/>
      <c r="AA39" s="142"/>
      <c r="AB39" s="142"/>
      <c r="AC39" s="100"/>
      <c r="AD39" s="109"/>
      <c r="AE39" s="109"/>
      <c r="AF39" s="109"/>
      <c r="AG39" s="109"/>
      <c r="AH39" s="108"/>
      <c r="AI39" s="109"/>
      <c r="AJ39" s="100"/>
      <c r="AK39" s="100"/>
      <c r="AL39" s="75"/>
      <c r="AM39" s="100"/>
      <c r="AN39" s="75"/>
      <c r="AO39" s="100"/>
      <c r="AP39" s="107"/>
      <c r="AQ39" s="100"/>
      <c r="AR39" s="75"/>
      <c r="AS39" s="111"/>
      <c r="AT39" s="75"/>
      <c r="AU39" s="431"/>
      <c r="AV39" s="111"/>
    </row>
    <row r="40" spans="1:48" ht="16.3">
      <c r="A40" s="83" t="s">
        <v>3</v>
      </c>
      <c r="B40" s="265">
        <f>SUM(L40+M40+N40+O40+P40+U40+X40+Y40+Z40+AC40+AK40+AL40+AK40+AO40+AR40+AS40+AU40+AV40+AW40+AX40)+49</f>
        <v>51</v>
      </c>
      <c r="C40" s="214">
        <f>SUM(L40+M40+N40+O40+P40+U40+Y40+Z40+X40+AC40+AL40+AK40+AL40+AP40+AS40+AO40+AV40+AW40+AX40+AY40+AR40+AU40)+55</f>
        <v>57</v>
      </c>
      <c r="D40" s="133"/>
      <c r="E40" s="134"/>
      <c r="F40" s="135"/>
      <c r="G40" s="136"/>
      <c r="H40" s="683"/>
      <c r="I40" s="676"/>
      <c r="J40" s="96"/>
      <c r="K40" s="96"/>
      <c r="L40" s="104"/>
      <c r="M40" s="75"/>
      <c r="N40" s="75"/>
      <c r="O40" s="100"/>
      <c r="P40" s="100"/>
      <c r="Q40" s="108"/>
      <c r="R40" s="108"/>
      <c r="S40" s="109"/>
      <c r="T40" s="109"/>
      <c r="U40" s="100">
        <v>1</v>
      </c>
      <c r="V40" s="142"/>
      <c r="W40" s="142"/>
      <c r="X40" s="100"/>
      <c r="Y40" s="100"/>
      <c r="Z40" s="100">
        <v>1</v>
      </c>
      <c r="AA40" s="142"/>
      <c r="AB40" s="142"/>
      <c r="AC40" s="100"/>
      <c r="AD40" s="109"/>
      <c r="AE40" s="109"/>
      <c r="AF40" s="109"/>
      <c r="AG40" s="109">
        <v>1</v>
      </c>
      <c r="AH40" s="108"/>
      <c r="AI40" s="109"/>
      <c r="AJ40" s="100"/>
      <c r="AK40" s="100"/>
      <c r="AL40" s="75"/>
      <c r="AM40" s="100"/>
      <c r="AN40" s="75"/>
      <c r="AO40" s="100"/>
      <c r="AP40" s="107"/>
      <c r="AQ40" s="100"/>
      <c r="AR40" s="75"/>
      <c r="AS40" s="111"/>
      <c r="AT40" s="75"/>
      <c r="AU40" s="431"/>
      <c r="AV40" s="111"/>
    </row>
    <row r="41" spans="1:48" ht="17" thickBot="1">
      <c r="A41" s="85" t="s">
        <v>4</v>
      </c>
      <c r="B41" s="268">
        <f>SUM(L41+M41+N41+O41+P41+U41+X41+Y41+Z41+AC41+AK41+AL41+AK41+AO41+AR41+AS41+AU41+AV41+AW41+AX41)+245</f>
        <v>255</v>
      </c>
      <c r="C41" s="217">
        <f>SUM(L41+M41+N41+O41+P41+U41+Y41+Z41+X41+AC41+AL41+AK41+AL41+AP41+AS41+AO41+AV41+AW41+AX41+AY41+AR41+AU41)+275</f>
        <v>285</v>
      </c>
      <c r="D41" s="144"/>
      <c r="E41" s="145"/>
      <c r="F41" s="146"/>
      <c r="G41" s="147"/>
      <c r="H41" s="684"/>
      <c r="I41" s="677"/>
      <c r="J41" s="114"/>
      <c r="K41" s="114"/>
      <c r="L41" s="113"/>
      <c r="M41" s="112"/>
      <c r="N41" s="112"/>
      <c r="O41" s="116"/>
      <c r="P41" s="116"/>
      <c r="Q41" s="117"/>
      <c r="R41" s="117"/>
      <c r="S41" s="118"/>
      <c r="T41" s="118"/>
      <c r="U41" s="116">
        <v>5</v>
      </c>
      <c r="V41" s="149"/>
      <c r="W41" s="149"/>
      <c r="X41" s="116"/>
      <c r="Y41" s="116"/>
      <c r="Z41" s="116">
        <v>5</v>
      </c>
      <c r="AA41" s="149"/>
      <c r="AB41" s="149"/>
      <c r="AC41" s="116"/>
      <c r="AD41" s="118"/>
      <c r="AE41" s="118"/>
      <c r="AF41" s="118"/>
      <c r="AG41" s="118">
        <v>5</v>
      </c>
      <c r="AH41" s="117"/>
      <c r="AI41" s="118"/>
      <c r="AJ41" s="116"/>
      <c r="AK41" s="116"/>
      <c r="AL41" s="112"/>
      <c r="AM41" s="116"/>
      <c r="AN41" s="112"/>
      <c r="AO41" s="116"/>
      <c r="AP41" s="130"/>
      <c r="AQ41" s="116"/>
      <c r="AR41" s="112"/>
      <c r="AS41" s="121"/>
      <c r="AT41" s="112"/>
      <c r="AU41" s="432"/>
      <c r="AV41" s="121"/>
    </row>
    <row r="42" spans="1:48" ht="21.1">
      <c r="A42" s="82" t="s">
        <v>175</v>
      </c>
      <c r="B42" s="265"/>
      <c r="C42" s="214"/>
      <c r="D42" s="133"/>
      <c r="E42" s="134"/>
      <c r="F42" s="135"/>
      <c r="G42" s="136"/>
      <c r="H42" s="683"/>
      <c r="I42" s="676"/>
      <c r="J42" s="96" t="s">
        <v>501</v>
      </c>
      <c r="K42" s="96" t="s">
        <v>339</v>
      </c>
      <c r="L42" s="104" t="s">
        <v>383</v>
      </c>
      <c r="M42" s="75" t="s">
        <v>695</v>
      </c>
      <c r="N42" s="75">
        <v>14</v>
      </c>
      <c r="O42" s="102">
        <v>14</v>
      </c>
      <c r="P42" s="102">
        <v>14</v>
      </c>
      <c r="Q42" s="98"/>
      <c r="R42" s="98"/>
      <c r="S42" s="99" t="s">
        <v>775</v>
      </c>
      <c r="T42" s="99" t="s">
        <v>775</v>
      </c>
      <c r="U42" s="102">
        <v>14</v>
      </c>
      <c r="V42" s="138">
        <v>11</v>
      </c>
      <c r="W42" s="138"/>
      <c r="X42" s="102">
        <v>14</v>
      </c>
      <c r="Y42" s="102">
        <v>14</v>
      </c>
      <c r="Z42" s="102">
        <v>14</v>
      </c>
      <c r="AA42" s="138">
        <v>14</v>
      </c>
      <c r="AB42" s="138">
        <v>14</v>
      </c>
      <c r="AC42" s="102">
        <v>14</v>
      </c>
      <c r="AD42" s="99" t="s">
        <v>775</v>
      </c>
      <c r="AE42" s="99" t="s">
        <v>339</v>
      </c>
      <c r="AF42" s="99" t="s">
        <v>339</v>
      </c>
      <c r="AG42" s="99" t="s">
        <v>339</v>
      </c>
      <c r="AH42" s="98"/>
      <c r="AI42" s="99" t="s">
        <v>339</v>
      </c>
      <c r="AJ42" s="102"/>
      <c r="AK42" s="102"/>
      <c r="AL42" s="122"/>
      <c r="AM42" s="102"/>
      <c r="AN42" s="122"/>
      <c r="AO42" s="122"/>
      <c r="AP42" s="131"/>
      <c r="AQ42" s="122"/>
      <c r="AR42" s="122"/>
      <c r="AS42" s="103"/>
      <c r="AT42" s="122"/>
      <c r="AU42" s="430"/>
      <c r="AV42" s="103"/>
    </row>
    <row r="43" spans="1:48" ht="16.3">
      <c r="A43" s="246" t="s">
        <v>1</v>
      </c>
      <c r="B43" s="266">
        <f>SUM(L43+M43+N43+O43+P43+U43+X43+Y43+Z43+AC43+AK43+AL43+AK43+AO43+AR43+AS43+AU43+AV43+AW43+AX43)+21</f>
        <v>31</v>
      </c>
      <c r="C43" s="215">
        <f>SUM(L43+M43+N43+O43+P43+U43+Y43+Z43+X43+AC43+AL43+AK43+AL43+AP43+AS43+AO43+AV43+AW43+AX43+AY43+AR43+AU43)+21</f>
        <v>31</v>
      </c>
      <c r="D43" s="139"/>
      <c r="E43" s="140"/>
      <c r="F43" s="169"/>
      <c r="G43" s="170"/>
      <c r="H43" s="685"/>
      <c r="I43" s="678"/>
      <c r="J43" s="96"/>
      <c r="K43" s="96"/>
      <c r="L43" s="104">
        <v>1</v>
      </c>
      <c r="M43" s="75">
        <v>1</v>
      </c>
      <c r="N43" s="75">
        <v>1</v>
      </c>
      <c r="O43" s="100">
        <v>1</v>
      </c>
      <c r="P43" s="100">
        <v>1</v>
      </c>
      <c r="Q43" s="108"/>
      <c r="R43" s="108"/>
      <c r="S43" s="109"/>
      <c r="T43" s="109"/>
      <c r="U43" s="100">
        <v>1</v>
      </c>
      <c r="V43" s="142">
        <v>1</v>
      </c>
      <c r="W43" s="142"/>
      <c r="X43" s="100">
        <v>1</v>
      </c>
      <c r="Y43" s="100">
        <v>1</v>
      </c>
      <c r="Z43" s="100">
        <v>1</v>
      </c>
      <c r="AA43" s="142">
        <v>1</v>
      </c>
      <c r="AB43" s="142">
        <v>1</v>
      </c>
      <c r="AC43" s="100">
        <v>1</v>
      </c>
      <c r="AD43" s="109"/>
      <c r="AE43" s="109"/>
      <c r="AF43" s="109"/>
      <c r="AG43" s="109"/>
      <c r="AH43" s="108"/>
      <c r="AI43" s="109"/>
      <c r="AJ43" s="100"/>
      <c r="AK43" s="100"/>
      <c r="AL43" s="75"/>
      <c r="AM43" s="100"/>
      <c r="AN43" s="75"/>
      <c r="AO43" s="100"/>
      <c r="AP43" s="107"/>
      <c r="AQ43" s="100"/>
      <c r="AR43" s="75"/>
      <c r="AS43" s="111"/>
      <c r="AT43" s="75"/>
      <c r="AU43" s="431"/>
      <c r="AV43" s="111"/>
    </row>
    <row r="44" spans="1:48" ht="16.3">
      <c r="A44" s="246" t="s">
        <v>2</v>
      </c>
      <c r="B44" s="266">
        <f>SUM(L44+M44+N44+O44+P44+U44+X44+Y44+Z44+AC44+AK44+AL44+AK44+AO44+AR44+AS44+AU44+AV44+AW44+AX44)+1</f>
        <v>1</v>
      </c>
      <c r="C44" s="215">
        <f>SUM(L44+M44+N44+O44+P44+U44+Y44+Z44+X44+AC44+AL44+AK44+AL44+AP44+AS44+AO44+AV44+AW44+AX44+AY44+AR44+AU44)+1</f>
        <v>1</v>
      </c>
      <c r="D44" s="139"/>
      <c r="E44" s="140"/>
      <c r="F44" s="169"/>
      <c r="G44" s="170"/>
      <c r="H44" s="685"/>
      <c r="I44" s="678"/>
      <c r="J44" s="96"/>
      <c r="K44" s="96"/>
      <c r="L44" s="104"/>
      <c r="M44" s="75"/>
      <c r="N44" s="75"/>
      <c r="O44" s="100"/>
      <c r="P44" s="100"/>
      <c r="Q44" s="108"/>
      <c r="R44" s="108"/>
      <c r="S44" s="109"/>
      <c r="T44" s="109"/>
      <c r="U44" s="100"/>
      <c r="V44" s="142"/>
      <c r="W44" s="142"/>
      <c r="X44" s="100"/>
      <c r="Y44" s="100"/>
      <c r="Z44" s="100"/>
      <c r="AA44" s="142"/>
      <c r="AB44" s="142"/>
      <c r="AC44" s="100"/>
      <c r="AD44" s="109"/>
      <c r="AE44" s="109"/>
      <c r="AF44" s="109"/>
      <c r="AG44" s="109"/>
      <c r="AH44" s="108"/>
      <c r="AI44" s="109"/>
      <c r="AJ44" s="100"/>
      <c r="AK44" s="100"/>
      <c r="AL44" s="75"/>
      <c r="AM44" s="100"/>
      <c r="AN44" s="75"/>
      <c r="AO44" s="100"/>
      <c r="AP44" s="107"/>
      <c r="AQ44" s="100"/>
      <c r="AR44" s="75"/>
      <c r="AS44" s="111"/>
      <c r="AT44" s="75"/>
      <c r="AU44" s="431"/>
      <c r="AV44" s="111"/>
    </row>
    <row r="45" spans="1:48" ht="16.3">
      <c r="A45" s="83" t="s">
        <v>363</v>
      </c>
      <c r="B45" s="265">
        <f>SUM(B43+B44)</f>
        <v>32</v>
      </c>
      <c r="C45" s="214">
        <f>SUM(C43+C44)</f>
        <v>32</v>
      </c>
      <c r="D45" s="133"/>
      <c r="E45" s="134"/>
      <c r="F45" s="135"/>
      <c r="G45" s="136"/>
      <c r="H45" s="683"/>
      <c r="I45" s="676"/>
      <c r="J45" s="96"/>
      <c r="K45" s="96"/>
      <c r="L45" s="104"/>
      <c r="M45" s="75"/>
      <c r="N45" s="75"/>
      <c r="O45" s="100"/>
      <c r="P45" s="100"/>
      <c r="Q45" s="108"/>
      <c r="R45" s="108"/>
      <c r="S45" s="109"/>
      <c r="T45" s="109"/>
      <c r="U45" s="100"/>
      <c r="V45" s="142"/>
      <c r="W45" s="142"/>
      <c r="X45" s="100"/>
      <c r="Y45" s="100"/>
      <c r="Z45" s="100"/>
      <c r="AA45" s="142"/>
      <c r="AB45" s="142"/>
      <c r="AC45" s="100"/>
      <c r="AD45" s="109"/>
      <c r="AE45" s="109"/>
      <c r="AF45" s="109"/>
      <c r="AG45" s="109"/>
      <c r="AH45" s="108"/>
      <c r="AI45" s="109"/>
      <c r="AJ45" s="100"/>
      <c r="AK45" s="100"/>
      <c r="AL45" s="75"/>
      <c r="AM45" s="100"/>
      <c r="AN45" s="75"/>
      <c r="AO45" s="100"/>
      <c r="AP45" s="107"/>
      <c r="AQ45" s="100"/>
      <c r="AR45" s="75"/>
      <c r="AS45" s="111"/>
      <c r="AT45" s="75"/>
      <c r="AU45" s="431"/>
      <c r="AV45" s="111"/>
    </row>
    <row r="46" spans="1:48" ht="16.3">
      <c r="A46" s="246" t="s">
        <v>362</v>
      </c>
      <c r="B46" s="266">
        <f>SUM(L46+M46+N46+O46+P46+U46+X46+Y46+Z46+AC46+AK46+AL46+AK46+AO46+AR46+AS46+AU46+AV46+AW46+AX46)+1</f>
        <v>1</v>
      </c>
      <c r="C46" s="215">
        <f>SUM(L46+M46+N46+O46+P46+U46+Y46+Z46+X46+AC46+AL46+AK46+AL46+AP46+AS46+AO46+AV46+AW46+AX46+AY46+AR46+AU46)+1</f>
        <v>1</v>
      </c>
      <c r="D46" s="139"/>
      <c r="E46" s="140"/>
      <c r="F46" s="169"/>
      <c r="G46" s="170"/>
      <c r="H46" s="685"/>
      <c r="I46" s="678"/>
      <c r="J46" s="96"/>
      <c r="K46" s="96"/>
      <c r="L46" s="104"/>
      <c r="M46" s="75"/>
      <c r="N46" s="75"/>
      <c r="O46" s="100"/>
      <c r="P46" s="100"/>
      <c r="Q46" s="108"/>
      <c r="R46" s="108"/>
      <c r="S46" s="109"/>
      <c r="T46" s="109"/>
      <c r="U46" s="100"/>
      <c r="V46" s="142"/>
      <c r="W46" s="142"/>
      <c r="X46" s="100"/>
      <c r="Y46" s="100"/>
      <c r="Z46" s="100"/>
      <c r="AA46" s="142"/>
      <c r="AB46" s="142"/>
      <c r="AC46" s="100"/>
      <c r="AD46" s="109"/>
      <c r="AE46" s="109"/>
      <c r="AF46" s="109"/>
      <c r="AG46" s="109"/>
      <c r="AH46" s="108"/>
      <c r="AI46" s="109"/>
      <c r="AJ46" s="100"/>
      <c r="AK46" s="100"/>
      <c r="AL46" s="75"/>
      <c r="AM46" s="100"/>
      <c r="AN46" s="75"/>
      <c r="AO46" s="100"/>
      <c r="AP46" s="107"/>
      <c r="AQ46" s="100"/>
      <c r="AR46" s="75"/>
      <c r="AS46" s="111"/>
      <c r="AT46" s="75"/>
      <c r="AU46" s="431"/>
      <c r="AV46" s="111"/>
    </row>
    <row r="47" spans="1:48" ht="16.3">
      <c r="A47" s="246" t="s">
        <v>746</v>
      </c>
      <c r="B47" s="266">
        <f>SUM(L47+M47+N47+O47+P47+U47+X47+Y47+Z47+AC47+AK47+AL47+AK47+AO47+AR47+AS47+AU47+AV47+AW47+AX47)</f>
        <v>1</v>
      </c>
      <c r="C47" s="215">
        <f>SUM(L47+M47+N47+O47+P47+U47+Y47+Z47+X47+AC47+AL47+AK47+AL47+AP47+AS47+AO47+AV47+AW47+AX47+AY47+AR47+AU47)</f>
        <v>1</v>
      </c>
      <c r="D47" s="139"/>
      <c r="E47" s="140"/>
      <c r="F47" s="169"/>
      <c r="G47" s="170"/>
      <c r="H47" s="685"/>
      <c r="I47" s="678"/>
      <c r="J47" s="96"/>
      <c r="K47" s="96"/>
      <c r="L47" s="104"/>
      <c r="M47" s="75">
        <v>1</v>
      </c>
      <c r="N47" s="75"/>
      <c r="O47" s="100"/>
      <c r="P47" s="100"/>
      <c r="Q47" s="108"/>
      <c r="R47" s="108"/>
      <c r="S47" s="109"/>
      <c r="T47" s="109"/>
      <c r="U47" s="100"/>
      <c r="V47" s="142"/>
      <c r="W47" s="142"/>
      <c r="X47" s="100"/>
      <c r="Y47" s="100"/>
      <c r="Z47" s="100"/>
      <c r="AA47" s="142"/>
      <c r="AB47" s="142"/>
      <c r="AC47" s="100"/>
      <c r="AD47" s="109"/>
      <c r="AE47" s="109"/>
      <c r="AF47" s="109"/>
      <c r="AG47" s="109"/>
      <c r="AH47" s="108"/>
      <c r="AI47" s="109"/>
      <c r="AJ47" s="100"/>
      <c r="AK47" s="100"/>
      <c r="AL47" s="75"/>
      <c r="AM47" s="100"/>
      <c r="AN47" s="75"/>
      <c r="AO47" s="100"/>
      <c r="AP47" s="107"/>
      <c r="AQ47" s="100"/>
      <c r="AR47" s="75"/>
      <c r="AS47" s="111"/>
      <c r="AT47" s="75"/>
      <c r="AU47" s="431"/>
      <c r="AV47" s="111"/>
    </row>
    <row r="48" spans="1:48" ht="16.3">
      <c r="A48" s="83" t="s">
        <v>3</v>
      </c>
      <c r="B48" s="265">
        <f>SUM(L48+M48+N48+O48+P48+U48+X48+Y48+Z48+AC48+AK48+AL48+AK48+AO48+AR48+AS48+AU48+AV48+AW48+AX48)+15</f>
        <v>23</v>
      </c>
      <c r="C48" s="214">
        <f>SUM(L48+M48+N48+O48+P48+U48+Y48+Z48+X48+AC48+AL48+AK48+AL48+AP48+AS48+AO48+AV48+AW48+AX48+AY48+AR48+AU48)+15</f>
        <v>23</v>
      </c>
      <c r="D48" s="133"/>
      <c r="E48" s="134"/>
      <c r="F48" s="135"/>
      <c r="G48" s="136"/>
      <c r="H48" s="683"/>
      <c r="I48" s="676"/>
      <c r="J48" s="96"/>
      <c r="K48" s="96"/>
      <c r="L48" s="104">
        <v>2</v>
      </c>
      <c r="M48" s="168">
        <v>3</v>
      </c>
      <c r="N48" s="75"/>
      <c r="O48" s="100">
        <v>1</v>
      </c>
      <c r="P48" s="100">
        <v>1</v>
      </c>
      <c r="Q48" s="108"/>
      <c r="R48" s="108"/>
      <c r="S48" s="109"/>
      <c r="T48" s="109"/>
      <c r="U48" s="100"/>
      <c r="V48" s="142">
        <v>1</v>
      </c>
      <c r="W48" s="142"/>
      <c r="X48" s="100"/>
      <c r="Y48" s="100"/>
      <c r="Z48" s="100">
        <v>1</v>
      </c>
      <c r="AA48" s="142"/>
      <c r="AB48" s="142"/>
      <c r="AC48" s="100"/>
      <c r="AD48" s="109"/>
      <c r="AE48" s="109"/>
      <c r="AF48" s="109"/>
      <c r="AG48" s="109"/>
      <c r="AH48" s="108"/>
      <c r="AI48" s="109"/>
      <c r="AJ48" s="100"/>
      <c r="AK48" s="100"/>
      <c r="AL48" s="75"/>
      <c r="AM48" s="100"/>
      <c r="AN48" s="75"/>
      <c r="AO48" s="100"/>
      <c r="AP48" s="107"/>
      <c r="AQ48" s="100"/>
      <c r="AR48" s="75"/>
      <c r="AS48" s="111"/>
      <c r="AT48" s="75"/>
      <c r="AU48" s="431"/>
      <c r="AV48" s="111"/>
    </row>
    <row r="49" spans="1:48" ht="17" thickBot="1">
      <c r="A49" s="85" t="s">
        <v>4</v>
      </c>
      <c r="B49" s="268">
        <f>SUM(L49+M49+N49+O49+P49+U49+X49+Y49+Z49+AC49+AK49+AL49+AK49+AO49+AR49+AS49+AU49+AV49+AW49+AX49)+75</f>
        <v>115</v>
      </c>
      <c r="C49" s="217">
        <f>SUM(L49+M49+N49+O49+P49+U49+Y49+Z49+X49+AC49+AL49+AK49+AL49+AP49+AS49+AO49+AV49+AW49+AX49+AY49+AR49+AU49)+75</f>
        <v>115</v>
      </c>
      <c r="D49" s="144"/>
      <c r="E49" s="145"/>
      <c r="F49" s="146"/>
      <c r="G49" s="147"/>
      <c r="H49" s="684"/>
      <c r="I49" s="677"/>
      <c r="J49" s="114"/>
      <c r="K49" s="114"/>
      <c r="L49" s="113">
        <v>10</v>
      </c>
      <c r="M49" s="112">
        <v>15</v>
      </c>
      <c r="N49" s="112"/>
      <c r="O49" s="116">
        <v>5</v>
      </c>
      <c r="P49" s="116">
        <v>5</v>
      </c>
      <c r="Q49" s="117"/>
      <c r="R49" s="117"/>
      <c r="S49" s="118"/>
      <c r="T49" s="118"/>
      <c r="U49" s="116"/>
      <c r="V49" s="149">
        <v>5</v>
      </c>
      <c r="W49" s="149"/>
      <c r="X49" s="116"/>
      <c r="Y49" s="116"/>
      <c r="Z49" s="116">
        <v>5</v>
      </c>
      <c r="AA49" s="149"/>
      <c r="AB49" s="149"/>
      <c r="AC49" s="116"/>
      <c r="AD49" s="118"/>
      <c r="AE49" s="118"/>
      <c r="AF49" s="118"/>
      <c r="AG49" s="118"/>
      <c r="AH49" s="117"/>
      <c r="AI49" s="118"/>
      <c r="AJ49" s="116"/>
      <c r="AK49" s="116"/>
      <c r="AL49" s="112"/>
      <c r="AM49" s="116"/>
      <c r="AN49" s="112"/>
      <c r="AO49" s="116"/>
      <c r="AP49" s="130"/>
      <c r="AQ49" s="116"/>
      <c r="AR49" s="112"/>
      <c r="AS49" s="121"/>
      <c r="AT49" s="112"/>
      <c r="AU49" s="432"/>
      <c r="AV49" s="121"/>
    </row>
    <row r="50" spans="1:48" ht="21.1">
      <c r="A50" s="82" t="s">
        <v>385</v>
      </c>
      <c r="B50" s="265"/>
      <c r="C50" s="214"/>
      <c r="D50" s="133"/>
      <c r="E50" s="134"/>
      <c r="F50" s="135"/>
      <c r="G50" s="136"/>
      <c r="H50" s="683"/>
      <c r="I50" s="676"/>
      <c r="J50" s="96" t="s">
        <v>383</v>
      </c>
      <c r="K50" s="96">
        <v>14</v>
      </c>
      <c r="L50" s="104">
        <v>11</v>
      </c>
      <c r="M50" s="75">
        <v>11</v>
      </c>
      <c r="N50" s="75">
        <v>11</v>
      </c>
      <c r="O50" s="100" t="s">
        <v>339</v>
      </c>
      <c r="P50" s="100" t="s">
        <v>339</v>
      </c>
      <c r="Q50" s="108"/>
      <c r="R50" s="108"/>
      <c r="S50" s="109" t="s">
        <v>375</v>
      </c>
      <c r="T50" s="109">
        <v>14</v>
      </c>
      <c r="U50" s="100" t="s">
        <v>339</v>
      </c>
      <c r="V50" s="142" t="s">
        <v>339</v>
      </c>
      <c r="W50" s="142" t="s">
        <v>339</v>
      </c>
      <c r="X50" s="100" t="s">
        <v>339</v>
      </c>
      <c r="Y50" s="100" t="s">
        <v>339</v>
      </c>
      <c r="Z50" s="100" t="s">
        <v>339</v>
      </c>
      <c r="AA50" s="142">
        <v>11</v>
      </c>
      <c r="AB50" s="142">
        <v>11</v>
      </c>
      <c r="AC50" s="100">
        <v>11</v>
      </c>
      <c r="AD50" s="109" t="s">
        <v>383</v>
      </c>
      <c r="AE50" s="109" t="s">
        <v>375</v>
      </c>
      <c r="AF50" s="109">
        <v>14</v>
      </c>
      <c r="AG50" s="109" t="s">
        <v>383</v>
      </c>
      <c r="AH50" s="108"/>
      <c r="AI50" s="109">
        <v>14</v>
      </c>
      <c r="AJ50" s="100"/>
      <c r="AK50" s="100"/>
      <c r="AL50" s="75"/>
      <c r="AM50" s="100"/>
      <c r="AN50" s="75"/>
      <c r="AO50" s="100"/>
      <c r="AP50" s="107"/>
      <c r="AQ50" s="100"/>
      <c r="AR50" s="75"/>
      <c r="AS50" s="111"/>
      <c r="AT50" s="75"/>
      <c r="AU50" s="431"/>
      <c r="AV50" s="111"/>
    </row>
    <row r="51" spans="1:48" ht="16.3">
      <c r="A51" s="246" t="s">
        <v>1</v>
      </c>
      <c r="B51" s="266">
        <f>SUM(L51+M51+N51+O51+P51+U51+X51+Y51+Z51+AC51+AK51+AL51+AK51+AO51+AR51+AS51+AU51+AV51+AW51+AX51)+12</f>
        <v>16</v>
      </c>
      <c r="C51" s="215">
        <f>SUM(L51+M51+N51+O51+P51+U51+Y51+Z51+X51+AC51+AL51+AK51+AL51+AP51+AS51+AO51+AV51+AW51+AX51+AY51+AR51+AU51)+12</f>
        <v>16</v>
      </c>
      <c r="D51" s="133"/>
      <c r="E51" s="134"/>
      <c r="F51" s="135"/>
      <c r="G51" s="136"/>
      <c r="H51" s="683"/>
      <c r="I51" s="676"/>
      <c r="J51" s="96">
        <v>1</v>
      </c>
      <c r="K51" s="96">
        <v>1</v>
      </c>
      <c r="L51" s="104">
        <v>1</v>
      </c>
      <c r="M51" s="75">
        <v>1</v>
      </c>
      <c r="N51" s="75">
        <v>1</v>
      </c>
      <c r="O51" s="100"/>
      <c r="P51" s="100"/>
      <c r="Q51" s="108"/>
      <c r="R51" s="108"/>
      <c r="S51" s="109"/>
      <c r="T51" s="109">
        <v>1</v>
      </c>
      <c r="U51" s="100"/>
      <c r="V51" s="142"/>
      <c r="W51" s="142"/>
      <c r="X51" s="100"/>
      <c r="Y51" s="100"/>
      <c r="Z51" s="100"/>
      <c r="AA51" s="142">
        <v>1</v>
      </c>
      <c r="AB51" s="142">
        <v>1</v>
      </c>
      <c r="AC51" s="100">
        <v>1</v>
      </c>
      <c r="AD51" s="109">
        <v>1</v>
      </c>
      <c r="AE51" s="109"/>
      <c r="AF51" s="109">
        <v>1</v>
      </c>
      <c r="AG51" s="109">
        <v>1</v>
      </c>
      <c r="AH51" s="108"/>
      <c r="AI51" s="109">
        <v>1</v>
      </c>
      <c r="AJ51" s="100"/>
      <c r="AK51" s="100"/>
      <c r="AL51" s="75"/>
      <c r="AM51" s="100"/>
      <c r="AN51" s="75"/>
      <c r="AO51" s="100"/>
      <c r="AP51" s="107"/>
      <c r="AQ51" s="100"/>
      <c r="AR51" s="75"/>
      <c r="AS51" s="111"/>
      <c r="AT51" s="75"/>
      <c r="AU51" s="431"/>
      <c r="AV51" s="111"/>
    </row>
    <row r="52" spans="1:48" ht="16.3">
      <c r="A52" s="246" t="s">
        <v>2</v>
      </c>
      <c r="B52" s="266">
        <f>SUM(L52+M52+N52+O52+P52+U52+X52+Y52+Z52+AC52+AK52+AL52+AK52+AO52+AR52+AS52+AU52+AV52+AW52+AX52)+1</f>
        <v>1</v>
      </c>
      <c r="C52" s="215">
        <f>SUM(L52+M52+N52+O52+P52+U52+Y52+Z52+X52+AC52+AL52+AK52+AL52+AP52+AS52+AO52+AV52+AW52+AX52+AY52+AR52+AU52)+1</f>
        <v>1</v>
      </c>
      <c r="D52" s="133"/>
      <c r="E52" s="134"/>
      <c r="F52" s="135"/>
      <c r="G52" s="136"/>
      <c r="H52" s="683"/>
      <c r="I52" s="676"/>
      <c r="J52" s="96"/>
      <c r="K52" s="96"/>
      <c r="L52" s="104"/>
      <c r="M52" s="75"/>
      <c r="N52" s="75"/>
      <c r="O52" s="100"/>
      <c r="P52" s="100"/>
      <c r="Q52" s="108"/>
      <c r="R52" s="108"/>
      <c r="S52" s="109">
        <v>1</v>
      </c>
      <c r="T52" s="109"/>
      <c r="U52" s="100"/>
      <c r="V52" s="142"/>
      <c r="W52" s="142"/>
      <c r="X52" s="100"/>
      <c r="Y52" s="100"/>
      <c r="Z52" s="100"/>
      <c r="AA52" s="142"/>
      <c r="AB52" s="142"/>
      <c r="AC52" s="100"/>
      <c r="AD52" s="109"/>
      <c r="AE52" s="109">
        <v>1</v>
      </c>
      <c r="AF52" s="109"/>
      <c r="AG52" s="109"/>
      <c r="AH52" s="108"/>
      <c r="AI52" s="109"/>
      <c r="AJ52" s="100"/>
      <c r="AK52" s="100"/>
      <c r="AL52" s="75"/>
      <c r="AM52" s="100"/>
      <c r="AN52" s="75"/>
      <c r="AO52" s="100"/>
      <c r="AP52" s="107"/>
      <c r="AQ52" s="100"/>
      <c r="AR52" s="75"/>
      <c r="AS52" s="111"/>
      <c r="AT52" s="75"/>
      <c r="AU52" s="431"/>
      <c r="AV52" s="111"/>
    </row>
    <row r="53" spans="1:48" ht="16.3">
      <c r="A53" s="83" t="s">
        <v>363</v>
      </c>
      <c r="B53" s="265">
        <f>SUM(B51+B52)</f>
        <v>17</v>
      </c>
      <c r="C53" s="214">
        <f>SUM(C51+C52)</f>
        <v>17</v>
      </c>
      <c r="D53" s="133"/>
      <c r="E53" s="134"/>
      <c r="F53" s="135"/>
      <c r="G53" s="136"/>
      <c r="H53" s="683"/>
      <c r="I53" s="676"/>
      <c r="J53" s="96"/>
      <c r="K53" s="96"/>
      <c r="L53" s="104"/>
      <c r="M53" s="75"/>
      <c r="N53" s="75"/>
      <c r="O53" s="100"/>
      <c r="P53" s="100"/>
      <c r="Q53" s="108"/>
      <c r="R53" s="108"/>
      <c r="S53" s="109"/>
      <c r="T53" s="109"/>
      <c r="U53" s="100"/>
      <c r="V53" s="142"/>
      <c r="W53" s="142"/>
      <c r="X53" s="100"/>
      <c r="Y53" s="100"/>
      <c r="Z53" s="100"/>
      <c r="AA53" s="142"/>
      <c r="AB53" s="142"/>
      <c r="AC53" s="100"/>
      <c r="AD53" s="109"/>
      <c r="AE53" s="109"/>
      <c r="AF53" s="109"/>
      <c r="AG53" s="109"/>
      <c r="AH53" s="108"/>
      <c r="AI53" s="109"/>
      <c r="AJ53" s="100"/>
      <c r="AK53" s="100"/>
      <c r="AL53" s="75"/>
      <c r="AM53" s="100"/>
      <c r="AN53" s="75"/>
      <c r="AO53" s="100"/>
      <c r="AP53" s="107"/>
      <c r="AQ53" s="100"/>
      <c r="AR53" s="75"/>
      <c r="AS53" s="111"/>
      <c r="AT53" s="75"/>
      <c r="AU53" s="431"/>
      <c r="AV53" s="111"/>
    </row>
    <row r="54" spans="1:48" ht="16.3">
      <c r="A54" s="83" t="s">
        <v>3</v>
      </c>
      <c r="B54" s="265">
        <f>SUM(L54+M54+N54+O54+P54+U54+X54+Y54+Z54+AC54+AK54+AL54+AK54+AO54+AR54+AS54+AU54+AV54+AW54+AX54)+7</f>
        <v>8</v>
      </c>
      <c r="C54" s="214">
        <f>SUM(L54+M54+N54+O54+P54+U54+Y54+Z54+X54+AC54+AL54+AK54+AL54+AP54+AS54+AO54+AV54+AW54+AX54+AY54+AR54+AU54)+7</f>
        <v>8</v>
      </c>
      <c r="D54" s="133"/>
      <c r="E54" s="134"/>
      <c r="F54" s="135"/>
      <c r="G54" s="136"/>
      <c r="H54" s="683"/>
      <c r="I54" s="676"/>
      <c r="J54" s="96"/>
      <c r="K54" s="96"/>
      <c r="L54" s="104">
        <v>1</v>
      </c>
      <c r="M54" s="75"/>
      <c r="N54" s="75"/>
      <c r="O54" s="100"/>
      <c r="P54" s="100"/>
      <c r="Q54" s="108"/>
      <c r="R54" s="108"/>
      <c r="S54" s="109"/>
      <c r="T54" s="109"/>
      <c r="U54" s="100"/>
      <c r="V54" s="142"/>
      <c r="W54" s="142"/>
      <c r="X54" s="100"/>
      <c r="Y54" s="100"/>
      <c r="Z54" s="100"/>
      <c r="AA54" s="142">
        <v>1</v>
      </c>
      <c r="AB54" s="142">
        <v>1</v>
      </c>
      <c r="AC54" s="100"/>
      <c r="AD54" s="109"/>
      <c r="AE54" s="109">
        <v>1</v>
      </c>
      <c r="AF54" s="109">
        <v>1</v>
      </c>
      <c r="AG54" s="109"/>
      <c r="AH54" s="108"/>
      <c r="AI54" s="109"/>
      <c r="AJ54" s="100"/>
      <c r="AK54" s="100"/>
      <c r="AL54" s="75"/>
      <c r="AM54" s="100"/>
      <c r="AN54" s="75"/>
      <c r="AO54" s="100"/>
      <c r="AP54" s="107"/>
      <c r="AQ54" s="100"/>
      <c r="AR54" s="75"/>
      <c r="AS54" s="111"/>
      <c r="AT54" s="75"/>
      <c r="AU54" s="431"/>
      <c r="AV54" s="111"/>
    </row>
    <row r="55" spans="1:48" ht="17" thickBot="1">
      <c r="A55" s="85" t="s">
        <v>4</v>
      </c>
      <c r="B55" s="268">
        <f>SUM(L55+M55+N55+O55+P55+U55+X55+Y55+Z55+AC55+AK55+AL55+AK55+AO55+AR55+AS55+AU55+AV55+AW55+AX55)+35</f>
        <v>40</v>
      </c>
      <c r="C55" s="217">
        <f>SUM(L55+M55+N55+O55+P55+U55+Y55+Z55+X55+AC55+AL55+AK55+AL55+AP55+AS55+AO55+AV55+AW55+AX55+AY55+AR55+AU55)+35</f>
        <v>40</v>
      </c>
      <c r="D55" s="144"/>
      <c r="E55" s="145"/>
      <c r="F55" s="146"/>
      <c r="G55" s="147"/>
      <c r="H55" s="684"/>
      <c r="I55" s="677"/>
      <c r="J55" s="114"/>
      <c r="K55" s="114"/>
      <c r="L55" s="113">
        <v>5</v>
      </c>
      <c r="M55" s="112"/>
      <c r="N55" s="112"/>
      <c r="O55" s="116"/>
      <c r="P55" s="116"/>
      <c r="Q55" s="117"/>
      <c r="R55" s="117"/>
      <c r="S55" s="118"/>
      <c r="T55" s="118"/>
      <c r="U55" s="116"/>
      <c r="V55" s="149"/>
      <c r="W55" s="149"/>
      <c r="X55" s="116"/>
      <c r="Y55" s="116"/>
      <c r="Z55" s="116"/>
      <c r="AA55" s="149">
        <v>5</v>
      </c>
      <c r="AB55" s="149">
        <v>5</v>
      </c>
      <c r="AC55" s="116"/>
      <c r="AD55" s="118"/>
      <c r="AE55" s="118">
        <v>5</v>
      </c>
      <c r="AF55" s="118">
        <v>5</v>
      </c>
      <c r="AG55" s="118"/>
      <c r="AH55" s="117"/>
      <c r="AI55" s="118"/>
      <c r="AJ55" s="116"/>
      <c r="AK55" s="116"/>
      <c r="AL55" s="112"/>
      <c r="AM55" s="116"/>
      <c r="AN55" s="112"/>
      <c r="AO55" s="116"/>
      <c r="AP55" s="130"/>
      <c r="AQ55" s="116"/>
      <c r="AR55" s="112"/>
      <c r="AS55" s="121"/>
      <c r="AT55" s="112"/>
      <c r="AU55" s="432"/>
      <c r="AV55" s="121"/>
    </row>
    <row r="56" spans="1:48" ht="21.1">
      <c r="A56" s="82" t="s">
        <v>832</v>
      </c>
      <c r="B56" s="265"/>
      <c r="C56" s="214"/>
      <c r="D56" s="133"/>
      <c r="E56" s="134"/>
      <c r="F56" s="135"/>
      <c r="G56" s="136"/>
      <c r="H56" s="683"/>
      <c r="I56" s="676"/>
      <c r="J56" s="96"/>
      <c r="K56" s="96"/>
      <c r="L56" s="104"/>
      <c r="M56" s="75"/>
      <c r="N56" s="75"/>
      <c r="O56" s="100"/>
      <c r="P56" s="100"/>
      <c r="Q56" s="108"/>
      <c r="R56" s="108"/>
      <c r="S56" s="109"/>
      <c r="T56" s="109">
        <v>11</v>
      </c>
      <c r="U56" s="100"/>
      <c r="V56" s="142"/>
      <c r="W56" s="142">
        <v>11</v>
      </c>
      <c r="X56" s="100" t="s">
        <v>836</v>
      </c>
      <c r="Y56" s="100">
        <v>11</v>
      </c>
      <c r="Z56" s="100" t="s">
        <v>925</v>
      </c>
      <c r="AA56" s="142" t="s">
        <v>703</v>
      </c>
      <c r="AB56" s="142" t="s">
        <v>703</v>
      </c>
      <c r="AC56" s="100" t="s">
        <v>393</v>
      </c>
      <c r="AD56" s="109">
        <v>11</v>
      </c>
      <c r="AE56" s="109">
        <v>11</v>
      </c>
      <c r="AF56" s="109">
        <v>11</v>
      </c>
      <c r="AG56" s="109"/>
      <c r="AH56" s="108"/>
      <c r="AI56" s="109" t="s">
        <v>375</v>
      </c>
      <c r="AJ56" s="100"/>
      <c r="AK56" s="100"/>
      <c r="AL56" s="75"/>
      <c r="AM56" s="100"/>
      <c r="AN56" s="75"/>
      <c r="AO56" s="100"/>
      <c r="AP56" s="107"/>
      <c r="AQ56" s="100"/>
      <c r="AR56" s="75"/>
      <c r="AS56" s="111"/>
      <c r="AT56" s="75"/>
      <c r="AU56" s="431"/>
      <c r="AV56" s="111"/>
    </row>
    <row r="57" spans="1:48" ht="16.3">
      <c r="A57" s="246" t="s">
        <v>1</v>
      </c>
      <c r="B57" s="266">
        <f>SUM(L57+M57+N57+O57+P57+U57+X57+Y57+Z57+AC57+AK57+AL57+AK57+AO57+AR57+AS57+AU57+AV57+AW57+AX57)</f>
        <v>3</v>
      </c>
      <c r="C57" s="215">
        <f>B57</f>
        <v>3</v>
      </c>
      <c r="D57" s="133"/>
      <c r="E57" s="134"/>
      <c r="F57" s="135"/>
      <c r="G57" s="136"/>
      <c r="H57" s="683"/>
      <c r="I57" s="676"/>
      <c r="J57" s="96"/>
      <c r="K57" s="96"/>
      <c r="L57" s="104"/>
      <c r="M57" s="75"/>
      <c r="N57" s="75"/>
      <c r="O57" s="100"/>
      <c r="P57" s="100"/>
      <c r="Q57" s="108"/>
      <c r="R57" s="108"/>
      <c r="S57" s="109"/>
      <c r="T57" s="109">
        <v>1</v>
      </c>
      <c r="U57" s="100"/>
      <c r="V57" s="142"/>
      <c r="W57" s="142">
        <v>1</v>
      </c>
      <c r="X57" s="100">
        <v>1</v>
      </c>
      <c r="Y57" s="100">
        <v>1</v>
      </c>
      <c r="Z57" s="100">
        <v>1</v>
      </c>
      <c r="AA57" s="142"/>
      <c r="AB57" s="142"/>
      <c r="AC57" s="100"/>
      <c r="AD57" s="109">
        <v>1</v>
      </c>
      <c r="AE57" s="109">
        <v>1</v>
      </c>
      <c r="AF57" s="109">
        <v>1</v>
      </c>
      <c r="AG57" s="109"/>
      <c r="AH57" s="108"/>
      <c r="AI57" s="109"/>
      <c r="AJ57" s="100"/>
      <c r="AK57" s="100"/>
      <c r="AL57" s="75"/>
      <c r="AM57" s="100"/>
      <c r="AN57" s="75"/>
      <c r="AO57" s="100"/>
      <c r="AP57" s="107"/>
      <c r="AQ57" s="100"/>
      <c r="AR57" s="75"/>
      <c r="AS57" s="111"/>
      <c r="AT57" s="75"/>
      <c r="AU57" s="431"/>
      <c r="AV57" s="111"/>
    </row>
    <row r="58" spans="1:48" ht="16.3">
      <c r="A58" s="246" t="s">
        <v>2</v>
      </c>
      <c r="B58" s="266">
        <f>SUM(L58+M58+N58+O58+P58+U58+X58+Y58+Z58+AC58+AK58+AL58+AK58+AO58+AR58+AS58+AU58+AV58+AW58+AX58)</f>
        <v>0</v>
      </c>
      <c r="C58" s="215">
        <f t="shared" ref="C58:C63" si="0">B58</f>
        <v>0</v>
      </c>
      <c r="D58" s="133"/>
      <c r="E58" s="134"/>
      <c r="F58" s="135"/>
      <c r="G58" s="136"/>
      <c r="H58" s="683"/>
      <c r="I58" s="676"/>
      <c r="J58" s="96"/>
      <c r="K58" s="96"/>
      <c r="L58" s="104"/>
      <c r="M58" s="75"/>
      <c r="N58" s="75"/>
      <c r="O58" s="100"/>
      <c r="P58" s="100"/>
      <c r="Q58" s="108"/>
      <c r="R58" s="108"/>
      <c r="S58" s="109"/>
      <c r="T58" s="109"/>
      <c r="U58" s="100"/>
      <c r="V58" s="142"/>
      <c r="W58" s="142"/>
      <c r="X58" s="100"/>
      <c r="Y58" s="100"/>
      <c r="Z58" s="100"/>
      <c r="AA58" s="142"/>
      <c r="AB58" s="142"/>
      <c r="AC58" s="100"/>
      <c r="AD58" s="109"/>
      <c r="AE58" s="109"/>
      <c r="AF58" s="109"/>
      <c r="AG58" s="109"/>
      <c r="AH58" s="108"/>
      <c r="AI58" s="109">
        <v>1</v>
      </c>
      <c r="AJ58" s="100"/>
      <c r="AK58" s="100"/>
      <c r="AL58" s="75"/>
      <c r="AM58" s="100"/>
      <c r="AN58" s="75"/>
      <c r="AO58" s="100"/>
      <c r="AP58" s="107"/>
      <c r="AQ58" s="100"/>
      <c r="AR58" s="75"/>
      <c r="AS58" s="111"/>
      <c r="AT58" s="75"/>
      <c r="AU58" s="431"/>
      <c r="AV58" s="111"/>
    </row>
    <row r="59" spans="1:48" ht="16.3">
      <c r="A59" s="83" t="s">
        <v>363</v>
      </c>
      <c r="B59" s="265">
        <f>SUM(B57+B58)</f>
        <v>3</v>
      </c>
      <c r="C59" s="214">
        <f t="shared" si="0"/>
        <v>3</v>
      </c>
      <c r="D59" s="133"/>
      <c r="E59" s="134"/>
      <c r="F59" s="135"/>
      <c r="G59" s="136"/>
      <c r="H59" s="683"/>
      <c r="I59" s="676"/>
      <c r="J59" s="96"/>
      <c r="K59" s="96"/>
      <c r="L59" s="104"/>
      <c r="M59" s="75"/>
      <c r="N59" s="75"/>
      <c r="O59" s="100"/>
      <c r="P59" s="100"/>
      <c r="Q59" s="108"/>
      <c r="R59" s="108"/>
      <c r="S59" s="109"/>
      <c r="T59" s="109"/>
      <c r="U59" s="100"/>
      <c r="V59" s="142"/>
      <c r="W59" s="142"/>
      <c r="X59" s="100"/>
      <c r="Y59" s="100"/>
      <c r="Z59" s="100"/>
      <c r="AA59" s="142"/>
      <c r="AB59" s="142"/>
      <c r="AC59" s="100"/>
      <c r="AD59" s="109"/>
      <c r="AE59" s="109"/>
      <c r="AF59" s="109"/>
      <c r="AG59" s="109"/>
      <c r="AH59" s="108"/>
      <c r="AI59" s="109"/>
      <c r="AJ59" s="100"/>
      <c r="AK59" s="100"/>
      <c r="AL59" s="75"/>
      <c r="AM59" s="100"/>
      <c r="AN59" s="75"/>
      <c r="AO59" s="100"/>
      <c r="AP59" s="107"/>
      <c r="AQ59" s="100"/>
      <c r="AR59" s="75"/>
      <c r="AS59" s="111"/>
      <c r="AT59" s="75"/>
      <c r="AU59" s="431"/>
      <c r="AV59" s="111"/>
    </row>
    <row r="60" spans="1:48" ht="16.3">
      <c r="A60" s="246" t="s">
        <v>362</v>
      </c>
      <c r="B60" s="266">
        <f>SUM(L60+M60+N60+O60+P60+U60+X60+Y60+Z60+AC60+AK60+AL60+AK60+AO60+AR60+AS60+AU60+AV60+AW60+AX60)</f>
        <v>1</v>
      </c>
      <c r="C60" s="215">
        <f t="shared" si="0"/>
        <v>1</v>
      </c>
      <c r="D60" s="133"/>
      <c r="E60" s="134"/>
      <c r="F60" s="135"/>
      <c r="G60" s="136"/>
      <c r="H60" s="683"/>
      <c r="I60" s="676"/>
      <c r="J60" s="96"/>
      <c r="K60" s="96"/>
      <c r="L60" s="104"/>
      <c r="M60" s="75"/>
      <c r="N60" s="75"/>
      <c r="O60" s="100"/>
      <c r="P60" s="100"/>
      <c r="Q60" s="108"/>
      <c r="R60" s="108"/>
      <c r="S60" s="109"/>
      <c r="T60" s="109"/>
      <c r="U60" s="100"/>
      <c r="V60" s="142"/>
      <c r="W60" s="142"/>
      <c r="X60" s="100">
        <v>1</v>
      </c>
      <c r="Y60" s="100"/>
      <c r="Z60" s="100"/>
      <c r="AA60" s="142"/>
      <c r="AB60" s="142"/>
      <c r="AC60" s="100"/>
      <c r="AD60" s="109"/>
      <c r="AE60" s="109"/>
      <c r="AF60" s="109"/>
      <c r="AG60" s="109"/>
      <c r="AH60" s="108"/>
      <c r="AI60" s="109"/>
      <c r="AJ60" s="100"/>
      <c r="AK60" s="100"/>
      <c r="AL60" s="75"/>
      <c r="AM60" s="100"/>
      <c r="AN60" s="75"/>
      <c r="AO60" s="100"/>
      <c r="AP60" s="107"/>
      <c r="AQ60" s="100"/>
      <c r="AR60" s="75"/>
      <c r="AS60" s="111"/>
      <c r="AT60" s="75"/>
      <c r="AU60" s="431"/>
      <c r="AV60" s="111"/>
    </row>
    <row r="61" spans="1:48" ht="16.3">
      <c r="A61" s="246" t="s">
        <v>746</v>
      </c>
      <c r="B61" s="266">
        <f>SUM(L61+M61+N61+O61+P61+U61+X61+Y61+Z61+AC61+AK61+AL61+AK61+AO61+AR61+AS61+AU61+AV61+AW61+AX61)</f>
        <v>0</v>
      </c>
      <c r="C61" s="215">
        <f t="shared" ref="C61" si="1">B61</f>
        <v>0</v>
      </c>
      <c r="D61" s="133"/>
      <c r="E61" s="134"/>
      <c r="F61" s="135"/>
      <c r="G61" s="136"/>
      <c r="H61" s="683"/>
      <c r="I61" s="676"/>
      <c r="J61" s="96"/>
      <c r="K61" s="96"/>
      <c r="L61" s="104"/>
      <c r="M61" s="75"/>
      <c r="N61" s="75"/>
      <c r="O61" s="100"/>
      <c r="P61" s="100"/>
      <c r="Q61" s="108"/>
      <c r="R61" s="108"/>
      <c r="S61" s="109"/>
      <c r="T61" s="109"/>
      <c r="U61" s="100"/>
      <c r="V61" s="142"/>
      <c r="W61" s="142"/>
      <c r="X61" s="100"/>
      <c r="Y61" s="100"/>
      <c r="Z61" s="100"/>
      <c r="AA61" s="142"/>
      <c r="AB61" s="142"/>
      <c r="AC61" s="100"/>
      <c r="AD61" s="109"/>
      <c r="AE61" s="109">
        <v>1</v>
      </c>
      <c r="AF61" s="109">
        <v>1</v>
      </c>
      <c r="AG61" s="109"/>
      <c r="AH61" s="108"/>
      <c r="AI61" s="109"/>
      <c r="AJ61" s="100"/>
      <c r="AK61" s="100"/>
      <c r="AL61" s="75"/>
      <c r="AM61" s="100"/>
      <c r="AN61" s="75"/>
      <c r="AO61" s="100"/>
      <c r="AP61" s="107"/>
      <c r="AQ61" s="100"/>
      <c r="AR61" s="75"/>
      <c r="AS61" s="111"/>
      <c r="AT61" s="75"/>
      <c r="AU61" s="431"/>
      <c r="AV61" s="111"/>
    </row>
    <row r="62" spans="1:48" ht="16.3">
      <c r="A62" s="83" t="s">
        <v>3</v>
      </c>
      <c r="B62" s="265">
        <f>SUM(L62+M62+N62+O62+P62+U62+X62+Y62+Z62+AC62+AK62+AL62+AK62+AO62+AR62+AS62+AU62+AV62+AW62+AX62)</f>
        <v>1</v>
      </c>
      <c r="C62" s="214">
        <f t="shared" si="0"/>
        <v>1</v>
      </c>
      <c r="D62" s="133"/>
      <c r="E62" s="134"/>
      <c r="F62" s="135"/>
      <c r="G62" s="136"/>
      <c r="H62" s="683"/>
      <c r="I62" s="676"/>
      <c r="J62" s="96"/>
      <c r="K62" s="96"/>
      <c r="L62" s="104"/>
      <c r="M62" s="75"/>
      <c r="N62" s="75"/>
      <c r="O62" s="100"/>
      <c r="P62" s="100"/>
      <c r="Q62" s="108"/>
      <c r="R62" s="108"/>
      <c r="S62" s="109"/>
      <c r="T62" s="109">
        <v>1</v>
      </c>
      <c r="U62" s="100"/>
      <c r="V62" s="142"/>
      <c r="W62" s="142"/>
      <c r="X62" s="100"/>
      <c r="Y62" s="100">
        <v>1</v>
      </c>
      <c r="Z62" s="100"/>
      <c r="AA62" s="142"/>
      <c r="AB62" s="142"/>
      <c r="AC62" s="100"/>
      <c r="AD62" s="109">
        <v>1</v>
      </c>
      <c r="AE62" s="150">
        <v>3</v>
      </c>
      <c r="AF62" s="150">
        <v>3</v>
      </c>
      <c r="AG62" s="109"/>
      <c r="AH62" s="108"/>
      <c r="AI62" s="109"/>
      <c r="AJ62" s="100"/>
      <c r="AK62" s="100"/>
      <c r="AL62" s="75"/>
      <c r="AM62" s="100"/>
      <c r="AN62" s="75"/>
      <c r="AO62" s="100"/>
      <c r="AP62" s="107"/>
      <c r="AQ62" s="100"/>
      <c r="AR62" s="75"/>
      <c r="AS62" s="111"/>
      <c r="AT62" s="75"/>
      <c r="AU62" s="431"/>
      <c r="AV62" s="111"/>
    </row>
    <row r="63" spans="1:48" ht="17" thickBot="1">
      <c r="A63" s="85" t="s">
        <v>4</v>
      </c>
      <c r="B63" s="268">
        <f>SUM(L63+M63+N63+O63+P63+U63+X63+Y63+Z63+AC63+AK63+AL63+AK63+AO63+AR63+AS63+AU63+AV63+AW63+AX63)</f>
        <v>5</v>
      </c>
      <c r="C63" s="217">
        <f t="shared" si="0"/>
        <v>5</v>
      </c>
      <c r="D63" s="144"/>
      <c r="E63" s="145"/>
      <c r="F63" s="146"/>
      <c r="G63" s="147"/>
      <c r="H63" s="684"/>
      <c r="I63" s="677"/>
      <c r="J63" s="114"/>
      <c r="K63" s="114"/>
      <c r="L63" s="113"/>
      <c r="M63" s="112"/>
      <c r="N63" s="112"/>
      <c r="O63" s="116"/>
      <c r="P63" s="116"/>
      <c r="Q63" s="117"/>
      <c r="R63" s="117"/>
      <c r="S63" s="118"/>
      <c r="T63" s="118">
        <v>5</v>
      </c>
      <c r="U63" s="116"/>
      <c r="V63" s="149"/>
      <c r="W63" s="149"/>
      <c r="X63" s="116"/>
      <c r="Y63" s="116">
        <v>5</v>
      </c>
      <c r="Z63" s="116"/>
      <c r="AA63" s="149"/>
      <c r="AB63" s="149"/>
      <c r="AC63" s="116"/>
      <c r="AD63" s="118">
        <v>5</v>
      </c>
      <c r="AE63" s="118">
        <v>15</v>
      </c>
      <c r="AF63" s="118">
        <v>15</v>
      </c>
      <c r="AG63" s="118"/>
      <c r="AH63" s="117"/>
      <c r="AI63" s="118"/>
      <c r="AJ63" s="116"/>
      <c r="AK63" s="116"/>
      <c r="AL63" s="112"/>
      <c r="AM63" s="116"/>
      <c r="AN63" s="112"/>
      <c r="AO63" s="116"/>
      <c r="AP63" s="130"/>
      <c r="AQ63" s="116"/>
      <c r="AR63" s="112"/>
      <c r="AS63" s="121"/>
      <c r="AT63" s="112"/>
      <c r="AU63" s="432"/>
      <c r="AV63" s="121"/>
    </row>
    <row r="64" spans="1:48" ht="21.1">
      <c r="A64" s="82" t="s">
        <v>504</v>
      </c>
      <c r="B64" s="265"/>
      <c r="C64" s="214"/>
      <c r="D64" s="133"/>
      <c r="E64" s="134"/>
      <c r="F64" s="135"/>
      <c r="G64" s="136"/>
      <c r="H64" s="683"/>
      <c r="I64" s="676"/>
      <c r="J64" s="96">
        <v>11</v>
      </c>
      <c r="K64" s="96" t="s">
        <v>393</v>
      </c>
      <c r="L64" s="104" t="s">
        <v>375</v>
      </c>
      <c r="M64" s="75" t="s">
        <v>375</v>
      </c>
      <c r="N64" s="75" t="s">
        <v>393</v>
      </c>
      <c r="O64" s="100"/>
      <c r="P64" s="100"/>
      <c r="Q64" s="108"/>
      <c r="R64" s="108"/>
      <c r="S64" s="109"/>
      <c r="T64" s="109"/>
      <c r="U64" s="100"/>
      <c r="V64" s="142"/>
      <c r="W64" s="142"/>
      <c r="X64" s="100"/>
      <c r="Y64" s="100"/>
      <c r="Z64" s="100"/>
      <c r="AA64" s="142"/>
      <c r="AB64" s="142"/>
      <c r="AC64" s="100"/>
      <c r="AD64" s="109"/>
      <c r="AE64" s="109" t="s">
        <v>984</v>
      </c>
      <c r="AF64" s="109" t="s">
        <v>984</v>
      </c>
      <c r="AG64" s="109" t="s">
        <v>984</v>
      </c>
      <c r="AH64" s="108"/>
      <c r="AI64" s="109"/>
      <c r="AJ64" s="100"/>
      <c r="AK64" s="100"/>
      <c r="AL64" s="75"/>
      <c r="AM64" s="100"/>
      <c r="AN64" s="75"/>
      <c r="AO64" s="100"/>
      <c r="AP64" s="107"/>
      <c r="AQ64" s="100"/>
      <c r="AR64" s="75"/>
      <c r="AS64" s="111"/>
      <c r="AT64" s="75"/>
      <c r="AU64" s="431"/>
      <c r="AV64" s="111"/>
    </row>
    <row r="65" spans="1:48" ht="16.3">
      <c r="A65" s="246" t="s">
        <v>1</v>
      </c>
      <c r="B65" s="266">
        <f>SUM(L65+M65+N65+O65+P65+U65+X65+Y65+Z65+AC65+AK65+AL65+AK65+AO65+AR65+AS65+AU65+AV65+AW65+AX65)+1</f>
        <v>1</v>
      </c>
      <c r="C65" s="215">
        <f>SUM(L65+M65+N65+O65+P65+U65+Y65+Z65+X65+AC65+AL65+AK65+AL65+AP65+AS65+AO65+AV65+AW65+AX65+AY65+AR65+AU65)+1</f>
        <v>1</v>
      </c>
      <c r="D65" s="133"/>
      <c r="E65" s="134"/>
      <c r="F65" s="135"/>
      <c r="G65" s="136"/>
      <c r="H65" s="683"/>
      <c r="I65" s="676"/>
      <c r="J65" s="96">
        <v>1</v>
      </c>
      <c r="K65" s="96"/>
      <c r="L65" s="104"/>
      <c r="M65" s="75"/>
      <c r="N65" s="75"/>
      <c r="O65" s="100"/>
      <c r="P65" s="100"/>
      <c r="Q65" s="108"/>
      <c r="R65" s="108"/>
      <c r="S65" s="109"/>
      <c r="T65" s="109"/>
      <c r="U65" s="100"/>
      <c r="V65" s="142"/>
      <c r="W65" s="142"/>
      <c r="X65" s="100"/>
      <c r="Y65" s="100"/>
      <c r="Z65" s="100"/>
      <c r="AA65" s="142"/>
      <c r="AB65" s="142"/>
      <c r="AC65" s="100"/>
      <c r="AD65" s="109"/>
      <c r="AE65" s="109"/>
      <c r="AF65" s="109"/>
      <c r="AG65" s="109"/>
      <c r="AH65" s="108"/>
      <c r="AI65" s="109"/>
      <c r="AJ65" s="100"/>
      <c r="AK65" s="100"/>
      <c r="AL65" s="75"/>
      <c r="AM65" s="100"/>
      <c r="AN65" s="75"/>
      <c r="AO65" s="100"/>
      <c r="AP65" s="107"/>
      <c r="AQ65" s="100"/>
      <c r="AR65" s="75"/>
      <c r="AS65" s="111"/>
      <c r="AT65" s="75"/>
      <c r="AU65" s="431"/>
      <c r="AV65" s="111"/>
    </row>
    <row r="66" spans="1:48" ht="16.3">
      <c r="A66" s="246" t="s">
        <v>2</v>
      </c>
      <c r="B66" s="266">
        <f>SUM(L66+M66+N66+O66+P66+U66+X66+Y66+Z66+AC66+AK66+AL66+AK66+AO66+AR66+AS66+AU66+AV66+AW66+AX66)</f>
        <v>2</v>
      </c>
      <c r="C66" s="215">
        <f>SUM(L66+M66+N66+O66+P66+U66+Y66+Z66+X66+AC66+AL66+AK66+AL66+AP66+AS66+AO66+AV66+AW66+AX66+AY66+AR66+AU66)</f>
        <v>2</v>
      </c>
      <c r="D66" s="133"/>
      <c r="E66" s="134"/>
      <c r="F66" s="135"/>
      <c r="G66" s="136"/>
      <c r="H66" s="683"/>
      <c r="I66" s="676"/>
      <c r="J66" s="96"/>
      <c r="K66" s="96"/>
      <c r="L66" s="104">
        <v>1</v>
      </c>
      <c r="M66" s="75">
        <v>1</v>
      </c>
      <c r="N66" s="75"/>
      <c r="O66" s="100"/>
      <c r="P66" s="100"/>
      <c r="Q66" s="108"/>
      <c r="R66" s="108"/>
      <c r="S66" s="109"/>
      <c r="T66" s="109"/>
      <c r="U66" s="100"/>
      <c r="V66" s="142"/>
      <c r="W66" s="142"/>
      <c r="X66" s="100"/>
      <c r="Y66" s="100"/>
      <c r="Z66" s="100"/>
      <c r="AA66" s="142"/>
      <c r="AB66" s="142"/>
      <c r="AC66" s="100"/>
      <c r="AD66" s="109"/>
      <c r="AE66" s="109"/>
      <c r="AF66" s="109"/>
      <c r="AG66" s="109"/>
      <c r="AH66" s="108"/>
      <c r="AI66" s="109"/>
      <c r="AJ66" s="100"/>
      <c r="AK66" s="100"/>
      <c r="AL66" s="75"/>
      <c r="AM66" s="100"/>
      <c r="AN66" s="75"/>
      <c r="AO66" s="100"/>
      <c r="AP66" s="107"/>
      <c r="AQ66" s="100"/>
      <c r="AR66" s="75"/>
      <c r="AS66" s="111"/>
      <c r="AT66" s="75"/>
      <c r="AU66" s="431"/>
      <c r="AV66" s="111"/>
    </row>
    <row r="67" spans="1:48" ht="16.3">
      <c r="A67" s="83" t="s">
        <v>363</v>
      </c>
      <c r="B67" s="265">
        <f>SUM(B65+B66)</f>
        <v>3</v>
      </c>
      <c r="C67" s="214">
        <f>SUM(C65+C66)</f>
        <v>3</v>
      </c>
      <c r="D67" s="133"/>
      <c r="E67" s="134"/>
      <c r="F67" s="135"/>
      <c r="G67" s="136"/>
      <c r="H67" s="683"/>
      <c r="I67" s="676"/>
      <c r="J67" s="96"/>
      <c r="K67" s="96"/>
      <c r="L67" s="104"/>
      <c r="M67" s="75"/>
      <c r="N67" s="75"/>
      <c r="O67" s="100"/>
      <c r="P67" s="100"/>
      <c r="Q67" s="108"/>
      <c r="R67" s="108"/>
      <c r="S67" s="109"/>
      <c r="T67" s="109"/>
      <c r="U67" s="100"/>
      <c r="V67" s="142"/>
      <c r="W67" s="142"/>
      <c r="X67" s="100"/>
      <c r="Y67" s="100"/>
      <c r="Z67" s="100"/>
      <c r="AA67" s="142"/>
      <c r="AB67" s="142"/>
      <c r="AC67" s="100"/>
      <c r="AD67" s="109"/>
      <c r="AE67" s="109"/>
      <c r="AF67" s="109"/>
      <c r="AG67" s="109"/>
      <c r="AH67" s="108"/>
      <c r="AI67" s="109"/>
      <c r="AJ67" s="100"/>
      <c r="AK67" s="100"/>
      <c r="AL67" s="75"/>
      <c r="AM67" s="100"/>
      <c r="AN67" s="75"/>
      <c r="AO67" s="100"/>
      <c r="AP67" s="107"/>
      <c r="AQ67" s="100"/>
      <c r="AR67" s="75"/>
      <c r="AS67" s="111"/>
      <c r="AT67" s="75"/>
      <c r="AU67" s="431"/>
      <c r="AV67" s="111"/>
    </row>
    <row r="68" spans="1:48" ht="16.3">
      <c r="A68" s="83" t="s">
        <v>3</v>
      </c>
      <c r="B68" s="265">
        <f>SUM(L68+M68+N68+O68+P68+U68+X68+Y68+Z68+AC68+AK68+AL68+AK68+AO68+AR68+AS68+AU68+AV68+AW68+AX68)+1</f>
        <v>1</v>
      </c>
      <c r="C68" s="214">
        <f>SUM(L68+M68+N68+O68+P68+U68+Y68+Z68+X68+AC68+AL68+AK68+AL68+AP68+AS68+AO68+AV68+AW68+AX68+AY68+AR68+AU68)+1</f>
        <v>1</v>
      </c>
      <c r="D68" s="133"/>
      <c r="E68" s="134"/>
      <c r="F68" s="135"/>
      <c r="G68" s="136"/>
      <c r="H68" s="683"/>
      <c r="I68" s="676"/>
      <c r="J68" s="96"/>
      <c r="K68" s="96"/>
      <c r="L68" s="104"/>
      <c r="M68" s="75"/>
      <c r="N68" s="75"/>
      <c r="O68" s="100"/>
      <c r="P68" s="100"/>
      <c r="Q68" s="108"/>
      <c r="R68" s="108"/>
      <c r="S68" s="109"/>
      <c r="T68" s="109"/>
      <c r="U68" s="100"/>
      <c r="V68" s="142"/>
      <c r="W68" s="142"/>
      <c r="X68" s="100"/>
      <c r="Y68" s="100"/>
      <c r="Z68" s="100"/>
      <c r="AA68" s="142"/>
      <c r="AB68" s="142"/>
      <c r="AC68" s="100"/>
      <c r="AD68" s="109"/>
      <c r="AE68" s="109"/>
      <c r="AF68" s="109"/>
      <c r="AG68" s="109"/>
      <c r="AH68" s="108"/>
      <c r="AI68" s="109"/>
      <c r="AJ68" s="100"/>
      <c r="AK68" s="100"/>
      <c r="AL68" s="75"/>
      <c r="AM68" s="100"/>
      <c r="AN68" s="75"/>
      <c r="AO68" s="100"/>
      <c r="AP68" s="107"/>
      <c r="AQ68" s="100"/>
      <c r="AR68" s="75"/>
      <c r="AS68" s="111"/>
      <c r="AT68" s="75"/>
      <c r="AU68" s="431"/>
      <c r="AV68" s="111"/>
    </row>
    <row r="69" spans="1:48" ht="17" thickBot="1">
      <c r="A69" s="85" t="s">
        <v>4</v>
      </c>
      <c r="B69" s="268">
        <f>SUM(L69+M69+N69+O69+P69+U69+X69+Y69+Z69+AC69+AK69+AL69+AK69+AO69+AR69+AS69+AU69+AV69+AW69+AX69)+5</f>
        <v>5</v>
      </c>
      <c r="C69" s="217">
        <f>SUM(L69+M69+N69+O69+P69+U69+Y69+Z69+X69+AC69+AL69+AK69+AL69+AP69+AS69+AO69+AV69+AW69+AX69+AY69+AR69+AU69)+5</f>
        <v>5</v>
      </c>
      <c r="D69" s="144"/>
      <c r="E69" s="145"/>
      <c r="F69" s="146"/>
      <c r="G69" s="147"/>
      <c r="H69" s="684"/>
      <c r="I69" s="677"/>
      <c r="J69" s="114"/>
      <c r="K69" s="114"/>
      <c r="L69" s="113"/>
      <c r="M69" s="112"/>
      <c r="N69" s="112"/>
      <c r="O69" s="116"/>
      <c r="P69" s="116"/>
      <c r="Q69" s="117"/>
      <c r="R69" s="117"/>
      <c r="S69" s="118"/>
      <c r="T69" s="118"/>
      <c r="U69" s="116"/>
      <c r="V69" s="149"/>
      <c r="W69" s="149"/>
      <c r="X69" s="116"/>
      <c r="Y69" s="116"/>
      <c r="Z69" s="116"/>
      <c r="AA69" s="149"/>
      <c r="AB69" s="149"/>
      <c r="AC69" s="116"/>
      <c r="AD69" s="118"/>
      <c r="AE69" s="118"/>
      <c r="AF69" s="118"/>
      <c r="AG69" s="118"/>
      <c r="AH69" s="117"/>
      <c r="AI69" s="118"/>
      <c r="AJ69" s="116"/>
      <c r="AK69" s="116"/>
      <c r="AL69" s="112"/>
      <c r="AM69" s="116"/>
      <c r="AN69" s="112"/>
      <c r="AO69" s="116"/>
      <c r="AP69" s="130"/>
      <c r="AQ69" s="116"/>
      <c r="AR69" s="112"/>
      <c r="AS69" s="121"/>
      <c r="AT69" s="112"/>
      <c r="AU69" s="432"/>
      <c r="AV69" s="121"/>
    </row>
    <row r="70" spans="1:48" ht="21.1">
      <c r="A70" s="82" t="s">
        <v>292</v>
      </c>
      <c r="B70" s="265"/>
      <c r="C70" s="214"/>
      <c r="D70" s="133"/>
      <c r="E70" s="134"/>
      <c r="F70" s="135"/>
      <c r="G70" s="136"/>
      <c r="H70" s="683"/>
      <c r="I70" s="676"/>
      <c r="J70" s="96"/>
      <c r="K70" s="96"/>
      <c r="L70" s="104"/>
      <c r="M70" s="75"/>
      <c r="N70" s="75" t="s">
        <v>868</v>
      </c>
      <c r="O70" s="100" t="s">
        <v>868</v>
      </c>
      <c r="P70" s="100" t="s">
        <v>868</v>
      </c>
      <c r="Q70" s="108"/>
      <c r="R70" s="108"/>
      <c r="S70" s="109">
        <v>12</v>
      </c>
      <c r="T70" s="109">
        <v>12</v>
      </c>
      <c r="U70" s="100"/>
      <c r="V70" s="142"/>
      <c r="W70" s="142">
        <v>12</v>
      </c>
      <c r="X70" s="100" t="s">
        <v>393</v>
      </c>
      <c r="Y70" s="100" t="s">
        <v>381</v>
      </c>
      <c r="Z70" s="100">
        <v>12</v>
      </c>
      <c r="AA70" s="142">
        <v>12</v>
      </c>
      <c r="AB70" s="142"/>
      <c r="AC70" s="100"/>
      <c r="AD70" s="109" t="s">
        <v>381</v>
      </c>
      <c r="AE70" s="109"/>
      <c r="AF70" s="109"/>
      <c r="AG70" s="109"/>
      <c r="AH70" s="108"/>
      <c r="AI70" s="109"/>
      <c r="AJ70" s="100"/>
      <c r="AK70" s="100"/>
      <c r="AL70" s="75"/>
      <c r="AM70" s="100"/>
      <c r="AN70" s="75"/>
      <c r="AO70" s="100"/>
      <c r="AP70" s="107"/>
      <c r="AQ70" s="100"/>
      <c r="AR70" s="75"/>
      <c r="AS70" s="111"/>
      <c r="AT70" s="75"/>
      <c r="AU70" s="431"/>
      <c r="AV70" s="111"/>
    </row>
    <row r="71" spans="1:48" ht="16.3">
      <c r="A71" s="246" t="s">
        <v>1</v>
      </c>
      <c r="B71" s="266">
        <f>SUM(L71+M71+N71+O71+P71+U71+X71+Y71+Z71+AC71+AK71+AL71+AK71+AO71+AR71+AS71+AU71+AV71+AW71+AX71)+7</f>
        <v>9</v>
      </c>
      <c r="C71" s="215">
        <f>SUM(L71+M71+N71+O71+P71+U71+Y71+Z71+X71+AC71+AL71+AK71+AL71+AP71+AS71+AO71+AV71+AW71+AX71+AY71+AR71+AU71)+7</f>
        <v>9</v>
      </c>
      <c r="D71" s="133"/>
      <c r="E71" s="134"/>
      <c r="F71" s="135"/>
      <c r="G71" s="136"/>
      <c r="H71" s="683"/>
      <c r="I71" s="676"/>
      <c r="J71" s="96"/>
      <c r="K71" s="96"/>
      <c r="L71" s="104"/>
      <c r="M71" s="75"/>
      <c r="N71" s="75"/>
      <c r="O71" s="100"/>
      <c r="P71" s="100"/>
      <c r="Q71" s="108"/>
      <c r="R71" s="108"/>
      <c r="S71" s="109">
        <v>1</v>
      </c>
      <c r="T71" s="109">
        <v>1</v>
      </c>
      <c r="U71" s="100"/>
      <c r="V71" s="142"/>
      <c r="W71" s="142">
        <v>1</v>
      </c>
      <c r="X71" s="100"/>
      <c r="Y71" s="100">
        <v>1</v>
      </c>
      <c r="Z71" s="100">
        <v>1</v>
      </c>
      <c r="AA71" s="142">
        <v>1</v>
      </c>
      <c r="AB71" s="142"/>
      <c r="AC71" s="100"/>
      <c r="AD71" s="109">
        <v>1</v>
      </c>
      <c r="AE71" s="109"/>
      <c r="AF71" s="109"/>
      <c r="AG71" s="109"/>
      <c r="AH71" s="108"/>
      <c r="AI71" s="109"/>
      <c r="AJ71" s="100"/>
      <c r="AK71" s="100"/>
      <c r="AL71" s="75"/>
      <c r="AM71" s="100"/>
      <c r="AN71" s="75"/>
      <c r="AO71" s="100"/>
      <c r="AP71" s="107"/>
      <c r="AQ71" s="100"/>
      <c r="AR71" s="75"/>
      <c r="AS71" s="111"/>
      <c r="AT71" s="75"/>
      <c r="AU71" s="431"/>
      <c r="AV71" s="111"/>
    </row>
    <row r="72" spans="1:48" ht="16.3">
      <c r="A72" s="246" t="s">
        <v>2</v>
      </c>
      <c r="B72" s="266">
        <f>SUM(L72+M72+N72+O72+P72+U72+X72+Y72+Z72+AC72+AK72+AL72+AK72+AO72+AR72+AS72+AU72+AV72+AW72+AX72)+6</f>
        <v>6</v>
      </c>
      <c r="C72" s="215">
        <f>SUM(L72+M72+N72+O72+P72+U72+Y72+Z72+X72+AC72+AL72+AK72+AL72+AP72+AS72+AO72+AV72+AW72+AX72+AY72+AR72+AU72)+6</f>
        <v>6</v>
      </c>
      <c r="D72" s="133"/>
      <c r="E72" s="134"/>
      <c r="F72" s="135"/>
      <c r="G72" s="136"/>
      <c r="H72" s="683"/>
      <c r="I72" s="676"/>
      <c r="J72" s="96"/>
      <c r="K72" s="96"/>
      <c r="L72" s="104"/>
      <c r="M72" s="75"/>
      <c r="N72" s="75"/>
      <c r="O72" s="100"/>
      <c r="P72" s="100"/>
      <c r="Q72" s="108"/>
      <c r="R72" s="108"/>
      <c r="S72" s="109"/>
      <c r="T72" s="109"/>
      <c r="U72" s="100"/>
      <c r="V72" s="142"/>
      <c r="W72" s="142"/>
      <c r="X72" s="100"/>
      <c r="Y72" s="100"/>
      <c r="Z72" s="100"/>
      <c r="AA72" s="142"/>
      <c r="AB72" s="142"/>
      <c r="AC72" s="100"/>
      <c r="AD72" s="109"/>
      <c r="AE72" s="109"/>
      <c r="AF72" s="109"/>
      <c r="AG72" s="109"/>
      <c r="AH72" s="108"/>
      <c r="AI72" s="109"/>
      <c r="AJ72" s="100"/>
      <c r="AK72" s="100"/>
      <c r="AL72" s="75"/>
      <c r="AM72" s="100"/>
      <c r="AN72" s="75"/>
      <c r="AO72" s="100"/>
      <c r="AP72" s="107"/>
      <c r="AQ72" s="100"/>
      <c r="AR72" s="75"/>
      <c r="AS72" s="111"/>
      <c r="AT72" s="75"/>
      <c r="AU72" s="431"/>
      <c r="AV72" s="111"/>
    </row>
    <row r="73" spans="1:48" ht="16.3">
      <c r="A73" s="83" t="s">
        <v>363</v>
      </c>
      <c r="B73" s="265">
        <f>SUM(B71+B72)</f>
        <v>15</v>
      </c>
      <c r="C73" s="214">
        <f>SUM(C71+C72)</f>
        <v>15</v>
      </c>
      <c r="D73" s="133"/>
      <c r="E73" s="134"/>
      <c r="F73" s="135"/>
      <c r="G73" s="136"/>
      <c r="H73" s="683"/>
      <c r="I73" s="676"/>
      <c r="J73" s="96"/>
      <c r="K73" s="96"/>
      <c r="L73" s="104"/>
      <c r="M73" s="75"/>
      <c r="N73" s="75"/>
      <c r="O73" s="100"/>
      <c r="P73" s="100"/>
      <c r="Q73" s="108"/>
      <c r="R73" s="108"/>
      <c r="S73" s="109"/>
      <c r="T73" s="109"/>
      <c r="U73" s="100"/>
      <c r="V73" s="142"/>
      <c r="W73" s="142"/>
      <c r="X73" s="100"/>
      <c r="Y73" s="100"/>
      <c r="Z73" s="100"/>
      <c r="AA73" s="142"/>
      <c r="AB73" s="142"/>
      <c r="AC73" s="100"/>
      <c r="AD73" s="109"/>
      <c r="AE73" s="109"/>
      <c r="AF73" s="109"/>
      <c r="AG73" s="109"/>
      <c r="AH73" s="108"/>
      <c r="AI73" s="109"/>
      <c r="AJ73" s="100"/>
      <c r="AK73" s="100"/>
      <c r="AL73" s="75"/>
      <c r="AM73" s="100"/>
      <c r="AN73" s="75"/>
      <c r="AO73" s="100"/>
      <c r="AP73" s="107"/>
      <c r="AQ73" s="100"/>
      <c r="AR73" s="75"/>
      <c r="AS73" s="111"/>
      <c r="AT73" s="75"/>
      <c r="AU73" s="431"/>
      <c r="AV73" s="111"/>
    </row>
    <row r="74" spans="1:48" ht="16.3">
      <c r="A74" s="246" t="s">
        <v>362</v>
      </c>
      <c r="B74" s="266">
        <f>SUM(L74+M74+N74+O74+P74+U74+X74+Y74+Z74+AC74+AK74+AL74+AK74+AO74+AR74+AS74+AU74+AV74+AW74+AX74)+2</f>
        <v>2</v>
      </c>
      <c r="C74" s="215">
        <f>SUM(L74+M74+N74+O74+P74+U74+Y74+Z74+X74+AC74+AL74+AK74+AL74+AP74+AS74+AO74+AV74+AW74+AX74+AY74+AR74+AU74)+2</f>
        <v>2</v>
      </c>
      <c r="D74" s="133"/>
      <c r="E74" s="134"/>
      <c r="F74" s="135"/>
      <c r="G74" s="136"/>
      <c r="H74" s="683"/>
      <c r="I74" s="676"/>
      <c r="J74" s="96"/>
      <c r="K74" s="96"/>
      <c r="L74" s="104"/>
      <c r="M74" s="75"/>
      <c r="N74" s="75"/>
      <c r="O74" s="100"/>
      <c r="P74" s="100"/>
      <c r="Q74" s="108"/>
      <c r="R74" s="108"/>
      <c r="S74" s="109"/>
      <c r="T74" s="109"/>
      <c r="U74" s="100"/>
      <c r="V74" s="142"/>
      <c r="W74" s="142"/>
      <c r="X74" s="100"/>
      <c r="Y74" s="100"/>
      <c r="Z74" s="100"/>
      <c r="AA74" s="142"/>
      <c r="AB74" s="142"/>
      <c r="AC74" s="100"/>
      <c r="AD74" s="109"/>
      <c r="AE74" s="109"/>
      <c r="AF74" s="109"/>
      <c r="AG74" s="109"/>
      <c r="AH74" s="108"/>
      <c r="AI74" s="109"/>
      <c r="AJ74" s="100"/>
      <c r="AK74" s="100"/>
      <c r="AL74" s="75"/>
      <c r="AM74" s="100"/>
      <c r="AN74" s="75"/>
      <c r="AO74" s="100"/>
      <c r="AP74" s="107"/>
      <c r="AQ74" s="100"/>
      <c r="AR74" s="75"/>
      <c r="AS74" s="111"/>
      <c r="AT74" s="75"/>
      <c r="AU74" s="431"/>
      <c r="AV74" s="111"/>
    </row>
    <row r="75" spans="1:48" ht="16.3">
      <c r="A75" s="83" t="s">
        <v>3</v>
      </c>
      <c r="B75" s="265">
        <f>SUM(L75+M75+N75+O75+P75+U75+X75+Y75+Z75+AC75+AK75+AL75+AK75+AO75+AR75+AS75+AU75+AV75+AW75+AX75)+5</f>
        <v>5</v>
      </c>
      <c r="C75" s="214">
        <f>SUM(L75+M75+N75+O75+P75+U75+Y75+Z75+X75+AC75+AL75+AK75+AL75+AP75+AS75+AO75+AV75+AW75+AX75+AY75+AR75+AU75)+5</f>
        <v>5</v>
      </c>
      <c r="D75" s="133"/>
      <c r="E75" s="134"/>
      <c r="F75" s="135"/>
      <c r="G75" s="136"/>
      <c r="H75" s="683"/>
      <c r="I75" s="676"/>
      <c r="J75" s="96"/>
      <c r="K75" s="96"/>
      <c r="L75" s="104"/>
      <c r="M75" s="75"/>
      <c r="N75" s="75"/>
      <c r="O75" s="100"/>
      <c r="P75" s="100"/>
      <c r="Q75" s="108"/>
      <c r="R75" s="108"/>
      <c r="S75" s="109"/>
      <c r="T75" s="109">
        <v>1</v>
      </c>
      <c r="U75" s="100"/>
      <c r="V75" s="142"/>
      <c r="W75" s="142"/>
      <c r="X75" s="100"/>
      <c r="Y75" s="100"/>
      <c r="Z75" s="100"/>
      <c r="AA75" s="142"/>
      <c r="AB75" s="142"/>
      <c r="AC75" s="100"/>
      <c r="AD75" s="109">
        <v>1</v>
      </c>
      <c r="AE75" s="109"/>
      <c r="AF75" s="109"/>
      <c r="AG75" s="109"/>
      <c r="AH75" s="108"/>
      <c r="AI75" s="109"/>
      <c r="AJ75" s="100"/>
      <c r="AK75" s="100"/>
      <c r="AL75" s="75"/>
      <c r="AM75" s="100"/>
      <c r="AN75" s="75"/>
      <c r="AO75" s="100"/>
      <c r="AP75" s="107"/>
      <c r="AQ75" s="100"/>
      <c r="AR75" s="75"/>
      <c r="AS75" s="111"/>
      <c r="AT75" s="75"/>
      <c r="AU75" s="431"/>
      <c r="AV75" s="111"/>
    </row>
    <row r="76" spans="1:48" ht="17" thickBot="1">
      <c r="A76" s="85" t="s">
        <v>4</v>
      </c>
      <c r="B76" s="268">
        <f>SUM(L76+M76+N76+O76+P76+U76+X76+Y76+Z76+AC76+AK76+AL76+AK76+AO76+AR76+AS76+AU76+AV76+AW76+AX76)+25</f>
        <v>25</v>
      </c>
      <c r="C76" s="217">
        <f>SUM(L76+M76+N76+O76+P76+U76+Y76+Z76+X76+AC76+AL76+AK76+AL76+AP76+AS76+AO76+AV76+AW76+AX76+AY76+AR76+AU76)+25</f>
        <v>25</v>
      </c>
      <c r="D76" s="144"/>
      <c r="E76" s="145"/>
      <c r="F76" s="146"/>
      <c r="G76" s="147"/>
      <c r="H76" s="684"/>
      <c r="I76" s="677"/>
      <c r="J76" s="114"/>
      <c r="K76" s="114"/>
      <c r="L76" s="113"/>
      <c r="M76" s="112"/>
      <c r="N76" s="112"/>
      <c r="O76" s="116"/>
      <c r="P76" s="116"/>
      <c r="Q76" s="117"/>
      <c r="R76" s="117"/>
      <c r="S76" s="118"/>
      <c r="T76" s="118">
        <v>5</v>
      </c>
      <c r="U76" s="116"/>
      <c r="V76" s="149"/>
      <c r="W76" s="149"/>
      <c r="X76" s="116"/>
      <c r="Y76" s="116"/>
      <c r="Z76" s="116"/>
      <c r="AA76" s="149"/>
      <c r="AB76" s="149"/>
      <c r="AC76" s="116"/>
      <c r="AD76" s="118">
        <v>5</v>
      </c>
      <c r="AE76" s="118"/>
      <c r="AF76" s="118"/>
      <c r="AG76" s="118"/>
      <c r="AH76" s="117"/>
      <c r="AI76" s="118"/>
      <c r="AJ76" s="116"/>
      <c r="AK76" s="116"/>
      <c r="AL76" s="112"/>
      <c r="AM76" s="116"/>
      <c r="AN76" s="112"/>
      <c r="AO76" s="116"/>
      <c r="AP76" s="130"/>
      <c r="AQ76" s="116"/>
      <c r="AR76" s="112"/>
      <c r="AS76" s="121"/>
      <c r="AT76" s="112"/>
      <c r="AU76" s="432"/>
      <c r="AV76" s="121"/>
    </row>
    <row r="77" spans="1:48" ht="21.1">
      <c r="A77" s="82" t="s">
        <v>575</v>
      </c>
      <c r="B77" s="265"/>
      <c r="C77" s="214"/>
      <c r="D77" s="133"/>
      <c r="E77" s="134"/>
      <c r="F77" s="135"/>
      <c r="G77" s="136"/>
      <c r="H77" s="683"/>
      <c r="I77" s="676"/>
      <c r="J77" s="96" t="s">
        <v>662</v>
      </c>
      <c r="K77" s="96" t="s">
        <v>662</v>
      </c>
      <c r="L77" s="104" t="s">
        <v>662</v>
      </c>
      <c r="M77" s="75" t="s">
        <v>662</v>
      </c>
      <c r="N77" s="75"/>
      <c r="O77" s="100" t="s">
        <v>608</v>
      </c>
      <c r="P77" s="100">
        <v>12</v>
      </c>
      <c r="Q77" s="108"/>
      <c r="R77" s="108"/>
      <c r="S77" s="109" t="s">
        <v>662</v>
      </c>
      <c r="T77" s="109" t="s">
        <v>662</v>
      </c>
      <c r="U77" s="100">
        <v>12</v>
      </c>
      <c r="V77" s="142">
        <v>12</v>
      </c>
      <c r="W77" s="142"/>
      <c r="X77" s="100" t="s">
        <v>716</v>
      </c>
      <c r="Y77" s="100" t="s">
        <v>339</v>
      </c>
      <c r="Z77" s="100" t="s">
        <v>339</v>
      </c>
      <c r="AA77" s="142" t="s">
        <v>339</v>
      </c>
      <c r="AB77" s="142" t="s">
        <v>339</v>
      </c>
      <c r="AC77" s="100" t="s">
        <v>339</v>
      </c>
      <c r="AD77" s="109" t="s">
        <v>339</v>
      </c>
      <c r="AE77" s="109" t="s">
        <v>339</v>
      </c>
      <c r="AF77" s="109" t="s">
        <v>339</v>
      </c>
      <c r="AG77" s="109" t="s">
        <v>339</v>
      </c>
      <c r="AH77" s="108"/>
      <c r="AI77" s="109" t="s">
        <v>339</v>
      </c>
      <c r="AJ77" s="100" t="s">
        <v>339</v>
      </c>
      <c r="AK77" s="100"/>
      <c r="AL77" s="75"/>
      <c r="AM77" s="100"/>
      <c r="AN77" s="75"/>
      <c r="AO77" s="100"/>
      <c r="AP77" s="107"/>
      <c r="AQ77" s="100"/>
      <c r="AR77" s="75"/>
      <c r="AS77" s="111"/>
      <c r="AT77" s="75"/>
      <c r="AU77" s="431"/>
      <c r="AV77" s="111"/>
    </row>
    <row r="78" spans="1:48" ht="16.3">
      <c r="A78" s="246" t="s">
        <v>1</v>
      </c>
      <c r="B78" s="266">
        <f>SUM(L78+M78+N78+O78+P78+U78+X78+Y78+Z78+AC78+AK78+AL78+AK78+AO78+AR78+AS78+AU78+AV78+AW78+AX78)</f>
        <v>4</v>
      </c>
      <c r="C78" s="215">
        <f>SUM(L78+M78+N78+O78+P78+U78+Y78+Z78+X78+AC78+AL78+AK78+AL78+AP78+AS78+AO78+AV78+AW78+AX78+AY78+AR78+AU78)</f>
        <v>4</v>
      </c>
      <c r="D78" s="139"/>
      <c r="E78" s="140"/>
      <c r="F78" s="169"/>
      <c r="G78" s="170"/>
      <c r="H78" s="685"/>
      <c r="I78" s="678"/>
      <c r="J78" s="96"/>
      <c r="K78" s="96"/>
      <c r="L78" s="104"/>
      <c r="M78" s="75"/>
      <c r="N78" s="75"/>
      <c r="O78" s="100">
        <v>1</v>
      </c>
      <c r="P78" s="100">
        <v>1</v>
      </c>
      <c r="Q78" s="108"/>
      <c r="R78" s="108"/>
      <c r="S78" s="109"/>
      <c r="T78" s="109"/>
      <c r="U78" s="100">
        <v>1</v>
      </c>
      <c r="V78" s="142">
        <v>1</v>
      </c>
      <c r="W78" s="142"/>
      <c r="X78" s="100">
        <v>1</v>
      </c>
      <c r="Y78" s="100"/>
      <c r="Z78" s="100"/>
      <c r="AA78" s="142"/>
      <c r="AB78" s="142"/>
      <c r="AC78" s="100"/>
      <c r="AD78" s="109"/>
      <c r="AE78" s="109"/>
      <c r="AF78" s="109"/>
      <c r="AG78" s="109"/>
      <c r="AH78" s="108"/>
      <c r="AI78" s="109"/>
      <c r="AJ78" s="100"/>
      <c r="AK78" s="100"/>
      <c r="AL78" s="75"/>
      <c r="AM78" s="100"/>
      <c r="AN78" s="75"/>
      <c r="AO78" s="100"/>
      <c r="AP78" s="107"/>
      <c r="AQ78" s="100"/>
      <c r="AR78" s="75"/>
      <c r="AS78" s="111"/>
      <c r="AT78" s="75"/>
      <c r="AU78" s="431"/>
      <c r="AV78" s="111"/>
    </row>
    <row r="79" spans="1:48" ht="16.3">
      <c r="A79" s="246" t="s">
        <v>2</v>
      </c>
      <c r="B79" s="266">
        <f>SUM(L79+M79+N79+O79+P79+U79+X79+Y79+Z79+AC79+AK79+AL79+AK79+AO79+AR79+AS79+AU79+AV79+AW79+AX79)</f>
        <v>0</v>
      </c>
      <c r="C79" s="215">
        <f>SUM(L79+M79+N79+O79+P79+U79+Y79+Z79+X79+AC79+AL79+AK79+AL79+AP79+AS79+AO79+AV79+AW79+AX79+AY79+AR79+AU79)</f>
        <v>0</v>
      </c>
      <c r="D79" s="139"/>
      <c r="E79" s="140"/>
      <c r="F79" s="169"/>
      <c r="G79" s="170"/>
      <c r="H79" s="685"/>
      <c r="I79" s="678"/>
      <c r="J79" s="96"/>
      <c r="K79" s="96"/>
      <c r="L79" s="104"/>
      <c r="M79" s="75"/>
      <c r="N79" s="75"/>
      <c r="O79" s="100"/>
      <c r="P79" s="100"/>
      <c r="Q79" s="108"/>
      <c r="R79" s="108"/>
      <c r="S79" s="109"/>
      <c r="T79" s="109"/>
      <c r="U79" s="100"/>
      <c r="V79" s="142"/>
      <c r="W79" s="142"/>
      <c r="X79" s="100"/>
      <c r="Y79" s="100"/>
      <c r="Z79" s="100"/>
      <c r="AA79" s="142"/>
      <c r="AB79" s="142"/>
      <c r="AC79" s="100"/>
      <c r="AD79" s="109"/>
      <c r="AE79" s="109"/>
      <c r="AF79" s="109"/>
      <c r="AG79" s="109"/>
      <c r="AH79" s="108"/>
      <c r="AI79" s="109"/>
      <c r="AJ79" s="100"/>
      <c r="AK79" s="100"/>
      <c r="AL79" s="75"/>
      <c r="AM79" s="100"/>
      <c r="AN79" s="75"/>
      <c r="AO79" s="100"/>
      <c r="AP79" s="107"/>
      <c r="AQ79" s="100"/>
      <c r="AR79" s="75"/>
      <c r="AS79" s="111"/>
      <c r="AT79" s="75"/>
      <c r="AU79" s="431"/>
      <c r="AV79" s="111"/>
    </row>
    <row r="80" spans="1:48" ht="16.3">
      <c r="A80" s="83" t="s">
        <v>363</v>
      </c>
      <c r="B80" s="265">
        <f>SUM(B78+B79)</f>
        <v>4</v>
      </c>
      <c r="C80" s="214">
        <f>SUM(C78+C79)</f>
        <v>4</v>
      </c>
      <c r="D80" s="133"/>
      <c r="E80" s="134"/>
      <c r="F80" s="135"/>
      <c r="G80" s="136"/>
      <c r="H80" s="683"/>
      <c r="I80" s="676"/>
      <c r="J80" s="96"/>
      <c r="K80" s="96"/>
      <c r="L80" s="104"/>
      <c r="M80" s="75"/>
      <c r="N80" s="75"/>
      <c r="O80" s="100"/>
      <c r="P80" s="100"/>
      <c r="Q80" s="108"/>
      <c r="R80" s="108"/>
      <c r="S80" s="109"/>
      <c r="T80" s="109"/>
      <c r="U80" s="100"/>
      <c r="V80" s="142"/>
      <c r="W80" s="142"/>
      <c r="X80" s="100"/>
      <c r="Y80" s="100"/>
      <c r="Z80" s="100"/>
      <c r="AA80" s="142"/>
      <c r="AB80" s="142"/>
      <c r="AC80" s="100"/>
      <c r="AD80" s="109"/>
      <c r="AE80" s="109"/>
      <c r="AF80" s="109"/>
      <c r="AG80" s="109"/>
      <c r="AH80" s="108"/>
      <c r="AI80" s="109"/>
      <c r="AJ80" s="100"/>
      <c r="AK80" s="100"/>
      <c r="AL80" s="75"/>
      <c r="AM80" s="100"/>
      <c r="AN80" s="75"/>
      <c r="AO80" s="100"/>
      <c r="AP80" s="107"/>
      <c r="AQ80" s="100"/>
      <c r="AR80" s="75"/>
      <c r="AS80" s="111"/>
      <c r="AT80" s="75"/>
      <c r="AU80" s="431"/>
      <c r="AV80" s="111"/>
    </row>
    <row r="81" spans="1:48" ht="16.3">
      <c r="A81" s="83" t="s">
        <v>3</v>
      </c>
      <c r="B81" s="265">
        <f>SUM(L81+M81+N81+O81+P81+U81+X81+Y81+Z81+AC81+AK81+AL81+AK81+AO81+AR81+AS81+AU81+AV81+AW81+AX81)</f>
        <v>0</v>
      </c>
      <c r="C81" s="214">
        <f>SUM(L81+M81+N81+O81+P81+U81+Y81+Z81+X81+AC81+AL81+AK81+AL81+AP81+AS81+AO81+AV81+AW81+AX81+AY81+AR81+AU81)</f>
        <v>0</v>
      </c>
      <c r="D81" s="133"/>
      <c r="E81" s="134"/>
      <c r="F81" s="135"/>
      <c r="G81" s="136"/>
      <c r="H81" s="683"/>
      <c r="I81" s="676"/>
      <c r="J81" s="96"/>
      <c r="K81" s="96"/>
      <c r="L81" s="104"/>
      <c r="M81" s="75"/>
      <c r="N81" s="75"/>
      <c r="O81" s="100"/>
      <c r="P81" s="100"/>
      <c r="Q81" s="108"/>
      <c r="R81" s="108"/>
      <c r="S81" s="109"/>
      <c r="T81" s="109"/>
      <c r="U81" s="100"/>
      <c r="V81" s="142">
        <v>1</v>
      </c>
      <c r="W81" s="142"/>
      <c r="X81" s="100"/>
      <c r="Y81" s="100"/>
      <c r="Z81" s="100"/>
      <c r="AA81" s="142"/>
      <c r="AB81" s="142"/>
      <c r="AC81" s="100"/>
      <c r="AD81" s="109"/>
      <c r="AE81" s="109"/>
      <c r="AF81" s="109"/>
      <c r="AG81" s="109"/>
      <c r="AH81" s="108"/>
      <c r="AI81" s="109"/>
      <c r="AJ81" s="100"/>
      <c r="AK81" s="100"/>
      <c r="AL81" s="75"/>
      <c r="AM81" s="100"/>
      <c r="AN81" s="75"/>
      <c r="AO81" s="100"/>
      <c r="AP81" s="107"/>
      <c r="AQ81" s="100"/>
      <c r="AR81" s="75"/>
      <c r="AS81" s="111"/>
      <c r="AT81" s="75"/>
      <c r="AU81" s="431"/>
      <c r="AV81" s="111"/>
    </row>
    <row r="82" spans="1:48" ht="17" thickBot="1">
      <c r="A82" s="85" t="s">
        <v>4</v>
      </c>
      <c r="B82" s="268">
        <f>SUM(L82+M82+N82+O82+P82+U82+X82+Y82+Z82+AC82+AK82+AL82+AK82+AO82+AR82+AS82+AU82+AV82+AW82+AX82)</f>
        <v>0</v>
      </c>
      <c r="C82" s="217">
        <f>SUM(L82+M82+N82+O82+P82+U82+Y82+Z82+X82+AC82+AL82+AK82+AL82+AP82+AS82+AO82+AV82+AW82+AX82+AY82+AR82+AU82)</f>
        <v>0</v>
      </c>
      <c r="D82" s="144"/>
      <c r="E82" s="145"/>
      <c r="F82" s="146"/>
      <c r="G82" s="147"/>
      <c r="H82" s="684"/>
      <c r="I82" s="677"/>
      <c r="J82" s="114"/>
      <c r="K82" s="114"/>
      <c r="L82" s="113"/>
      <c r="M82" s="112"/>
      <c r="N82" s="112"/>
      <c r="O82" s="116"/>
      <c r="P82" s="116"/>
      <c r="Q82" s="117"/>
      <c r="R82" s="117"/>
      <c r="S82" s="118"/>
      <c r="T82" s="118"/>
      <c r="U82" s="116"/>
      <c r="V82" s="149">
        <v>5</v>
      </c>
      <c r="W82" s="149"/>
      <c r="X82" s="116"/>
      <c r="Y82" s="116"/>
      <c r="Z82" s="116"/>
      <c r="AA82" s="149"/>
      <c r="AB82" s="149"/>
      <c r="AC82" s="116"/>
      <c r="AD82" s="118"/>
      <c r="AE82" s="118"/>
      <c r="AF82" s="118"/>
      <c r="AG82" s="118"/>
      <c r="AH82" s="117"/>
      <c r="AI82" s="118"/>
      <c r="AJ82" s="116"/>
      <c r="AK82" s="116"/>
      <c r="AL82" s="112"/>
      <c r="AM82" s="116"/>
      <c r="AN82" s="112"/>
      <c r="AO82" s="116"/>
      <c r="AP82" s="130"/>
      <c r="AQ82" s="116"/>
      <c r="AR82" s="112"/>
      <c r="AS82" s="121"/>
      <c r="AT82" s="112"/>
      <c r="AU82" s="432"/>
      <c r="AV82" s="121"/>
    </row>
    <row r="83" spans="1:48" ht="21.1">
      <c r="A83" s="82" t="s">
        <v>119</v>
      </c>
      <c r="B83" s="265"/>
      <c r="C83" s="214"/>
      <c r="D83" s="133"/>
      <c r="E83" s="134"/>
      <c r="F83" s="135"/>
      <c r="G83" s="136"/>
      <c r="H83" s="683"/>
      <c r="I83" s="676"/>
      <c r="J83" s="96" t="s">
        <v>501</v>
      </c>
      <c r="K83" s="96">
        <v>12</v>
      </c>
      <c r="L83" s="75" t="s">
        <v>696</v>
      </c>
      <c r="M83" s="75">
        <v>13</v>
      </c>
      <c r="N83" s="75">
        <v>13</v>
      </c>
      <c r="O83" s="100">
        <v>13</v>
      </c>
      <c r="P83" s="100" t="s">
        <v>765</v>
      </c>
      <c r="Q83" s="108"/>
      <c r="R83" s="108"/>
      <c r="S83" s="109"/>
      <c r="T83" s="109"/>
      <c r="U83" s="100">
        <v>13</v>
      </c>
      <c r="V83" s="142">
        <v>13</v>
      </c>
      <c r="W83" s="142"/>
      <c r="X83" s="100">
        <v>13</v>
      </c>
      <c r="Y83" s="100">
        <v>13</v>
      </c>
      <c r="Z83" s="100">
        <v>13</v>
      </c>
      <c r="AA83" s="142">
        <v>13</v>
      </c>
      <c r="AB83" s="142" t="s">
        <v>377</v>
      </c>
      <c r="AC83" s="100">
        <v>13</v>
      </c>
      <c r="AD83" s="109" t="s">
        <v>775</v>
      </c>
      <c r="AE83" s="109" t="s">
        <v>775</v>
      </c>
      <c r="AF83" s="109" t="s">
        <v>775</v>
      </c>
      <c r="AG83" s="109" t="s">
        <v>375</v>
      </c>
      <c r="AH83" s="108"/>
      <c r="AI83" s="109">
        <v>13</v>
      </c>
      <c r="AJ83" s="100"/>
      <c r="AK83" s="100"/>
      <c r="AL83" s="75"/>
      <c r="AM83" s="100"/>
      <c r="AN83" s="75"/>
      <c r="AO83" s="100"/>
      <c r="AP83" s="107"/>
      <c r="AQ83" s="100"/>
      <c r="AR83" s="75"/>
      <c r="AS83" s="111"/>
      <c r="AT83" s="75"/>
      <c r="AU83" s="431"/>
      <c r="AV83" s="111"/>
    </row>
    <row r="84" spans="1:48" ht="16.3">
      <c r="A84" s="246" t="s">
        <v>1</v>
      </c>
      <c r="B84" s="266">
        <f>SUM(L84+M84+N84+O84+P84+U84+X84+Y84+Z84+AC84+AK84+AL84+AK84+AO84+AR84+AS84+AU84+AV84+AW84+AX84)+153</f>
        <v>163</v>
      </c>
      <c r="C84" s="215">
        <f>SUM(L84+M84+N84+O84+P84+U84+Y84+Z84+X84+AC84+AL84+AK84+AL84+AP84+AS84+AO84+AV84+AW84+AX84+AY84+AR84+AU84)+153</f>
        <v>163</v>
      </c>
      <c r="D84" s="133"/>
      <c r="E84" s="134"/>
      <c r="F84" s="135"/>
      <c r="G84" s="136"/>
      <c r="H84" s="683"/>
      <c r="I84" s="676"/>
      <c r="J84" s="96"/>
      <c r="K84" s="96">
        <v>1</v>
      </c>
      <c r="L84" s="104">
        <v>1</v>
      </c>
      <c r="M84" s="75">
        <v>1</v>
      </c>
      <c r="N84" s="75">
        <v>1</v>
      </c>
      <c r="O84" s="100">
        <v>1</v>
      </c>
      <c r="P84" s="100">
        <v>1</v>
      </c>
      <c r="Q84" s="108"/>
      <c r="R84" s="108"/>
      <c r="S84" s="109"/>
      <c r="T84" s="109"/>
      <c r="U84" s="100">
        <v>1</v>
      </c>
      <c r="V84" s="142">
        <v>1</v>
      </c>
      <c r="W84" s="142"/>
      <c r="X84" s="100">
        <v>1</v>
      </c>
      <c r="Y84" s="100">
        <v>1</v>
      </c>
      <c r="Z84" s="100">
        <v>1</v>
      </c>
      <c r="AA84" s="142">
        <v>1</v>
      </c>
      <c r="AB84" s="142">
        <v>1</v>
      </c>
      <c r="AC84" s="100">
        <v>1</v>
      </c>
      <c r="AD84" s="109"/>
      <c r="AE84" s="109"/>
      <c r="AF84" s="109"/>
      <c r="AG84" s="109"/>
      <c r="AH84" s="108"/>
      <c r="AI84" s="109">
        <v>1</v>
      </c>
      <c r="AJ84" s="100"/>
      <c r="AK84" s="100"/>
      <c r="AL84" s="75"/>
      <c r="AM84" s="100"/>
      <c r="AN84" s="75"/>
      <c r="AO84" s="100"/>
      <c r="AP84" s="107"/>
      <c r="AQ84" s="100"/>
      <c r="AR84" s="75"/>
      <c r="AS84" s="111"/>
      <c r="AT84" s="75"/>
      <c r="AU84" s="431"/>
      <c r="AV84" s="111"/>
    </row>
    <row r="85" spans="1:48" ht="16.3">
      <c r="A85" s="246" t="s">
        <v>2</v>
      </c>
      <c r="B85" s="266">
        <f>SUM(L85+M85+N85+O85+P85+U85+X85+Y85+Z85+AC85+AK85+AL85+AK85+AO85+AR85+AS85+AU85+AV85+AW85+AX85)+21</f>
        <v>21</v>
      </c>
      <c r="C85" s="215">
        <f>SUM(L85+M85+N85+O85+P85+U85+Y85+Z85+X85+AC85+AL85+AK85+AL85+AP85+AS85+AO85+AV85+AW85+AX85+AY85+AR85+AU85)+21</f>
        <v>21</v>
      </c>
      <c r="D85" s="133"/>
      <c r="E85" s="134"/>
      <c r="F85" s="135"/>
      <c r="G85" s="136"/>
      <c r="H85" s="683"/>
      <c r="I85" s="676"/>
      <c r="J85" s="96"/>
      <c r="K85" s="96"/>
      <c r="L85" s="104"/>
      <c r="M85" s="75"/>
      <c r="N85" s="75"/>
      <c r="O85" s="100"/>
      <c r="P85" s="100"/>
      <c r="Q85" s="108"/>
      <c r="R85" s="108"/>
      <c r="S85" s="109"/>
      <c r="T85" s="109"/>
      <c r="U85" s="100"/>
      <c r="V85" s="142"/>
      <c r="W85" s="142"/>
      <c r="X85" s="100"/>
      <c r="Y85" s="100"/>
      <c r="Z85" s="100"/>
      <c r="AA85" s="142"/>
      <c r="AB85" s="142"/>
      <c r="AC85" s="100"/>
      <c r="AD85" s="109"/>
      <c r="AE85" s="109"/>
      <c r="AF85" s="109"/>
      <c r="AG85" s="109">
        <v>1</v>
      </c>
      <c r="AH85" s="108"/>
      <c r="AI85" s="109"/>
      <c r="AJ85" s="100"/>
      <c r="AK85" s="100"/>
      <c r="AL85" s="75"/>
      <c r="AM85" s="100"/>
      <c r="AN85" s="75"/>
      <c r="AO85" s="100"/>
      <c r="AP85" s="107"/>
      <c r="AQ85" s="100"/>
      <c r="AR85" s="75"/>
      <c r="AS85" s="111"/>
      <c r="AT85" s="75"/>
      <c r="AU85" s="431"/>
      <c r="AV85" s="111"/>
    </row>
    <row r="86" spans="1:48" ht="16.3">
      <c r="A86" s="83" t="s">
        <v>363</v>
      </c>
      <c r="B86" s="265">
        <f>SUM(B84+B85)</f>
        <v>184</v>
      </c>
      <c r="C86" s="214">
        <f>SUM(C84+C85)</f>
        <v>184</v>
      </c>
      <c r="D86" s="133"/>
      <c r="E86" s="134"/>
      <c r="F86" s="135"/>
      <c r="G86" s="136"/>
      <c r="H86" s="683"/>
      <c r="I86" s="676"/>
      <c r="J86" s="96"/>
      <c r="K86" s="96"/>
      <c r="L86" s="104"/>
      <c r="M86" s="75"/>
      <c r="N86" s="75"/>
      <c r="O86" s="100"/>
      <c r="P86" s="100"/>
      <c r="Q86" s="108"/>
      <c r="R86" s="108"/>
      <c r="S86" s="109"/>
      <c r="T86" s="109"/>
      <c r="U86" s="100"/>
      <c r="V86" s="142"/>
      <c r="W86" s="142"/>
      <c r="X86" s="100"/>
      <c r="Y86" s="100"/>
      <c r="Z86" s="100"/>
      <c r="AA86" s="142"/>
      <c r="AB86" s="142"/>
      <c r="AC86" s="100"/>
      <c r="AD86" s="109"/>
      <c r="AE86" s="109"/>
      <c r="AF86" s="109"/>
      <c r="AG86" s="109"/>
      <c r="AH86" s="108"/>
      <c r="AI86" s="109"/>
      <c r="AJ86" s="100"/>
      <c r="AK86" s="100"/>
      <c r="AL86" s="75"/>
      <c r="AM86" s="100"/>
      <c r="AN86" s="75"/>
      <c r="AO86" s="100"/>
      <c r="AP86" s="107"/>
      <c r="AQ86" s="100"/>
      <c r="AR86" s="75"/>
      <c r="AS86" s="111"/>
      <c r="AT86" s="75"/>
      <c r="AU86" s="431"/>
      <c r="AV86" s="111"/>
    </row>
    <row r="87" spans="1:48" ht="16.3">
      <c r="A87" s="246" t="s">
        <v>366</v>
      </c>
      <c r="B87" s="266">
        <f>SUM(L87+M87+N87+O87+P87+U87+X87+Y87+Z87+AC87+AK87+AL87+AK87+AO87+AR87+AS87+AU87+AV87+AW87+AX87)+7</f>
        <v>8</v>
      </c>
      <c r="C87" s="215">
        <f>SUM(L87+M87+N87+O87+P87+U87+Y87+Z87+X87+AC87+AL87+AK87+AL87+AP87+AS87+AO87+AV87+AW87+AX87+AY87+AR87+AU87)+7</f>
        <v>8</v>
      </c>
      <c r="D87" s="133"/>
      <c r="E87" s="134"/>
      <c r="F87" s="135"/>
      <c r="G87" s="136"/>
      <c r="H87" s="683"/>
      <c r="I87" s="676"/>
      <c r="J87" s="96"/>
      <c r="K87" s="96"/>
      <c r="L87" s="104">
        <v>1</v>
      </c>
      <c r="M87" s="75"/>
      <c r="N87" s="75"/>
      <c r="O87" s="100"/>
      <c r="P87" s="100"/>
      <c r="Q87" s="108"/>
      <c r="R87" s="108"/>
      <c r="S87" s="109"/>
      <c r="T87" s="109"/>
      <c r="U87" s="100"/>
      <c r="V87" s="142"/>
      <c r="W87" s="142"/>
      <c r="X87" s="100"/>
      <c r="Y87" s="100"/>
      <c r="Z87" s="100"/>
      <c r="AA87" s="142"/>
      <c r="AB87" s="142"/>
      <c r="AC87" s="100"/>
      <c r="AD87" s="109"/>
      <c r="AE87" s="109"/>
      <c r="AF87" s="109"/>
      <c r="AG87" s="109"/>
      <c r="AH87" s="108"/>
      <c r="AI87" s="109"/>
      <c r="AJ87" s="100"/>
      <c r="AK87" s="100"/>
      <c r="AL87" s="75"/>
      <c r="AM87" s="100"/>
      <c r="AN87" s="75"/>
      <c r="AO87" s="100"/>
      <c r="AP87" s="107"/>
      <c r="AQ87" s="100"/>
      <c r="AR87" s="75"/>
      <c r="AS87" s="111"/>
      <c r="AT87" s="75"/>
      <c r="AU87" s="431"/>
      <c r="AV87" s="111"/>
    </row>
    <row r="88" spans="1:48" ht="16.3">
      <c r="A88" s="246" t="s">
        <v>362</v>
      </c>
      <c r="B88" s="266">
        <f>SUM(L88+M88+N88+O88+P88+U88+X88+Y88+Z88+AC88+AK88+AL88+AK88+AO88+AR88+AS88+AU88+AV88+AW88+AX88)+2</f>
        <v>2</v>
      </c>
      <c r="C88" s="215">
        <f>SUM(L88+M88+N88+O88+P88+U88+Y88+Z88+X88+AC88+AL88+AK88+AL88+AP88+AS88+AO88+AV88+AW88+AX88+AY88+AR88+AU88)+2</f>
        <v>2</v>
      </c>
      <c r="D88" s="133"/>
      <c r="E88" s="134"/>
      <c r="F88" s="135"/>
      <c r="G88" s="136"/>
      <c r="H88" s="683"/>
      <c r="I88" s="676"/>
      <c r="J88" s="96"/>
      <c r="K88" s="96"/>
      <c r="L88" s="104"/>
      <c r="M88" s="75"/>
      <c r="N88" s="75"/>
      <c r="O88" s="100"/>
      <c r="P88" s="100"/>
      <c r="Q88" s="108"/>
      <c r="R88" s="108"/>
      <c r="S88" s="109"/>
      <c r="T88" s="109"/>
      <c r="U88" s="100"/>
      <c r="V88" s="142"/>
      <c r="W88" s="142"/>
      <c r="X88" s="100"/>
      <c r="Y88" s="100"/>
      <c r="Z88" s="100"/>
      <c r="AA88" s="142"/>
      <c r="AB88" s="142"/>
      <c r="AC88" s="100"/>
      <c r="AD88" s="109"/>
      <c r="AE88" s="109"/>
      <c r="AF88" s="109"/>
      <c r="AG88" s="109"/>
      <c r="AH88" s="108"/>
      <c r="AI88" s="109"/>
      <c r="AJ88" s="100"/>
      <c r="AK88" s="100"/>
      <c r="AL88" s="75"/>
      <c r="AM88" s="100"/>
      <c r="AN88" s="75"/>
      <c r="AO88" s="100"/>
      <c r="AP88" s="107"/>
      <c r="AQ88" s="100"/>
      <c r="AR88" s="75"/>
      <c r="AS88" s="111"/>
      <c r="AT88" s="75"/>
      <c r="AU88" s="431"/>
      <c r="AV88" s="111"/>
    </row>
    <row r="89" spans="1:48" ht="16.3">
      <c r="A89" s="246" t="s">
        <v>5</v>
      </c>
      <c r="B89" s="266">
        <f>SUM(L89+M89+N89+O89+P89+U89+X89+Y89+Z89+AC89+AK89+AL89+AK89+AO89+AR89+AS89+AU89+AV89+AW89+AX89)+206</f>
        <v>244</v>
      </c>
      <c r="C89" s="215">
        <f>SUM(L89+M89+N89+O89+P89+U89+Y89+Z89+X89+AC89+AL89+AK89+AL89+AP89+AS89+AO89+AV89+AW89+AX89+AY89+AR89+AU89)+206</f>
        <v>244</v>
      </c>
      <c r="D89" s="133"/>
      <c r="E89" s="134"/>
      <c r="F89" s="135"/>
      <c r="G89" s="136"/>
      <c r="H89" s="683"/>
      <c r="I89" s="676"/>
      <c r="J89" s="96"/>
      <c r="K89" s="96">
        <v>3</v>
      </c>
      <c r="L89" s="104">
        <v>4</v>
      </c>
      <c r="M89" s="75">
        <v>4</v>
      </c>
      <c r="N89" s="75">
        <v>2</v>
      </c>
      <c r="O89" s="100">
        <v>6</v>
      </c>
      <c r="P89" s="100">
        <v>5</v>
      </c>
      <c r="Q89" s="108"/>
      <c r="R89" s="108"/>
      <c r="S89" s="109"/>
      <c r="T89" s="109"/>
      <c r="U89" s="100">
        <v>5</v>
      </c>
      <c r="V89" s="142">
        <v>6</v>
      </c>
      <c r="W89" s="142"/>
      <c r="X89" s="100">
        <v>4</v>
      </c>
      <c r="Y89" s="100">
        <v>4</v>
      </c>
      <c r="Z89" s="100">
        <v>3</v>
      </c>
      <c r="AA89" s="142">
        <v>3</v>
      </c>
      <c r="AB89" s="142">
        <v>3</v>
      </c>
      <c r="AC89" s="100">
        <v>1</v>
      </c>
      <c r="AD89" s="109"/>
      <c r="AE89" s="109"/>
      <c r="AF89" s="109"/>
      <c r="AG89" s="109">
        <v>1</v>
      </c>
      <c r="AH89" s="108"/>
      <c r="AI89" s="109">
        <v>5</v>
      </c>
      <c r="AJ89" s="100"/>
      <c r="AK89" s="100"/>
      <c r="AL89" s="75"/>
      <c r="AM89" s="100"/>
      <c r="AN89" s="75"/>
      <c r="AO89" s="100"/>
      <c r="AP89" s="107"/>
      <c r="AQ89" s="100"/>
      <c r="AR89" s="75"/>
      <c r="AS89" s="111"/>
      <c r="AT89" s="75"/>
      <c r="AU89" s="431"/>
      <c r="AV89" s="111"/>
    </row>
    <row r="90" spans="1:48" ht="16.3">
      <c r="A90" s="246" t="s">
        <v>6</v>
      </c>
      <c r="B90" s="266">
        <f>SUM(L90+M90+N90+O90+P90+U90+X90+Y90+Z90+AC90+AK90+AL90+AK90+AO90+AR90+AS90+AU90+AV90+AW90+AX90)+283</f>
        <v>331</v>
      </c>
      <c r="C90" s="215">
        <f>SUM(L90+M90+N90+O90+P90+U90+Y90+Z90+X90+AC90+AL90+AK90+AL90+AP90+AS90+AO90+AV90+AW90+AX90+AY90+AR90+AU90)+283</f>
        <v>331</v>
      </c>
      <c r="D90" s="133"/>
      <c r="E90" s="134"/>
      <c r="F90" s="135"/>
      <c r="G90" s="136"/>
      <c r="H90" s="683"/>
      <c r="I90" s="676"/>
      <c r="J90" s="96"/>
      <c r="K90" s="96">
        <v>5</v>
      </c>
      <c r="L90" s="104">
        <v>5</v>
      </c>
      <c r="M90" s="75">
        <v>6</v>
      </c>
      <c r="N90" s="75">
        <v>3</v>
      </c>
      <c r="O90" s="100">
        <v>7</v>
      </c>
      <c r="P90" s="100">
        <v>6</v>
      </c>
      <c r="Q90" s="108"/>
      <c r="R90" s="108"/>
      <c r="S90" s="109"/>
      <c r="T90" s="109"/>
      <c r="U90" s="100">
        <v>6</v>
      </c>
      <c r="V90" s="142">
        <v>6</v>
      </c>
      <c r="W90" s="142"/>
      <c r="X90" s="100">
        <v>5</v>
      </c>
      <c r="Y90" s="100">
        <v>4</v>
      </c>
      <c r="Z90" s="100">
        <v>4</v>
      </c>
      <c r="AA90" s="142">
        <v>4</v>
      </c>
      <c r="AB90" s="142">
        <v>4</v>
      </c>
      <c r="AC90" s="100">
        <v>2</v>
      </c>
      <c r="AD90" s="109"/>
      <c r="AE90" s="109"/>
      <c r="AF90" s="109"/>
      <c r="AG90" s="109">
        <v>1</v>
      </c>
      <c r="AH90" s="108"/>
      <c r="AI90" s="109">
        <v>5</v>
      </c>
      <c r="AJ90" s="100"/>
      <c r="AK90" s="100"/>
      <c r="AL90" s="75"/>
      <c r="AM90" s="100"/>
      <c r="AN90" s="75"/>
      <c r="AO90" s="100"/>
      <c r="AP90" s="107"/>
      <c r="AQ90" s="100"/>
      <c r="AR90" s="75"/>
      <c r="AS90" s="111"/>
      <c r="AT90" s="75"/>
      <c r="AU90" s="431"/>
      <c r="AV90" s="111"/>
    </row>
    <row r="91" spans="1:48" ht="16.3">
      <c r="A91" s="246" t="s">
        <v>368</v>
      </c>
      <c r="B91" s="267">
        <f>SUM(B89/B90)*100</f>
        <v>73.716012084592137</v>
      </c>
      <c r="C91" s="216">
        <f>SUM(C89/C90)*100</f>
        <v>73.716012084592137</v>
      </c>
      <c r="D91" s="133"/>
      <c r="E91" s="134"/>
      <c r="F91" s="135"/>
      <c r="G91" s="136"/>
      <c r="H91" s="683"/>
      <c r="I91" s="676"/>
      <c r="J91" s="96"/>
      <c r="K91" s="96">
        <v>60</v>
      </c>
      <c r="L91" s="104">
        <v>80</v>
      </c>
      <c r="M91" s="75">
        <v>67</v>
      </c>
      <c r="N91" s="75">
        <v>67</v>
      </c>
      <c r="O91" s="100">
        <v>86</v>
      </c>
      <c r="P91" s="100">
        <v>83</v>
      </c>
      <c r="Q91" s="108"/>
      <c r="R91" s="108"/>
      <c r="S91" s="109"/>
      <c r="T91" s="109"/>
      <c r="U91" s="100">
        <v>83</v>
      </c>
      <c r="V91" s="142">
        <v>100</v>
      </c>
      <c r="W91" s="142"/>
      <c r="X91" s="100">
        <v>80</v>
      </c>
      <c r="Y91" s="100">
        <v>100</v>
      </c>
      <c r="Z91" s="100">
        <v>75</v>
      </c>
      <c r="AA91" s="142">
        <v>75</v>
      </c>
      <c r="AB91" s="142">
        <v>75</v>
      </c>
      <c r="AC91" s="100">
        <v>50</v>
      </c>
      <c r="AD91" s="109"/>
      <c r="AE91" s="109"/>
      <c r="AF91" s="109"/>
      <c r="AG91" s="109">
        <v>100</v>
      </c>
      <c r="AH91" s="108"/>
      <c r="AI91" s="109">
        <v>100</v>
      </c>
      <c r="AJ91" s="100"/>
      <c r="AK91" s="100"/>
      <c r="AL91" s="75"/>
      <c r="AM91" s="100"/>
      <c r="AN91" s="75"/>
      <c r="AO91" s="100"/>
      <c r="AP91" s="107"/>
      <c r="AQ91" s="100"/>
      <c r="AR91" s="75"/>
      <c r="AS91" s="111"/>
      <c r="AT91" s="75"/>
      <c r="AU91" s="431"/>
      <c r="AV91" s="111"/>
    </row>
    <row r="92" spans="1:48" ht="16.3">
      <c r="A92" s="246" t="s">
        <v>386</v>
      </c>
      <c r="B92" s="267">
        <f>SUM(L92+M92+N92+O92+P92+U92+X92+Y92+Z92+AC92+AK92+AL92+AK92+AO92+AR92+AS92+AU92+AV92+AW92+AX92)</f>
        <v>0</v>
      </c>
      <c r="C92" s="216">
        <f>SUM(L92+M92+N92+O92+P92+U92+Y92+Z92+X92+AC92+AL92+AK92+AL92+AP92+AS92+AO92+AV92+AW92+AX92+AY92+AR92+AU92)</f>
        <v>0</v>
      </c>
      <c r="D92" s="133"/>
      <c r="E92" s="134"/>
      <c r="F92" s="135"/>
      <c r="G92" s="136"/>
      <c r="H92" s="683"/>
      <c r="I92" s="676"/>
      <c r="J92" s="96"/>
      <c r="K92" s="96"/>
      <c r="L92" s="104"/>
      <c r="M92" s="75"/>
      <c r="N92" s="75"/>
      <c r="O92" s="100"/>
      <c r="P92" s="100"/>
      <c r="Q92" s="108"/>
      <c r="R92" s="108"/>
      <c r="S92" s="109"/>
      <c r="T92" s="109"/>
      <c r="U92" s="100"/>
      <c r="V92" s="142"/>
      <c r="W92" s="142"/>
      <c r="X92" s="100"/>
      <c r="Y92" s="100"/>
      <c r="Z92" s="100"/>
      <c r="AA92" s="142">
        <v>1</v>
      </c>
      <c r="AB92" s="142"/>
      <c r="AC92" s="100"/>
      <c r="AD92" s="109"/>
      <c r="AE92" s="109"/>
      <c r="AF92" s="109"/>
      <c r="AG92" s="109"/>
      <c r="AH92" s="108"/>
      <c r="AI92" s="109"/>
      <c r="AJ92" s="100"/>
      <c r="AK92" s="100"/>
      <c r="AL92" s="75"/>
      <c r="AM92" s="100"/>
      <c r="AN92" s="75"/>
      <c r="AO92" s="100"/>
      <c r="AP92" s="107"/>
      <c r="AQ92" s="100"/>
      <c r="AR92" s="75"/>
      <c r="AS92" s="111"/>
      <c r="AT92" s="75"/>
      <c r="AU92" s="431"/>
      <c r="AV92" s="111"/>
    </row>
    <row r="93" spans="1:48" ht="16.3">
      <c r="A93" s="83" t="s">
        <v>3</v>
      </c>
      <c r="B93" s="265">
        <f>SUM(L93+M93+N93+O93+P93+U93+X93+Y93+Z93+AC93+AK93+AL93+AK93+AO93+AR93+AS93+AU93+AV93+AW93+AX93)+33</f>
        <v>39</v>
      </c>
      <c r="C93" s="214">
        <f>SUM(L93+M93+N93+O93+P93+U93+Y93+Z93+X93+AC93+AL93+AK93+AL93+AP93+AS93+AO93+AV93+AW93+AX93+AY93+AR93+AU93)+33</f>
        <v>39</v>
      </c>
      <c r="D93" s="133"/>
      <c r="E93" s="134"/>
      <c r="F93" s="135"/>
      <c r="G93" s="136"/>
      <c r="H93" s="683"/>
      <c r="I93" s="676"/>
      <c r="J93" s="96"/>
      <c r="K93" s="96"/>
      <c r="L93" s="104"/>
      <c r="M93" s="75"/>
      <c r="N93" s="75">
        <v>1</v>
      </c>
      <c r="O93" s="100">
        <v>2</v>
      </c>
      <c r="P93" s="100">
        <v>2</v>
      </c>
      <c r="Q93" s="108"/>
      <c r="R93" s="108"/>
      <c r="S93" s="109"/>
      <c r="T93" s="109"/>
      <c r="U93" s="100"/>
      <c r="V93" s="142">
        <v>1</v>
      </c>
      <c r="W93" s="142"/>
      <c r="X93" s="100">
        <v>1</v>
      </c>
      <c r="Y93" s="100"/>
      <c r="Z93" s="100"/>
      <c r="AA93" s="142"/>
      <c r="AB93" s="142"/>
      <c r="AC93" s="100"/>
      <c r="AD93" s="109"/>
      <c r="AE93" s="109"/>
      <c r="AF93" s="109"/>
      <c r="AG93" s="109"/>
      <c r="AH93" s="108"/>
      <c r="AI93" s="109"/>
      <c r="AJ93" s="100"/>
      <c r="AK93" s="100"/>
      <c r="AL93" s="75"/>
      <c r="AM93" s="100"/>
      <c r="AN93" s="75"/>
      <c r="AO93" s="100"/>
      <c r="AP93" s="107"/>
      <c r="AQ93" s="100"/>
      <c r="AR93" s="75"/>
      <c r="AS93" s="111"/>
      <c r="AT93" s="75"/>
      <c r="AU93" s="431"/>
      <c r="AV93" s="111"/>
    </row>
    <row r="94" spans="1:48" ht="17" thickBot="1">
      <c r="A94" s="85" t="s">
        <v>4</v>
      </c>
      <c r="B94" s="268">
        <f>SUM(L94+M94+N94+O94+P94+U94+X94+Y94+Z94+AC94+AK94+AL94+AK94+AO94+AR94+AS94+AU94+AV94+AW94+AX94)+654</f>
        <v>769</v>
      </c>
      <c r="C94" s="217">
        <f>SUM(L94+M94+N94+O94+P94+U94+Y94+Z94+X94+AC94+AL94+AK94+AL94+AP94+AS94+AO94+AV94+AW94+AX94+AY94+AR94+AU94)+654</f>
        <v>769</v>
      </c>
      <c r="D94" s="144"/>
      <c r="E94" s="145"/>
      <c r="F94" s="146"/>
      <c r="G94" s="147"/>
      <c r="H94" s="684"/>
      <c r="I94" s="677"/>
      <c r="J94" s="114"/>
      <c r="K94" s="114">
        <v>8</v>
      </c>
      <c r="L94" s="113">
        <v>8</v>
      </c>
      <c r="M94" s="112">
        <v>8</v>
      </c>
      <c r="N94" s="112">
        <v>9</v>
      </c>
      <c r="O94" s="176">
        <v>23</v>
      </c>
      <c r="P94" s="176">
        <v>22</v>
      </c>
      <c r="Q94" s="117"/>
      <c r="R94" s="117"/>
      <c r="S94" s="118"/>
      <c r="T94" s="118"/>
      <c r="U94" s="116">
        <v>12</v>
      </c>
      <c r="V94" s="149">
        <v>17</v>
      </c>
      <c r="W94" s="149"/>
      <c r="X94" s="116">
        <v>15</v>
      </c>
      <c r="Y94" s="116">
        <v>9</v>
      </c>
      <c r="Z94" s="116">
        <v>6</v>
      </c>
      <c r="AA94" s="149">
        <v>10</v>
      </c>
      <c r="AB94" s="149">
        <v>6</v>
      </c>
      <c r="AC94" s="116">
        <v>3</v>
      </c>
      <c r="AD94" s="118"/>
      <c r="AE94" s="118"/>
      <c r="AF94" s="118"/>
      <c r="AG94" s="118">
        <v>2</v>
      </c>
      <c r="AH94" s="117"/>
      <c r="AI94" s="118">
        <v>11</v>
      </c>
      <c r="AJ94" s="116"/>
      <c r="AK94" s="116"/>
      <c r="AL94" s="112"/>
      <c r="AM94" s="116"/>
      <c r="AN94" s="112"/>
      <c r="AO94" s="116"/>
      <c r="AP94" s="130"/>
      <c r="AQ94" s="116"/>
      <c r="AR94" s="112"/>
      <c r="AS94" s="298"/>
      <c r="AT94" s="112"/>
      <c r="AU94" s="432"/>
      <c r="AV94" s="121"/>
    </row>
    <row r="95" spans="1:48" ht="21.1">
      <c r="A95" s="82" t="s">
        <v>196</v>
      </c>
      <c r="B95" s="265"/>
      <c r="C95" s="214"/>
      <c r="D95" s="133"/>
      <c r="E95" s="134"/>
      <c r="F95" s="135"/>
      <c r="G95" s="136"/>
      <c r="H95" s="683"/>
      <c r="I95" s="676"/>
      <c r="J95" s="96" t="s">
        <v>375</v>
      </c>
      <c r="K95" s="96"/>
      <c r="L95" s="104"/>
      <c r="M95" s="75"/>
      <c r="N95" s="75"/>
      <c r="O95" s="100" t="s">
        <v>869</v>
      </c>
      <c r="P95" s="102" t="s">
        <v>344</v>
      </c>
      <c r="Q95" s="98"/>
      <c r="R95" s="98"/>
      <c r="S95" s="99" t="s">
        <v>344</v>
      </c>
      <c r="T95" s="99" t="s">
        <v>344</v>
      </c>
      <c r="U95" s="102" t="s">
        <v>344</v>
      </c>
      <c r="V95" s="138" t="s">
        <v>344</v>
      </c>
      <c r="W95" s="138" t="s">
        <v>344</v>
      </c>
      <c r="X95" s="102" t="s">
        <v>344</v>
      </c>
      <c r="Y95" s="102" t="s">
        <v>344</v>
      </c>
      <c r="Z95" s="102" t="s">
        <v>344</v>
      </c>
      <c r="AA95" s="138" t="s">
        <v>344</v>
      </c>
      <c r="AB95" s="138" t="s">
        <v>344</v>
      </c>
      <c r="AC95" s="102" t="s">
        <v>344</v>
      </c>
      <c r="AD95" s="99" t="s">
        <v>344</v>
      </c>
      <c r="AE95" s="99">
        <v>13</v>
      </c>
      <c r="AF95" s="99">
        <v>13</v>
      </c>
      <c r="AG95" s="99">
        <v>13</v>
      </c>
      <c r="AH95" s="98"/>
      <c r="AI95" s="99" t="s">
        <v>381</v>
      </c>
      <c r="AJ95" s="102"/>
      <c r="AK95" s="102"/>
      <c r="AL95" s="122"/>
      <c r="AM95" s="102"/>
      <c r="AN95" s="122"/>
      <c r="AO95" s="102"/>
      <c r="AP95" s="131"/>
      <c r="AQ95" s="102"/>
      <c r="AR95" s="122"/>
      <c r="AS95" s="103"/>
      <c r="AT95" s="122"/>
      <c r="AU95" s="430"/>
      <c r="AV95" s="103"/>
    </row>
    <row r="96" spans="1:48" ht="16.3">
      <c r="A96" s="246" t="s">
        <v>1</v>
      </c>
      <c r="B96" s="266">
        <f>SUM(L96+M96+N96+O96+P96+U96+X96+Y96+Z96+AC96+AK96+AL96+AK96+AO96+AR96+AS96+AU96+AV96+AW96+AX96)+3</f>
        <v>3</v>
      </c>
      <c r="C96" s="215">
        <f>SUM(L96+M96+N96+O96+P96+U96+Y96+Z96+X96+AC96+AL96+AK96+AL96+AP96+AS96+AO96+AV96+AW96+AX96+AY96+AR96+AU96)+3</f>
        <v>3</v>
      </c>
      <c r="D96" s="133"/>
      <c r="E96" s="134"/>
      <c r="F96" s="135"/>
      <c r="G96" s="136"/>
      <c r="H96" s="683"/>
      <c r="I96" s="676"/>
      <c r="J96" s="96"/>
      <c r="K96" s="96"/>
      <c r="L96" s="104"/>
      <c r="M96" s="75"/>
      <c r="N96" s="75"/>
      <c r="O96" s="100"/>
      <c r="P96" s="100"/>
      <c r="Q96" s="108"/>
      <c r="R96" s="108"/>
      <c r="S96" s="109"/>
      <c r="T96" s="109"/>
      <c r="U96" s="100"/>
      <c r="V96" s="142"/>
      <c r="W96" s="142"/>
      <c r="X96" s="100"/>
      <c r="Y96" s="100"/>
      <c r="Z96" s="100"/>
      <c r="AA96" s="142"/>
      <c r="AB96" s="142"/>
      <c r="AC96" s="100"/>
      <c r="AD96" s="109"/>
      <c r="AE96" s="109">
        <v>1</v>
      </c>
      <c r="AF96" s="109">
        <v>1</v>
      </c>
      <c r="AG96" s="109">
        <v>1</v>
      </c>
      <c r="AH96" s="108"/>
      <c r="AI96" s="109">
        <v>1</v>
      </c>
      <c r="AJ96" s="100"/>
      <c r="AK96" s="100"/>
      <c r="AL96" s="75"/>
      <c r="AM96" s="100"/>
      <c r="AN96" s="75"/>
      <c r="AO96" s="100"/>
      <c r="AP96" s="107"/>
      <c r="AQ96" s="100"/>
      <c r="AR96" s="75"/>
      <c r="AS96" s="111"/>
      <c r="AT96" s="75"/>
      <c r="AU96" s="431"/>
      <c r="AV96" s="111"/>
    </row>
    <row r="97" spans="1:50" ht="16.3">
      <c r="A97" s="246" t="s">
        <v>2</v>
      </c>
      <c r="B97" s="266">
        <f>SUM(L97+M97+N97+O97+P97+U97+X97+Y97+Z97+AC97+AK97+AL97+AK97+AO97+AR97+AS97+AU97+AV97+AW97+AX97)+10</f>
        <v>10</v>
      </c>
      <c r="C97" s="215">
        <f>SUM(L97+M97+N97+O97+P97+U97+Y97+Z97+X97+AC97+AL97+AK97+AL97+AP97+AS97+AO97+AV97+AW97+AX97+AY97+AR97+AU97)+10</f>
        <v>10</v>
      </c>
      <c r="D97" s="133"/>
      <c r="E97" s="134"/>
      <c r="F97" s="135"/>
      <c r="G97" s="136"/>
      <c r="H97" s="683"/>
      <c r="I97" s="676"/>
      <c r="J97" s="96">
        <v>1</v>
      </c>
      <c r="K97" s="96"/>
      <c r="L97" s="104"/>
      <c r="M97" s="75"/>
      <c r="N97" s="75"/>
      <c r="O97" s="100"/>
      <c r="P97" s="100"/>
      <c r="Q97" s="108"/>
      <c r="R97" s="108"/>
      <c r="S97" s="109"/>
      <c r="T97" s="109"/>
      <c r="U97" s="100"/>
      <c r="V97" s="142"/>
      <c r="W97" s="142"/>
      <c r="X97" s="100"/>
      <c r="Y97" s="100"/>
      <c r="Z97" s="100"/>
      <c r="AA97" s="142"/>
      <c r="AB97" s="142"/>
      <c r="AC97" s="100"/>
      <c r="AD97" s="109"/>
      <c r="AE97" s="109"/>
      <c r="AF97" s="109"/>
      <c r="AG97" s="109"/>
      <c r="AH97" s="108"/>
      <c r="AI97" s="109"/>
      <c r="AJ97" s="100"/>
      <c r="AK97" s="100"/>
      <c r="AL97" s="75"/>
      <c r="AM97" s="100"/>
      <c r="AN97" s="75"/>
      <c r="AO97" s="100"/>
      <c r="AP97" s="107"/>
      <c r="AQ97" s="100"/>
      <c r="AR97" s="75"/>
      <c r="AS97" s="111"/>
      <c r="AT97" s="75"/>
      <c r="AU97" s="431"/>
      <c r="AV97" s="111"/>
    </row>
    <row r="98" spans="1:50" ht="16.3">
      <c r="A98" s="83" t="s">
        <v>363</v>
      </c>
      <c r="B98" s="265">
        <f>SUM(B96+B97)</f>
        <v>13</v>
      </c>
      <c r="C98" s="214">
        <f>SUM(C96+C97)</f>
        <v>13</v>
      </c>
      <c r="D98" s="133"/>
      <c r="E98" s="134"/>
      <c r="F98" s="135"/>
      <c r="G98" s="136"/>
      <c r="H98" s="683"/>
      <c r="I98" s="676"/>
      <c r="J98" s="96"/>
      <c r="K98" s="96"/>
      <c r="L98" s="104"/>
      <c r="M98" s="75"/>
      <c r="N98" s="75"/>
      <c r="O98" s="100"/>
      <c r="P98" s="100"/>
      <c r="Q98" s="108"/>
      <c r="R98" s="108"/>
      <c r="S98" s="109"/>
      <c r="T98" s="109"/>
      <c r="U98" s="100"/>
      <c r="V98" s="142"/>
      <c r="W98" s="142"/>
      <c r="X98" s="100"/>
      <c r="Y98" s="100"/>
      <c r="Z98" s="100"/>
      <c r="AA98" s="142"/>
      <c r="AB98" s="142"/>
      <c r="AC98" s="100"/>
      <c r="AD98" s="109"/>
      <c r="AE98" s="109"/>
      <c r="AF98" s="109"/>
      <c r="AG98" s="109"/>
      <c r="AH98" s="108"/>
      <c r="AI98" s="109"/>
      <c r="AJ98" s="100"/>
      <c r="AK98" s="100"/>
      <c r="AL98" s="75"/>
      <c r="AM98" s="100"/>
      <c r="AN98" s="75"/>
      <c r="AO98" s="100"/>
      <c r="AP98" s="107"/>
      <c r="AQ98" s="100"/>
      <c r="AR98" s="75"/>
      <c r="AS98" s="111"/>
      <c r="AT98" s="75"/>
      <c r="AU98" s="431"/>
      <c r="AV98" s="111"/>
    </row>
    <row r="99" spans="1:50" ht="16.3">
      <c r="A99" s="83" t="s">
        <v>3</v>
      </c>
      <c r="B99" s="265">
        <f>SUM(L99+M99+N99+O99+P99+U99+X99+Y99+Z99+AC99+AK99+AL99+AK99+AO99+AR99+AS99+AU99+AV99+AW99+AX99)+1</f>
        <v>1</v>
      </c>
      <c r="C99" s="214">
        <f>SUM(L99+M99+N99+O99+P99+U99+Y99+Z99+X99+AC99+AL99+AK99+AL99+AP99+AS99+AO99+AV99+AW99+AX99+AY99+AR99+AU99)+1</f>
        <v>1</v>
      </c>
      <c r="D99" s="133"/>
      <c r="E99" s="134"/>
      <c r="F99" s="135"/>
      <c r="G99" s="136"/>
      <c r="H99" s="683"/>
      <c r="I99" s="676"/>
      <c r="J99" s="96"/>
      <c r="K99" s="96"/>
      <c r="L99" s="104"/>
      <c r="M99" s="75"/>
      <c r="N99" s="75"/>
      <c r="O99" s="100"/>
      <c r="P99" s="100"/>
      <c r="Q99" s="108"/>
      <c r="R99" s="108"/>
      <c r="S99" s="109"/>
      <c r="T99" s="109"/>
      <c r="U99" s="100"/>
      <c r="V99" s="142"/>
      <c r="W99" s="142"/>
      <c r="X99" s="100"/>
      <c r="Y99" s="100"/>
      <c r="Z99" s="100"/>
      <c r="AA99" s="142"/>
      <c r="AB99" s="142"/>
      <c r="AC99" s="100"/>
      <c r="AD99" s="109"/>
      <c r="AE99" s="109"/>
      <c r="AF99" s="109">
        <v>2</v>
      </c>
      <c r="AG99" s="109">
        <v>1</v>
      </c>
      <c r="AH99" s="108"/>
      <c r="AI99" s="109">
        <v>1</v>
      </c>
      <c r="AJ99" s="100"/>
      <c r="AK99" s="100"/>
      <c r="AL99" s="75"/>
      <c r="AM99" s="100"/>
      <c r="AN99" s="75"/>
      <c r="AO99" s="100"/>
      <c r="AP99" s="107"/>
      <c r="AQ99" s="100"/>
      <c r="AR99" s="75"/>
      <c r="AS99" s="111"/>
      <c r="AT99" s="75"/>
      <c r="AU99" s="431"/>
      <c r="AV99" s="111"/>
    </row>
    <row r="100" spans="1:50" ht="17" thickBot="1">
      <c r="A100" s="85" t="s">
        <v>4</v>
      </c>
      <c r="B100" s="268">
        <f>SUM(L100+M100+N100+O100+P100+U100+X100+Y100+Z100+AC100+AK100+AL100+AK100+AO100+AR100+AS100+AU100+AV100+AW100+AX100)+5</f>
        <v>5</v>
      </c>
      <c r="C100" s="217">
        <f>SUM(L100+M100+N100+O100+P100+U100+Y100+Z100+X100+AC100+AL100+AK100+AL100+AP100+AS100+AO100+AV100+AW100+AX100+AY100+AR100+AU100)+5</f>
        <v>5</v>
      </c>
      <c r="D100" s="144"/>
      <c r="E100" s="145"/>
      <c r="F100" s="146"/>
      <c r="G100" s="147"/>
      <c r="H100" s="684"/>
      <c r="I100" s="677"/>
      <c r="J100" s="114"/>
      <c r="K100" s="114"/>
      <c r="L100" s="113"/>
      <c r="M100" s="112"/>
      <c r="N100" s="112"/>
      <c r="O100" s="116"/>
      <c r="P100" s="116"/>
      <c r="Q100" s="117"/>
      <c r="R100" s="117"/>
      <c r="S100" s="118"/>
      <c r="T100" s="118"/>
      <c r="U100" s="116"/>
      <c r="V100" s="149"/>
      <c r="W100" s="149"/>
      <c r="X100" s="116"/>
      <c r="Y100" s="116"/>
      <c r="Z100" s="116"/>
      <c r="AA100" s="149"/>
      <c r="AB100" s="149"/>
      <c r="AC100" s="116"/>
      <c r="AD100" s="118"/>
      <c r="AE100" s="118"/>
      <c r="AF100" s="118">
        <v>10</v>
      </c>
      <c r="AG100" s="118">
        <v>5</v>
      </c>
      <c r="AH100" s="117"/>
      <c r="AI100" s="118">
        <v>5</v>
      </c>
      <c r="AJ100" s="116"/>
      <c r="AK100" s="116"/>
      <c r="AL100" s="112"/>
      <c r="AM100" s="116"/>
      <c r="AN100" s="112"/>
      <c r="AO100" s="116"/>
      <c r="AP100" s="130"/>
      <c r="AQ100" s="116"/>
      <c r="AR100" s="112"/>
      <c r="AS100" s="121"/>
      <c r="AT100" s="112"/>
      <c r="AU100" s="432"/>
      <c r="AV100" s="121"/>
    </row>
    <row r="101" spans="1:50" ht="21.1">
      <c r="A101" s="82" t="s">
        <v>589</v>
      </c>
      <c r="B101" s="265"/>
      <c r="C101" s="214"/>
      <c r="D101" s="133"/>
      <c r="E101" s="134"/>
      <c r="F101" s="135"/>
      <c r="G101" s="136"/>
      <c r="H101" s="683"/>
      <c r="I101" s="676"/>
      <c r="J101" s="96">
        <v>12</v>
      </c>
      <c r="K101" s="96"/>
      <c r="L101" s="104"/>
      <c r="M101" s="75"/>
      <c r="N101" s="75"/>
      <c r="O101" s="100"/>
      <c r="P101" s="100"/>
      <c r="Q101" s="108"/>
      <c r="R101" s="108"/>
      <c r="S101" s="109" t="s">
        <v>377</v>
      </c>
      <c r="T101" s="109" t="s">
        <v>393</v>
      </c>
      <c r="U101" s="100"/>
      <c r="V101" s="142"/>
      <c r="W101" s="142">
        <v>13</v>
      </c>
      <c r="X101" s="100"/>
      <c r="Y101" s="100"/>
      <c r="Z101" s="100"/>
      <c r="AA101" s="142"/>
      <c r="AB101" s="142"/>
      <c r="AC101" s="100"/>
      <c r="AD101" s="109"/>
      <c r="AE101" s="109" t="s">
        <v>381</v>
      </c>
      <c r="AF101" s="109"/>
      <c r="AG101" s="109"/>
      <c r="AH101" s="108"/>
      <c r="AI101" s="109"/>
      <c r="AJ101" s="100"/>
      <c r="AK101" s="100"/>
      <c r="AL101" s="75"/>
      <c r="AM101" s="100"/>
      <c r="AN101" s="75"/>
      <c r="AO101" s="100"/>
      <c r="AP101" s="107"/>
      <c r="AQ101" s="100"/>
      <c r="AR101" s="75"/>
      <c r="AS101" s="111"/>
      <c r="AT101" s="75"/>
      <c r="AU101" s="431"/>
      <c r="AV101" s="111"/>
    </row>
    <row r="102" spans="1:50" ht="16.3">
      <c r="A102" s="246" t="s">
        <v>1</v>
      </c>
      <c r="B102" s="266">
        <f>SUM(L102+M102+N102+O102+P102+U102+X102+Y102+Z102+AC102+AK102+AL102+AK102+AO102+AR102+AS102+AU102+AV102+AW102+AX102)</f>
        <v>0</v>
      </c>
      <c r="C102" s="215">
        <f>SUM(L102+M102+N102+O102+P102+U102+Y102+Z102+X102+AC102+AL102+AK102+AL102+AP102+AS102+AO102+AV102+AW102+AX102+AY102+AR102+AU102)</f>
        <v>0</v>
      </c>
      <c r="D102" s="133"/>
      <c r="E102" s="134"/>
      <c r="F102" s="135"/>
      <c r="G102" s="136"/>
      <c r="H102" s="683"/>
      <c r="I102" s="676"/>
      <c r="J102" s="96">
        <v>1</v>
      </c>
      <c r="K102" s="96"/>
      <c r="L102" s="104"/>
      <c r="M102" s="75"/>
      <c r="N102" s="75"/>
      <c r="O102" s="100"/>
      <c r="P102" s="100"/>
      <c r="Q102" s="108"/>
      <c r="R102" s="108"/>
      <c r="S102" s="109">
        <v>1</v>
      </c>
      <c r="T102" s="109"/>
      <c r="U102" s="100"/>
      <c r="V102" s="142"/>
      <c r="W102" s="142">
        <v>1</v>
      </c>
      <c r="X102" s="100"/>
      <c r="Y102" s="100"/>
      <c r="Z102" s="100"/>
      <c r="AA102" s="142"/>
      <c r="AB102" s="142"/>
      <c r="AC102" s="100"/>
      <c r="AD102" s="109"/>
      <c r="AE102" s="109">
        <v>1</v>
      </c>
      <c r="AF102" s="109"/>
      <c r="AG102" s="109"/>
      <c r="AH102" s="108"/>
      <c r="AI102" s="109"/>
      <c r="AJ102" s="100"/>
      <c r="AK102" s="100"/>
      <c r="AL102" s="75"/>
      <c r="AM102" s="100"/>
      <c r="AN102" s="75"/>
      <c r="AO102" s="100"/>
      <c r="AP102" s="107"/>
      <c r="AQ102" s="100"/>
      <c r="AR102" s="75"/>
      <c r="AS102" s="111"/>
      <c r="AT102" s="75"/>
      <c r="AU102" s="431"/>
      <c r="AV102" s="111"/>
    </row>
    <row r="103" spans="1:50" ht="16.3">
      <c r="A103" s="246" t="s">
        <v>2</v>
      </c>
      <c r="B103" s="266">
        <f>SUM(L103+M103+N103+O103+P103+U103+X103+Y103+Z103+AC103+AK103+AL103+AK103+AO103+AR103+AS103+AU103+AV103+AW103+AX103)</f>
        <v>0</v>
      </c>
      <c r="C103" s="215">
        <f>SUM(L103+M103+N103+O103+P103+U103+Y103+Z103+X103+AC103+AL103+AK103+AL103+AP103+AS103+AO103+AV103+AW103+AX103+AY103+AR103+AU103)</f>
        <v>0</v>
      </c>
      <c r="D103" s="133"/>
      <c r="E103" s="134"/>
      <c r="F103" s="135"/>
      <c r="G103" s="136"/>
      <c r="H103" s="683"/>
      <c r="I103" s="676"/>
      <c r="J103" s="96"/>
      <c r="K103" s="96"/>
      <c r="L103" s="104"/>
      <c r="M103" s="75"/>
      <c r="N103" s="75"/>
      <c r="O103" s="100"/>
      <c r="P103" s="100"/>
      <c r="Q103" s="108"/>
      <c r="R103" s="108"/>
      <c r="S103" s="109"/>
      <c r="T103" s="109"/>
      <c r="U103" s="100"/>
      <c r="V103" s="142"/>
      <c r="W103" s="142"/>
      <c r="X103" s="100"/>
      <c r="Y103" s="100"/>
      <c r="Z103" s="100"/>
      <c r="AA103" s="142"/>
      <c r="AB103" s="142"/>
      <c r="AC103" s="100"/>
      <c r="AD103" s="109"/>
      <c r="AE103" s="109"/>
      <c r="AF103" s="109"/>
      <c r="AG103" s="109"/>
      <c r="AH103" s="108"/>
      <c r="AI103" s="109"/>
      <c r="AJ103" s="100"/>
      <c r="AK103" s="100"/>
      <c r="AL103" s="75"/>
      <c r="AM103" s="100"/>
      <c r="AN103" s="75"/>
      <c r="AO103" s="100"/>
      <c r="AP103" s="107"/>
      <c r="AQ103" s="100"/>
      <c r="AR103" s="75"/>
      <c r="AS103" s="111"/>
      <c r="AT103" s="75"/>
      <c r="AU103" s="431"/>
      <c r="AV103" s="111"/>
    </row>
    <row r="104" spans="1:50" ht="16.3">
      <c r="A104" s="83" t="s">
        <v>363</v>
      </c>
      <c r="B104" s="265">
        <f>SUM(B102+B103)</f>
        <v>0</v>
      </c>
      <c r="C104" s="214">
        <f>SUM(C102+C103)</f>
        <v>0</v>
      </c>
      <c r="D104" s="133"/>
      <c r="E104" s="134"/>
      <c r="F104" s="135"/>
      <c r="G104" s="136"/>
      <c r="H104" s="683"/>
      <c r="I104" s="676"/>
      <c r="J104" s="96"/>
      <c r="K104" s="96"/>
      <c r="L104" s="104"/>
      <c r="M104" s="75"/>
      <c r="N104" s="75"/>
      <c r="O104" s="100"/>
      <c r="P104" s="100"/>
      <c r="Q104" s="108"/>
      <c r="R104" s="108"/>
      <c r="S104" s="109"/>
      <c r="T104" s="109"/>
      <c r="U104" s="100"/>
      <c r="V104" s="142"/>
      <c r="W104" s="142"/>
      <c r="X104" s="100"/>
      <c r="Y104" s="100"/>
      <c r="Z104" s="100"/>
      <c r="AA104" s="142"/>
      <c r="AB104" s="142"/>
      <c r="AC104" s="100"/>
      <c r="AD104" s="109"/>
      <c r="AE104" s="109"/>
      <c r="AF104" s="109"/>
      <c r="AG104" s="109"/>
      <c r="AH104" s="108"/>
      <c r="AI104" s="109"/>
      <c r="AJ104" s="100"/>
      <c r="AK104" s="100"/>
      <c r="AL104" s="75"/>
      <c r="AM104" s="100"/>
      <c r="AN104" s="75"/>
      <c r="AO104" s="100"/>
      <c r="AP104" s="107"/>
      <c r="AQ104" s="100"/>
      <c r="AR104" s="75"/>
      <c r="AS104" s="111"/>
      <c r="AT104" s="75"/>
      <c r="AU104" s="431"/>
      <c r="AV104" s="111"/>
    </row>
    <row r="105" spans="1:50" ht="16.3">
      <c r="A105" s="83" t="s">
        <v>3</v>
      </c>
      <c r="B105" s="265">
        <f>SUM(L105+M105+N105+O105+P105+U105+X105+Y105+Z105+AC105+AK105+AL105+AK105+AO105+AR105+AS105+AU105+AV105+AW105+AX105)</f>
        <v>0</v>
      </c>
      <c r="C105" s="214">
        <f>SUM(L105+M105+N105+O105+P105+U105+Y105+Z105+X105+AC105+AL105+AK105+AL105+AP105+AS105+AO105+AV105+AW105+AX105+AY105+AR105+AU105)</f>
        <v>0</v>
      </c>
      <c r="D105" s="133"/>
      <c r="E105" s="134"/>
      <c r="F105" s="135"/>
      <c r="G105" s="136"/>
      <c r="H105" s="683"/>
      <c r="I105" s="676"/>
      <c r="J105" s="96"/>
      <c r="K105" s="96"/>
      <c r="L105" s="104"/>
      <c r="M105" s="75"/>
      <c r="N105" s="75"/>
      <c r="O105" s="100"/>
      <c r="P105" s="100"/>
      <c r="Q105" s="108"/>
      <c r="R105" s="108"/>
      <c r="S105" s="109"/>
      <c r="T105" s="109"/>
      <c r="U105" s="100"/>
      <c r="V105" s="142"/>
      <c r="W105" s="142"/>
      <c r="X105" s="100"/>
      <c r="Y105" s="100"/>
      <c r="Z105" s="100"/>
      <c r="AA105" s="142"/>
      <c r="AB105" s="142"/>
      <c r="AC105" s="100"/>
      <c r="AD105" s="109"/>
      <c r="AE105" s="109"/>
      <c r="AF105" s="109"/>
      <c r="AG105" s="109"/>
      <c r="AH105" s="108"/>
      <c r="AI105" s="109"/>
      <c r="AJ105" s="100"/>
      <c r="AK105" s="100"/>
      <c r="AL105" s="75"/>
      <c r="AM105" s="100"/>
      <c r="AN105" s="75"/>
      <c r="AO105" s="100"/>
      <c r="AP105" s="107"/>
      <c r="AQ105" s="100"/>
      <c r="AR105" s="75"/>
      <c r="AS105" s="111"/>
      <c r="AT105" s="75"/>
      <c r="AU105" s="431"/>
      <c r="AV105" s="111"/>
    </row>
    <row r="106" spans="1:50" ht="17" thickBot="1">
      <c r="A106" s="85" t="s">
        <v>4</v>
      </c>
      <c r="B106" s="268">
        <f>SUM(L106+M106+N106+O106+P106+U106+X106+Y106+Z106+AC106+AK106+AL106+AK106+AO106+AR106+AS106+AU106+AV106+AW106+AX106)</f>
        <v>0</v>
      </c>
      <c r="C106" s="217">
        <f>SUM(L106+M106+N106+O106+P106+U106+Y106+Z106+X106+AC106+AL106+AK106+AL106+AP106+AS106+AO106+AV106+AW106+AX106+AY106+AR106+AU106)</f>
        <v>0</v>
      </c>
      <c r="D106" s="144"/>
      <c r="E106" s="145"/>
      <c r="F106" s="146"/>
      <c r="G106" s="147"/>
      <c r="H106" s="684"/>
      <c r="I106" s="677"/>
      <c r="J106" s="114"/>
      <c r="K106" s="114"/>
      <c r="L106" s="113"/>
      <c r="M106" s="112"/>
      <c r="N106" s="112"/>
      <c r="O106" s="116"/>
      <c r="P106" s="116"/>
      <c r="Q106" s="117"/>
      <c r="R106" s="117"/>
      <c r="S106" s="118"/>
      <c r="T106" s="118"/>
      <c r="U106" s="116"/>
      <c r="V106" s="149"/>
      <c r="W106" s="149"/>
      <c r="X106" s="116"/>
      <c r="Y106" s="116"/>
      <c r="Z106" s="116"/>
      <c r="AA106" s="149"/>
      <c r="AB106" s="149"/>
      <c r="AC106" s="116"/>
      <c r="AD106" s="118"/>
      <c r="AE106" s="118"/>
      <c r="AF106" s="118"/>
      <c r="AG106" s="118"/>
      <c r="AH106" s="117"/>
      <c r="AI106" s="118"/>
      <c r="AJ106" s="116"/>
      <c r="AK106" s="116"/>
      <c r="AL106" s="112"/>
      <c r="AM106" s="116"/>
      <c r="AN106" s="112"/>
      <c r="AO106" s="116"/>
      <c r="AP106" s="130"/>
      <c r="AQ106" s="116"/>
      <c r="AR106" s="112"/>
      <c r="AS106" s="121"/>
      <c r="AT106" s="112"/>
      <c r="AU106" s="432"/>
      <c r="AV106" s="121"/>
      <c r="AW106" s="493"/>
      <c r="AX106" s="493"/>
    </row>
    <row r="107" spans="1:50" ht="21.1">
      <c r="A107" s="82" t="s">
        <v>811</v>
      </c>
      <c r="B107" s="265"/>
      <c r="C107" s="214"/>
      <c r="D107" s="133"/>
      <c r="E107" s="134"/>
      <c r="F107" s="135"/>
      <c r="G107" s="136"/>
      <c r="H107" s="683"/>
      <c r="I107" s="676"/>
      <c r="J107" s="96"/>
      <c r="K107" s="96"/>
      <c r="L107" s="104"/>
      <c r="M107" s="75"/>
      <c r="N107" s="75"/>
      <c r="O107" s="100"/>
      <c r="P107" s="100"/>
      <c r="Q107" s="108"/>
      <c r="R107" s="108"/>
      <c r="S107" s="109" t="s">
        <v>375</v>
      </c>
      <c r="T107" s="109">
        <v>13</v>
      </c>
      <c r="U107" s="100"/>
      <c r="V107" s="142"/>
      <c r="W107" s="142" t="s">
        <v>393</v>
      </c>
      <c r="X107" s="100"/>
      <c r="Y107" s="100"/>
      <c r="Z107" s="100"/>
      <c r="AA107" s="142"/>
      <c r="AB107" s="142" t="s">
        <v>984</v>
      </c>
      <c r="AC107" s="100" t="s">
        <v>984</v>
      </c>
      <c r="AD107" s="109" t="s">
        <v>984</v>
      </c>
      <c r="AE107" s="109"/>
      <c r="AF107" s="109">
        <v>12</v>
      </c>
      <c r="AG107" s="109" t="s">
        <v>381</v>
      </c>
      <c r="AH107" s="108"/>
      <c r="AI107" s="109"/>
      <c r="AJ107" s="100"/>
      <c r="AK107" s="100"/>
      <c r="AL107" s="75"/>
      <c r="AM107" s="100"/>
      <c r="AN107" s="75"/>
      <c r="AO107" s="100"/>
      <c r="AP107" s="107"/>
      <c r="AQ107" s="100"/>
      <c r="AR107" s="75"/>
      <c r="AS107" s="111"/>
      <c r="AT107" s="75"/>
      <c r="AU107" s="431"/>
      <c r="AV107" s="111"/>
    </row>
    <row r="108" spans="1:50" ht="16.3">
      <c r="A108" s="246" t="s">
        <v>1</v>
      </c>
      <c r="B108" s="266">
        <f>SUM(L108+M108+N108+O108+P108+U108+X108+Y108+Z108+AC108+AK108+AL108+AK108+AO108+AR108+AS108+AU108+AV108+AW108+AX108)</f>
        <v>0</v>
      </c>
      <c r="C108" s="215">
        <f>SUM(L108+M108+N108+O108+P108+U108+Y108+Z108+X108+AC108+AL108+AK108+AL108+AP108+AS108+AO108+AV108+AW108+AX108+AY108+AR108+AU108)</f>
        <v>0</v>
      </c>
      <c r="D108" s="133"/>
      <c r="E108" s="134"/>
      <c r="F108" s="135"/>
      <c r="G108" s="136"/>
      <c r="H108" s="683"/>
      <c r="I108" s="676"/>
      <c r="J108" s="96"/>
      <c r="K108" s="96"/>
      <c r="L108" s="104"/>
      <c r="M108" s="75"/>
      <c r="N108" s="75"/>
      <c r="O108" s="100"/>
      <c r="P108" s="100"/>
      <c r="Q108" s="108"/>
      <c r="R108" s="108"/>
      <c r="S108" s="109"/>
      <c r="T108" s="109">
        <v>1</v>
      </c>
      <c r="U108" s="100"/>
      <c r="V108" s="142"/>
      <c r="W108" s="142"/>
      <c r="X108" s="100"/>
      <c r="Y108" s="100"/>
      <c r="Z108" s="100"/>
      <c r="AA108" s="142"/>
      <c r="AB108" s="142"/>
      <c r="AC108" s="100"/>
      <c r="AD108" s="109"/>
      <c r="AE108" s="109"/>
      <c r="AF108" s="109">
        <v>1</v>
      </c>
      <c r="AG108" s="109">
        <v>1</v>
      </c>
      <c r="AH108" s="108"/>
      <c r="AI108" s="109"/>
      <c r="AJ108" s="100"/>
      <c r="AK108" s="100"/>
      <c r="AL108" s="75"/>
      <c r="AM108" s="100"/>
      <c r="AN108" s="75"/>
      <c r="AO108" s="100"/>
      <c r="AP108" s="107"/>
      <c r="AQ108" s="100"/>
      <c r="AR108" s="75"/>
      <c r="AS108" s="111"/>
      <c r="AT108" s="75"/>
      <c r="AU108" s="431"/>
      <c r="AV108" s="111"/>
    </row>
    <row r="109" spans="1:50" ht="16.3">
      <c r="A109" s="246" t="s">
        <v>2</v>
      </c>
      <c r="B109" s="266">
        <f>SUM(L109+M109+N109+O109+P109+U109+X109+Y109+Z109+AC109+AK109+AL109+AK109+AO109+AR109+AS109+AU109+AV109+AW109+AX109)</f>
        <v>0</v>
      </c>
      <c r="C109" s="215">
        <f>SUM(L109+M109+N109+O109+P109+U109+Y109+Z109+X109+AC109+AL109+AK109+AL109+AP109+AS109+AO109+AV109+AW109+AX109+AY109+AR109+AU109)</f>
        <v>0</v>
      </c>
      <c r="D109" s="133"/>
      <c r="E109" s="134"/>
      <c r="F109" s="135"/>
      <c r="G109" s="136"/>
      <c r="H109" s="683"/>
      <c r="I109" s="676"/>
      <c r="J109" s="96"/>
      <c r="K109" s="96"/>
      <c r="L109" s="104"/>
      <c r="M109" s="75"/>
      <c r="N109" s="75"/>
      <c r="O109" s="100"/>
      <c r="P109" s="100"/>
      <c r="Q109" s="108"/>
      <c r="R109" s="108"/>
      <c r="S109" s="109">
        <v>1</v>
      </c>
      <c r="T109" s="109"/>
      <c r="U109" s="100"/>
      <c r="V109" s="142"/>
      <c r="W109" s="142"/>
      <c r="X109" s="100"/>
      <c r="Y109" s="100"/>
      <c r="Z109" s="100"/>
      <c r="AA109" s="142"/>
      <c r="AB109" s="142"/>
      <c r="AC109" s="100"/>
      <c r="AD109" s="109"/>
      <c r="AE109" s="109"/>
      <c r="AF109" s="109"/>
      <c r="AG109" s="109"/>
      <c r="AH109" s="108"/>
      <c r="AI109" s="109"/>
      <c r="AJ109" s="100"/>
      <c r="AK109" s="100"/>
      <c r="AL109" s="75"/>
      <c r="AM109" s="100"/>
      <c r="AN109" s="75"/>
      <c r="AO109" s="100"/>
      <c r="AP109" s="107"/>
      <c r="AQ109" s="100"/>
      <c r="AR109" s="75"/>
      <c r="AS109" s="111"/>
      <c r="AT109" s="75"/>
      <c r="AU109" s="431"/>
      <c r="AV109" s="111"/>
    </row>
    <row r="110" spans="1:50" ht="16.3">
      <c r="A110" s="83" t="s">
        <v>363</v>
      </c>
      <c r="B110" s="265">
        <f>SUM(B108+B109)</f>
        <v>0</v>
      </c>
      <c r="C110" s="214">
        <f>SUM(C108+C109)</f>
        <v>0</v>
      </c>
      <c r="D110" s="133"/>
      <c r="E110" s="134"/>
      <c r="F110" s="135"/>
      <c r="G110" s="136"/>
      <c r="H110" s="683"/>
      <c r="I110" s="676"/>
      <c r="J110" s="96"/>
      <c r="K110" s="96"/>
      <c r="L110" s="104"/>
      <c r="M110" s="75"/>
      <c r="N110" s="75"/>
      <c r="O110" s="100"/>
      <c r="P110" s="100"/>
      <c r="Q110" s="108"/>
      <c r="R110" s="108"/>
      <c r="S110" s="109"/>
      <c r="T110" s="109"/>
      <c r="U110" s="100"/>
      <c r="V110" s="142"/>
      <c r="W110" s="142"/>
      <c r="X110" s="100"/>
      <c r="Y110" s="100"/>
      <c r="Z110" s="100"/>
      <c r="AA110" s="142"/>
      <c r="AB110" s="142"/>
      <c r="AC110" s="100"/>
      <c r="AD110" s="109"/>
      <c r="AE110" s="109"/>
      <c r="AF110" s="109"/>
      <c r="AG110" s="109"/>
      <c r="AH110" s="108"/>
      <c r="AI110" s="109"/>
      <c r="AJ110" s="100"/>
      <c r="AK110" s="100"/>
      <c r="AL110" s="75"/>
      <c r="AM110" s="100"/>
      <c r="AN110" s="75"/>
      <c r="AO110" s="100"/>
      <c r="AP110" s="107"/>
      <c r="AQ110" s="100"/>
      <c r="AR110" s="75"/>
      <c r="AS110" s="111"/>
      <c r="AT110" s="75"/>
      <c r="AU110" s="431"/>
      <c r="AV110" s="111"/>
    </row>
    <row r="111" spans="1:50" ht="16.3">
      <c r="A111" s="83" t="s">
        <v>3</v>
      </c>
      <c r="B111" s="265">
        <f>SUM(L111+M111+N111+O111+P111+U111+X111+Y111+Z111+AC111+AK111+AL111+AK111+AO111+AR111+AS111+AU111+AV111+AW111+AX111)</f>
        <v>0</v>
      </c>
      <c r="C111" s="214">
        <f>SUM(L111+M111+N111+O111+P111+U111+Y111+Z111+X111+AC111+AL111+AK111+AL111+AP111+AS111+AO111+AV111+AW111+AX111+AY111+AR111+AU111)</f>
        <v>0</v>
      </c>
      <c r="D111" s="133"/>
      <c r="E111" s="134"/>
      <c r="F111" s="135"/>
      <c r="G111" s="136"/>
      <c r="H111" s="683"/>
      <c r="I111" s="676"/>
      <c r="J111" s="96"/>
      <c r="K111" s="96"/>
      <c r="L111" s="104"/>
      <c r="M111" s="75"/>
      <c r="N111" s="75"/>
      <c r="O111" s="100"/>
      <c r="P111" s="100"/>
      <c r="Q111" s="108"/>
      <c r="R111" s="108"/>
      <c r="S111" s="109"/>
      <c r="T111" s="109"/>
      <c r="U111" s="100"/>
      <c r="V111" s="142"/>
      <c r="W111" s="142"/>
      <c r="X111" s="100"/>
      <c r="Y111" s="100"/>
      <c r="Z111" s="100"/>
      <c r="AA111" s="142"/>
      <c r="AB111" s="142"/>
      <c r="AC111" s="100"/>
      <c r="AD111" s="109"/>
      <c r="AE111" s="109"/>
      <c r="AF111" s="109"/>
      <c r="AG111" s="109"/>
      <c r="AH111" s="108"/>
      <c r="AI111" s="109"/>
      <c r="AJ111" s="100"/>
      <c r="AK111" s="100"/>
      <c r="AL111" s="75"/>
      <c r="AM111" s="100"/>
      <c r="AN111" s="75"/>
      <c r="AO111" s="100"/>
      <c r="AP111" s="107"/>
      <c r="AQ111" s="100"/>
      <c r="AR111" s="75"/>
      <c r="AS111" s="111"/>
      <c r="AT111" s="75"/>
      <c r="AU111" s="431"/>
      <c r="AV111" s="111"/>
    </row>
    <row r="112" spans="1:50" ht="17" thickBot="1">
      <c r="A112" s="85" t="s">
        <v>4</v>
      </c>
      <c r="B112" s="268">
        <f>SUM(L112+M112+N112+O112+P112+U112+X112+Y112+Z112+AC112+AK112+AL112+AK112+AO112+AR112+AS112+AU112+AV112+AW112+AX112)</f>
        <v>0</v>
      </c>
      <c r="C112" s="217">
        <f>SUM(L112+M112+N112+O112+P112+U112+Y112+Z112+X112+AC112+AL112+AK112+AL112+AP112+AS112+AO112+AV112+AW112+AX112+AY112+AR112+AU112)</f>
        <v>0</v>
      </c>
      <c r="D112" s="144"/>
      <c r="E112" s="145"/>
      <c r="F112" s="146"/>
      <c r="G112" s="147"/>
      <c r="H112" s="684"/>
      <c r="I112" s="677"/>
      <c r="J112" s="114"/>
      <c r="K112" s="114"/>
      <c r="L112" s="113"/>
      <c r="M112" s="112"/>
      <c r="N112" s="112"/>
      <c r="O112" s="116"/>
      <c r="P112" s="116"/>
      <c r="Q112" s="117"/>
      <c r="R112" s="117"/>
      <c r="S112" s="118"/>
      <c r="T112" s="118"/>
      <c r="U112" s="116"/>
      <c r="V112" s="149"/>
      <c r="W112" s="149"/>
      <c r="X112" s="116"/>
      <c r="Y112" s="116"/>
      <c r="Z112" s="116"/>
      <c r="AA112" s="149"/>
      <c r="AB112" s="149"/>
      <c r="AC112" s="116"/>
      <c r="AD112" s="118"/>
      <c r="AE112" s="118"/>
      <c r="AF112" s="118"/>
      <c r="AG112" s="118"/>
      <c r="AH112" s="117"/>
      <c r="AI112" s="118"/>
      <c r="AJ112" s="116"/>
      <c r="AK112" s="116"/>
      <c r="AL112" s="112"/>
      <c r="AM112" s="116"/>
      <c r="AN112" s="112"/>
      <c r="AO112" s="116"/>
      <c r="AP112" s="130"/>
      <c r="AQ112" s="116"/>
      <c r="AR112" s="112"/>
      <c r="AS112" s="121"/>
      <c r="AT112" s="112"/>
      <c r="AU112" s="432"/>
      <c r="AV112" s="121"/>
    </row>
    <row r="113" spans="1:48" ht="21.1">
      <c r="A113" s="82" t="s">
        <v>447</v>
      </c>
      <c r="B113" s="265"/>
      <c r="C113" s="214"/>
      <c r="D113" s="133"/>
      <c r="E113" s="134"/>
      <c r="F113" s="135"/>
      <c r="G113" s="136"/>
      <c r="H113" s="683"/>
      <c r="I113" s="676"/>
      <c r="J113" s="96" t="s">
        <v>339</v>
      </c>
      <c r="K113" s="96" t="s">
        <v>339</v>
      </c>
      <c r="L113" s="104" t="s">
        <v>339</v>
      </c>
      <c r="M113" s="75" t="s">
        <v>339</v>
      </c>
      <c r="N113" s="75" t="s">
        <v>339</v>
      </c>
      <c r="O113" s="100" t="s">
        <v>339</v>
      </c>
      <c r="P113" s="100" t="s">
        <v>339</v>
      </c>
      <c r="Q113" s="108"/>
      <c r="R113" s="108"/>
      <c r="S113" s="109" t="s">
        <v>339</v>
      </c>
      <c r="T113" s="109" t="s">
        <v>339</v>
      </c>
      <c r="U113" s="100" t="s">
        <v>339</v>
      </c>
      <c r="V113" s="142" t="s">
        <v>339</v>
      </c>
      <c r="W113" s="142" t="s">
        <v>339</v>
      </c>
      <c r="X113" s="100" t="s">
        <v>339</v>
      </c>
      <c r="Y113" s="100" t="s">
        <v>339</v>
      </c>
      <c r="Z113" s="100" t="s">
        <v>339</v>
      </c>
      <c r="AA113" s="142" t="s">
        <v>339</v>
      </c>
      <c r="AB113" s="142" t="s">
        <v>339</v>
      </c>
      <c r="AC113" s="100" t="s">
        <v>339</v>
      </c>
      <c r="AD113" s="109" t="s">
        <v>339</v>
      </c>
      <c r="AE113" s="109" t="s">
        <v>339</v>
      </c>
      <c r="AF113" s="109" t="s">
        <v>339</v>
      </c>
      <c r="AG113" s="109" t="s">
        <v>339</v>
      </c>
      <c r="AH113" s="108"/>
      <c r="AI113" s="109" t="s">
        <v>339</v>
      </c>
      <c r="AJ113" s="100"/>
      <c r="AK113" s="100"/>
      <c r="AL113" s="75"/>
      <c r="AM113" s="100"/>
      <c r="AN113" s="75"/>
      <c r="AO113" s="100"/>
      <c r="AP113" s="107"/>
      <c r="AQ113" s="100"/>
      <c r="AR113" s="75"/>
      <c r="AS113" s="111"/>
      <c r="AT113" s="75"/>
      <c r="AU113" s="431"/>
      <c r="AV113" s="111"/>
    </row>
    <row r="114" spans="1:48" ht="16.3">
      <c r="A114" s="246" t="s">
        <v>1</v>
      </c>
      <c r="B114" s="266">
        <f>SUM(L114+M114+N114+O114+P114+U114+X114+Y114+Z114+AC114+AK114+AL114+AK114+AO114+AR114+AS114+AU114+AV114+AW114+AX114)+6</f>
        <v>6</v>
      </c>
      <c r="C114" s="215">
        <f>SUM(L114+M114+N114+O114+P114+U114+Y114+Z114+X114+AC114+AL114+AK114+AL114+AP114+AS114+AO114+AV114+AW114+AX114+AY114+AR114+AU114)+6</f>
        <v>6</v>
      </c>
      <c r="D114" s="133"/>
      <c r="E114" s="134"/>
      <c r="F114" s="135"/>
      <c r="G114" s="136"/>
      <c r="H114" s="683"/>
      <c r="I114" s="676"/>
      <c r="J114" s="96"/>
      <c r="K114" s="96"/>
      <c r="L114" s="104"/>
      <c r="M114" s="75"/>
      <c r="N114" s="75"/>
      <c r="O114" s="100"/>
      <c r="P114" s="100"/>
      <c r="Q114" s="108"/>
      <c r="R114" s="108"/>
      <c r="S114" s="109"/>
      <c r="T114" s="109"/>
      <c r="U114" s="100"/>
      <c r="V114" s="142"/>
      <c r="W114" s="142"/>
      <c r="X114" s="100"/>
      <c r="Y114" s="100"/>
      <c r="Z114" s="100"/>
      <c r="AA114" s="142"/>
      <c r="AB114" s="142"/>
      <c r="AC114" s="100"/>
      <c r="AD114" s="109"/>
      <c r="AE114" s="109"/>
      <c r="AF114" s="109"/>
      <c r="AG114" s="109"/>
      <c r="AH114" s="108"/>
      <c r="AI114" s="109"/>
      <c r="AJ114" s="100"/>
      <c r="AK114" s="100"/>
      <c r="AL114" s="75"/>
      <c r="AM114" s="100"/>
      <c r="AN114" s="75"/>
      <c r="AO114" s="100"/>
      <c r="AP114" s="107"/>
      <c r="AQ114" s="100"/>
      <c r="AR114" s="75"/>
      <c r="AS114" s="111"/>
      <c r="AT114" s="75"/>
      <c r="AU114" s="431"/>
      <c r="AV114" s="111"/>
    </row>
    <row r="115" spans="1:48" ht="16.3">
      <c r="A115" s="246" t="s">
        <v>2</v>
      </c>
      <c r="B115" s="266">
        <f>SUM(L115+M115+N115+O115+P115+U115+X115+Y115+Z115+AC115+AK115+AL115+AK115+AO115+AR115+AS115+AU115+AV115+AW115+AX115)+2</f>
        <v>2</v>
      </c>
      <c r="C115" s="215">
        <f>SUM(L115+M115+N115+O115+P115+U115+Y115+Z115+X115+AC115+AL115+AK115+AL115+AP115+AS115+AO115+AV115+AW115+AX115+AY115+AR115+AU115)+2</f>
        <v>2</v>
      </c>
      <c r="D115" s="133"/>
      <c r="E115" s="134"/>
      <c r="F115" s="135"/>
      <c r="G115" s="136"/>
      <c r="H115" s="683"/>
      <c r="I115" s="676"/>
      <c r="J115" s="96"/>
      <c r="K115" s="96"/>
      <c r="L115" s="104"/>
      <c r="M115" s="75"/>
      <c r="N115" s="75"/>
      <c r="O115" s="100"/>
      <c r="P115" s="100"/>
      <c r="Q115" s="108"/>
      <c r="R115" s="108"/>
      <c r="S115" s="109"/>
      <c r="T115" s="109"/>
      <c r="U115" s="100"/>
      <c r="V115" s="142"/>
      <c r="W115" s="142"/>
      <c r="X115" s="100"/>
      <c r="Y115" s="100"/>
      <c r="Z115" s="100"/>
      <c r="AA115" s="142"/>
      <c r="AB115" s="142"/>
      <c r="AC115" s="100"/>
      <c r="AD115" s="109"/>
      <c r="AE115" s="109"/>
      <c r="AF115" s="109"/>
      <c r="AG115" s="109"/>
      <c r="AH115" s="108"/>
      <c r="AI115" s="109"/>
      <c r="AJ115" s="100"/>
      <c r="AK115" s="100"/>
      <c r="AL115" s="75"/>
      <c r="AM115" s="100"/>
      <c r="AN115" s="75"/>
      <c r="AO115" s="100"/>
      <c r="AP115" s="107"/>
      <c r="AQ115" s="100"/>
      <c r="AR115" s="75"/>
      <c r="AS115" s="111"/>
      <c r="AT115" s="75"/>
      <c r="AU115" s="431"/>
      <c r="AV115" s="111"/>
    </row>
    <row r="116" spans="1:48" ht="16.3">
      <c r="A116" s="83" t="s">
        <v>363</v>
      </c>
      <c r="B116" s="265">
        <f>SUM(B114+B115)</f>
        <v>8</v>
      </c>
      <c r="C116" s="214">
        <f>SUM(C114+C115)</f>
        <v>8</v>
      </c>
      <c r="D116" s="133"/>
      <c r="E116" s="134"/>
      <c r="F116" s="135"/>
      <c r="G116" s="136"/>
      <c r="H116" s="683"/>
      <c r="I116" s="676"/>
      <c r="J116" s="96"/>
      <c r="K116" s="96"/>
      <c r="L116" s="104"/>
      <c r="M116" s="75"/>
      <c r="N116" s="75"/>
      <c r="O116" s="100"/>
      <c r="P116" s="100"/>
      <c r="Q116" s="108"/>
      <c r="R116" s="108"/>
      <c r="S116" s="109"/>
      <c r="T116" s="109"/>
      <c r="U116" s="100"/>
      <c r="V116" s="142"/>
      <c r="W116" s="142"/>
      <c r="X116" s="100"/>
      <c r="Y116" s="100"/>
      <c r="Z116" s="100"/>
      <c r="AA116" s="142"/>
      <c r="AB116" s="142"/>
      <c r="AC116" s="100"/>
      <c r="AD116" s="109"/>
      <c r="AE116" s="109"/>
      <c r="AF116" s="109"/>
      <c r="AG116" s="109"/>
      <c r="AH116" s="108"/>
      <c r="AI116" s="109"/>
      <c r="AJ116" s="100"/>
      <c r="AK116" s="100"/>
      <c r="AL116" s="75"/>
      <c r="AM116" s="100"/>
      <c r="AN116" s="75"/>
      <c r="AO116" s="100"/>
      <c r="AP116" s="107"/>
      <c r="AQ116" s="100"/>
      <c r="AR116" s="75"/>
      <c r="AS116" s="111"/>
      <c r="AT116" s="75"/>
      <c r="AU116" s="431"/>
      <c r="AV116" s="111"/>
    </row>
    <row r="117" spans="1:48" ht="16.3">
      <c r="A117" s="246" t="s">
        <v>362</v>
      </c>
      <c r="B117" s="266">
        <f>SUM(L117+M117+N117+O117+P117+U117+X117+Y117+Z117+AC117+AK117+AL117+AK117+AO117+AR117+AS117+AU117+AV117+AW117+AX117)+1</f>
        <v>1</v>
      </c>
      <c r="C117" s="215">
        <f>SUM(L117+M117+N117+O117+P117+U117+Y117+Z117+X117+AC117+AL117+AK117+AL117+AP117+AS117+AO117+AV117+AW117+AX117+AY117+AR117+AU117)+1</f>
        <v>1</v>
      </c>
      <c r="D117" s="133"/>
      <c r="E117" s="134"/>
      <c r="F117" s="135"/>
      <c r="G117" s="136"/>
      <c r="H117" s="683"/>
      <c r="I117" s="676"/>
      <c r="J117" s="96"/>
      <c r="K117" s="96"/>
      <c r="L117" s="104"/>
      <c r="M117" s="75"/>
      <c r="N117" s="75"/>
      <c r="O117" s="100"/>
      <c r="P117" s="100"/>
      <c r="Q117" s="108"/>
      <c r="R117" s="108"/>
      <c r="S117" s="109"/>
      <c r="T117" s="109"/>
      <c r="U117" s="100"/>
      <c r="V117" s="142"/>
      <c r="W117" s="142"/>
      <c r="X117" s="100"/>
      <c r="Y117" s="100"/>
      <c r="Z117" s="100"/>
      <c r="AA117" s="142"/>
      <c r="AB117" s="142"/>
      <c r="AC117" s="100"/>
      <c r="AD117" s="109"/>
      <c r="AE117" s="109"/>
      <c r="AF117" s="109"/>
      <c r="AG117" s="109"/>
      <c r="AH117" s="108"/>
      <c r="AI117" s="109"/>
      <c r="AJ117" s="100"/>
      <c r="AK117" s="100"/>
      <c r="AL117" s="75"/>
      <c r="AM117" s="100"/>
      <c r="AN117" s="75"/>
      <c r="AO117" s="100"/>
      <c r="AP117" s="107"/>
      <c r="AQ117" s="100"/>
      <c r="AR117" s="75"/>
      <c r="AS117" s="111"/>
      <c r="AT117" s="75"/>
      <c r="AU117" s="431"/>
      <c r="AV117" s="111"/>
    </row>
    <row r="118" spans="1:48" ht="16.3">
      <c r="A118" s="83" t="s">
        <v>3</v>
      </c>
      <c r="B118" s="265">
        <f>SUM(L118+M118+N118+O118+P118+U118+X118+Y118+Z118+AC118+AK118+AL118+AK118+AO118+AR118+AS118+AU118+AV118+AW118+AX118)+1</f>
        <v>1</v>
      </c>
      <c r="C118" s="214">
        <f>SUM(L118+M118+N118+O118+P118+U118+Y118+Z118+X118+AC118+AL118+AK118+AL118+AP118+AS118+AO118+AV118+AW118+AX118+AY118+AR118+AU118)+1</f>
        <v>1</v>
      </c>
      <c r="D118" s="133"/>
      <c r="E118" s="134"/>
      <c r="F118" s="135"/>
      <c r="G118" s="136"/>
      <c r="H118" s="683"/>
      <c r="I118" s="676"/>
      <c r="J118" s="96"/>
      <c r="K118" s="96"/>
      <c r="L118" s="104"/>
      <c r="M118" s="75"/>
      <c r="N118" s="75"/>
      <c r="O118" s="100"/>
      <c r="P118" s="100"/>
      <c r="Q118" s="108"/>
      <c r="R118" s="108"/>
      <c r="S118" s="109"/>
      <c r="T118" s="109"/>
      <c r="U118" s="100"/>
      <c r="V118" s="142"/>
      <c r="W118" s="142"/>
      <c r="X118" s="100"/>
      <c r="Y118" s="100"/>
      <c r="Z118" s="100"/>
      <c r="AA118" s="142"/>
      <c r="AB118" s="142"/>
      <c r="AC118" s="100"/>
      <c r="AD118" s="109"/>
      <c r="AE118" s="109"/>
      <c r="AF118" s="109"/>
      <c r="AG118" s="109"/>
      <c r="AH118" s="108"/>
      <c r="AI118" s="109"/>
      <c r="AJ118" s="100"/>
      <c r="AK118" s="100"/>
      <c r="AL118" s="75"/>
      <c r="AM118" s="100"/>
      <c r="AN118" s="75"/>
      <c r="AO118" s="100"/>
      <c r="AP118" s="107"/>
      <c r="AQ118" s="100"/>
      <c r="AR118" s="75"/>
      <c r="AS118" s="111"/>
      <c r="AT118" s="75"/>
      <c r="AU118" s="431"/>
      <c r="AV118" s="111"/>
    </row>
    <row r="119" spans="1:48" ht="17" thickBot="1">
      <c r="A119" s="85" t="s">
        <v>4</v>
      </c>
      <c r="B119" s="268">
        <f>SUM(L119+M119+N119+O119+P119+U119+X119+Y119+Z119+AC119+AK119+AL119+AK119+AO119+AR119+AS119+AU119+AV119+AW119+AX119)+5</f>
        <v>5</v>
      </c>
      <c r="C119" s="217">
        <f>SUM(L119+M119+N119+O119+P119+U119+Y119+Z119+X119+AC119+AL119+AK119+AL119+AP119+AS119+AO119+AV119+AW119+AX119+AY119+AR119+AU119)+5</f>
        <v>5</v>
      </c>
      <c r="D119" s="144"/>
      <c r="E119" s="145"/>
      <c r="F119" s="146"/>
      <c r="G119" s="147"/>
      <c r="H119" s="684"/>
      <c r="I119" s="677"/>
      <c r="J119" s="114"/>
      <c r="K119" s="114"/>
      <c r="L119" s="113"/>
      <c r="M119" s="112"/>
      <c r="N119" s="112"/>
      <c r="O119" s="116"/>
      <c r="P119" s="112"/>
      <c r="Q119" s="108"/>
      <c r="R119" s="108"/>
      <c r="S119" s="109"/>
      <c r="T119" s="109"/>
      <c r="U119" s="100"/>
      <c r="V119" s="142"/>
      <c r="W119" s="142"/>
      <c r="X119" s="100"/>
      <c r="Y119" s="100"/>
      <c r="Z119" s="100"/>
      <c r="AA119" s="142"/>
      <c r="AB119" s="142"/>
      <c r="AC119" s="100"/>
      <c r="AD119" s="109"/>
      <c r="AE119" s="109"/>
      <c r="AF119" s="109"/>
      <c r="AG119" s="109"/>
      <c r="AH119" s="108"/>
      <c r="AI119" s="109"/>
      <c r="AJ119" s="100"/>
      <c r="AK119" s="100"/>
      <c r="AL119" s="75"/>
      <c r="AM119" s="100"/>
      <c r="AN119" s="75"/>
      <c r="AO119" s="100"/>
      <c r="AP119" s="107"/>
      <c r="AQ119" s="100"/>
      <c r="AR119" s="75"/>
      <c r="AS119" s="111"/>
      <c r="AT119" s="75"/>
      <c r="AU119" s="431"/>
      <c r="AV119" s="111"/>
    </row>
    <row r="120" spans="1:48" ht="21.1">
      <c r="A120" s="82" t="s">
        <v>233</v>
      </c>
      <c r="B120" s="265"/>
      <c r="C120" s="214"/>
      <c r="D120" s="133"/>
      <c r="E120" s="134"/>
      <c r="F120" s="135"/>
      <c r="G120" s="136"/>
      <c r="H120" s="683"/>
      <c r="I120" s="676"/>
      <c r="J120" s="96" t="s">
        <v>379</v>
      </c>
      <c r="K120" s="96"/>
      <c r="L120" s="104"/>
      <c r="M120" s="75"/>
      <c r="N120" s="75"/>
      <c r="O120" s="100"/>
      <c r="P120" s="100" t="s">
        <v>375</v>
      </c>
      <c r="Q120" s="98"/>
      <c r="R120" s="98"/>
      <c r="S120" s="99">
        <v>15</v>
      </c>
      <c r="T120" s="99">
        <v>10</v>
      </c>
      <c r="U120" s="102" t="s">
        <v>393</v>
      </c>
      <c r="V120" s="138" t="s">
        <v>375</v>
      </c>
      <c r="W120" s="138">
        <v>15</v>
      </c>
      <c r="X120" s="102" t="s">
        <v>393</v>
      </c>
      <c r="Y120" s="102" t="s">
        <v>375</v>
      </c>
      <c r="Z120" s="102" t="s">
        <v>393</v>
      </c>
      <c r="AA120" s="138">
        <v>10</v>
      </c>
      <c r="AB120" s="138">
        <v>12</v>
      </c>
      <c r="AC120" s="102">
        <v>12</v>
      </c>
      <c r="AD120" s="99">
        <v>10</v>
      </c>
      <c r="AE120" s="99">
        <v>10</v>
      </c>
      <c r="AF120" s="99"/>
      <c r="AG120" s="99" t="s">
        <v>375</v>
      </c>
      <c r="AH120" s="98"/>
      <c r="AI120" s="99" t="s">
        <v>375</v>
      </c>
      <c r="AJ120" s="102"/>
      <c r="AK120" s="102"/>
      <c r="AL120" s="122"/>
      <c r="AM120" s="102"/>
      <c r="AN120" s="122"/>
      <c r="AO120" s="102"/>
      <c r="AP120" s="131"/>
      <c r="AQ120" s="102"/>
      <c r="AR120" s="122"/>
      <c r="AS120" s="103"/>
      <c r="AT120" s="122"/>
      <c r="AU120" s="430"/>
      <c r="AV120" s="103"/>
    </row>
    <row r="121" spans="1:48" ht="16.3">
      <c r="A121" s="246" t="s">
        <v>1</v>
      </c>
      <c r="B121" s="266">
        <f>SUM(L121+M121+N121+O121+P121+U121+X121+Y121+Z121+AC121+AK121+AL121+AK121+AO121+AR121+AS121+AU121+AV121+AW121+AX121)+3</f>
        <v>4</v>
      </c>
      <c r="C121" s="215">
        <f>SUM(L121+M121+N121+O121+P121+U121+Y121+Z121+X121+AC121+AL121+AK121+AL121+AP121+AS121+AO121+AV121+AW121+AX121+AY121+AR121+AU121)+12</f>
        <v>13</v>
      </c>
      <c r="D121" s="139"/>
      <c r="E121" s="140"/>
      <c r="F121" s="135"/>
      <c r="G121" s="136"/>
      <c r="H121" s="683"/>
      <c r="I121" s="676"/>
      <c r="J121" s="96">
        <v>1</v>
      </c>
      <c r="K121" s="96"/>
      <c r="L121" s="104"/>
      <c r="M121" s="75"/>
      <c r="N121" s="75"/>
      <c r="O121" s="100"/>
      <c r="P121" s="100"/>
      <c r="Q121" s="108"/>
      <c r="R121" s="108"/>
      <c r="S121" s="109">
        <v>1</v>
      </c>
      <c r="T121" s="109">
        <v>1</v>
      </c>
      <c r="U121" s="100"/>
      <c r="V121" s="142"/>
      <c r="W121" s="142">
        <v>1</v>
      </c>
      <c r="X121" s="100"/>
      <c r="Y121" s="100"/>
      <c r="Z121" s="100"/>
      <c r="AA121" s="142">
        <v>1</v>
      </c>
      <c r="AB121" s="142">
        <v>1</v>
      </c>
      <c r="AC121" s="100">
        <v>1</v>
      </c>
      <c r="AD121" s="109">
        <v>1</v>
      </c>
      <c r="AE121" s="109">
        <v>1</v>
      </c>
      <c r="AF121" s="109"/>
      <c r="AG121" s="109"/>
      <c r="AH121" s="108"/>
      <c r="AI121" s="109"/>
      <c r="AJ121" s="100"/>
      <c r="AK121" s="100"/>
      <c r="AL121" s="75"/>
      <c r="AM121" s="100"/>
      <c r="AN121" s="75"/>
      <c r="AO121" s="100"/>
      <c r="AP121" s="107"/>
      <c r="AQ121" s="100"/>
      <c r="AR121" s="75"/>
      <c r="AS121" s="111"/>
      <c r="AT121" s="75"/>
      <c r="AU121" s="431"/>
      <c r="AV121" s="111"/>
    </row>
    <row r="122" spans="1:48" ht="16.3">
      <c r="A122" s="246" t="s">
        <v>2</v>
      </c>
      <c r="B122" s="266">
        <f>SUM(L122+M122+N122+O122+P122+U122+X122+Y122+Z122+AC122+AK122+AL122+AK122+AO122+AR122+AS122+AU122+AV122+AW122+AX122)+18</f>
        <v>20</v>
      </c>
      <c r="C122" s="215">
        <f>SUM(L122+M122+N122+O122+P122+U122+Y122+Z122+X122+AC122+AL122+AK122+AL122+AP122+AS122+AO122+AV122+AW122+AX122+AY122+AR122+AU122)+29</f>
        <v>31</v>
      </c>
      <c r="D122" s="139"/>
      <c r="E122" s="140"/>
      <c r="F122" s="135"/>
      <c r="G122" s="136"/>
      <c r="H122" s="683"/>
      <c r="I122" s="676"/>
      <c r="J122" s="96"/>
      <c r="K122" s="96"/>
      <c r="L122" s="104"/>
      <c r="M122" s="75"/>
      <c r="N122" s="75"/>
      <c r="O122" s="75"/>
      <c r="P122" s="75">
        <v>1</v>
      </c>
      <c r="Q122" s="105"/>
      <c r="R122" s="105"/>
      <c r="S122" s="96"/>
      <c r="T122" s="96"/>
      <c r="U122" s="75"/>
      <c r="V122" s="141">
        <v>1</v>
      </c>
      <c r="W122" s="141"/>
      <c r="X122" s="75"/>
      <c r="Y122" s="75">
        <v>1</v>
      </c>
      <c r="Z122" s="75"/>
      <c r="AA122" s="141"/>
      <c r="AB122" s="141"/>
      <c r="AC122" s="75"/>
      <c r="AD122" s="96"/>
      <c r="AE122" s="96"/>
      <c r="AF122" s="96"/>
      <c r="AG122" s="96">
        <v>1</v>
      </c>
      <c r="AH122" s="105"/>
      <c r="AI122" s="96">
        <v>1</v>
      </c>
      <c r="AJ122" s="75"/>
      <c r="AK122" s="75"/>
      <c r="AL122" s="75"/>
      <c r="AM122" s="75"/>
      <c r="AN122" s="75"/>
      <c r="AO122" s="75"/>
      <c r="AP122" s="107"/>
      <c r="AQ122" s="75"/>
      <c r="AR122" s="75"/>
      <c r="AS122" s="107"/>
      <c r="AT122" s="75"/>
      <c r="AU122" s="431"/>
      <c r="AV122" s="107"/>
    </row>
    <row r="123" spans="1:48" ht="16.3">
      <c r="A123" s="83" t="s">
        <v>363</v>
      </c>
      <c r="B123" s="265">
        <f>SUM(B121+B122)</f>
        <v>24</v>
      </c>
      <c r="C123" s="214">
        <f>SUM(C121+C122)</f>
        <v>44</v>
      </c>
      <c r="D123" s="133"/>
      <c r="E123" s="134"/>
      <c r="F123" s="135"/>
      <c r="G123" s="136"/>
      <c r="H123" s="683"/>
      <c r="I123" s="676"/>
      <c r="J123" s="96"/>
      <c r="K123" s="96"/>
      <c r="L123" s="104"/>
      <c r="M123" s="75"/>
      <c r="N123" s="75"/>
      <c r="O123" s="100"/>
      <c r="P123" s="100"/>
      <c r="Q123" s="108"/>
      <c r="R123" s="108"/>
      <c r="S123" s="109"/>
      <c r="T123" s="109"/>
      <c r="U123" s="100"/>
      <c r="V123" s="142"/>
      <c r="W123" s="142"/>
      <c r="X123" s="100"/>
      <c r="Y123" s="100"/>
      <c r="Z123" s="100"/>
      <c r="AA123" s="142"/>
      <c r="AB123" s="142"/>
      <c r="AC123" s="100"/>
      <c r="AD123" s="109"/>
      <c r="AE123" s="109"/>
      <c r="AF123" s="109"/>
      <c r="AG123" s="109"/>
      <c r="AH123" s="108"/>
      <c r="AI123" s="109"/>
      <c r="AJ123" s="100"/>
      <c r="AK123" s="100"/>
      <c r="AL123" s="75"/>
      <c r="AM123" s="100"/>
      <c r="AN123" s="75"/>
      <c r="AO123" s="100"/>
      <c r="AP123" s="107"/>
      <c r="AQ123" s="100"/>
      <c r="AR123" s="75"/>
      <c r="AS123" s="111"/>
      <c r="AT123" s="75"/>
      <c r="AU123" s="431"/>
      <c r="AV123" s="111"/>
    </row>
    <row r="124" spans="1:48" ht="16.3">
      <c r="A124" s="246" t="s">
        <v>362</v>
      </c>
      <c r="B124" s="266">
        <f>SUM(L124+M124+N124+O124+P124+U124+X124+Y124+Z124+AC124+AK124+AL124+AK124+AO124+AR124+AS124+AU124+AV124+AW124+AX124)+2</f>
        <v>2</v>
      </c>
      <c r="C124" s="215">
        <f>SUM(L124+M124+N124+O124+P124+U124+Y124+Z124+X124+AC124+AL124+AK124+AL124+AP124+AS124+AO124+AV124+AW124+AX124+AY124+AR124+AU124)+2</f>
        <v>2</v>
      </c>
      <c r="D124" s="133"/>
      <c r="E124" s="134"/>
      <c r="F124" s="135"/>
      <c r="G124" s="136"/>
      <c r="H124" s="683"/>
      <c r="I124" s="676"/>
      <c r="J124" s="96"/>
      <c r="K124" s="96"/>
      <c r="L124" s="104"/>
      <c r="M124" s="75"/>
      <c r="N124" s="75"/>
      <c r="O124" s="100"/>
      <c r="P124" s="100"/>
      <c r="Q124" s="108"/>
      <c r="R124" s="108"/>
      <c r="S124" s="109"/>
      <c r="T124" s="109"/>
      <c r="U124" s="100"/>
      <c r="V124" s="142"/>
      <c r="W124" s="142"/>
      <c r="X124" s="100"/>
      <c r="Y124" s="100"/>
      <c r="Z124" s="100"/>
      <c r="AA124" s="142"/>
      <c r="AB124" s="142"/>
      <c r="AC124" s="100"/>
      <c r="AD124" s="109"/>
      <c r="AE124" s="109"/>
      <c r="AF124" s="109"/>
      <c r="AG124" s="109"/>
      <c r="AH124" s="108"/>
      <c r="AI124" s="109"/>
      <c r="AJ124" s="100"/>
      <c r="AK124" s="100"/>
      <c r="AL124" s="75"/>
      <c r="AM124" s="100"/>
      <c r="AN124" s="75"/>
      <c r="AO124" s="100"/>
      <c r="AP124" s="107"/>
      <c r="AQ124" s="100"/>
      <c r="AR124" s="75"/>
      <c r="AS124" s="111"/>
      <c r="AT124" s="75"/>
      <c r="AU124" s="431"/>
      <c r="AV124" s="111"/>
    </row>
    <row r="125" spans="1:48" ht="16.3">
      <c r="A125" s="246" t="s">
        <v>5</v>
      </c>
      <c r="B125" s="266">
        <f>SUM(L125+M125+N125+O125+P125+U125+X125+Y125+Z125+AC125+AK125+AL125+AK125+AO125+AR125+AS125+AU125+AV125+AW125+AX125)</f>
        <v>0</v>
      </c>
      <c r="C125" s="215">
        <f>SUM(L125+M125+N125+O125+P125+U125+Y125+Z125+X125+AC125+AL125+AK125+AL125+AP125+AS125+AO125+AV125+AW125+AX125+AY125+AR125+AU125)+26</f>
        <v>26</v>
      </c>
      <c r="D125" s="133"/>
      <c r="E125" s="134"/>
      <c r="F125" s="135"/>
      <c r="G125" s="136"/>
      <c r="H125" s="683"/>
      <c r="I125" s="676"/>
      <c r="J125" s="96"/>
      <c r="K125" s="96"/>
      <c r="L125" s="104"/>
      <c r="M125" s="75"/>
      <c r="N125" s="75"/>
      <c r="O125" s="100"/>
      <c r="P125" s="100"/>
      <c r="Q125" s="108"/>
      <c r="R125" s="108"/>
      <c r="S125" s="109"/>
      <c r="T125" s="109">
        <v>3</v>
      </c>
      <c r="U125" s="100"/>
      <c r="V125" s="142"/>
      <c r="W125" s="142"/>
      <c r="X125" s="100"/>
      <c r="Y125" s="100"/>
      <c r="Z125" s="100"/>
      <c r="AA125" s="142"/>
      <c r="AB125" s="142"/>
      <c r="AC125" s="100"/>
      <c r="AD125" s="109"/>
      <c r="AE125" s="109">
        <v>2</v>
      </c>
      <c r="AF125" s="109"/>
      <c r="AG125" s="109"/>
      <c r="AH125" s="108"/>
      <c r="AI125" s="109"/>
      <c r="AJ125" s="100"/>
      <c r="AK125" s="100"/>
      <c r="AL125" s="75"/>
      <c r="AM125" s="100"/>
      <c r="AN125" s="75"/>
      <c r="AO125" s="100"/>
      <c r="AP125" s="107"/>
      <c r="AQ125" s="100"/>
      <c r="AR125" s="75"/>
      <c r="AS125" s="111"/>
      <c r="AT125" s="75"/>
      <c r="AU125" s="431"/>
      <c r="AV125" s="111"/>
    </row>
    <row r="126" spans="1:48" ht="16.3">
      <c r="A126" s="246" t="s">
        <v>6</v>
      </c>
      <c r="B126" s="266">
        <f>SUM(L126+M126+N126+O126+P126+U126+X126+Y126+Z126+AC126+AK126+AL126+AK126+AO126+AR126+AS126+AU126+AV126+AW126+AX126)+1</f>
        <v>1</v>
      </c>
      <c r="C126" s="215">
        <f>SUM(L126+M126+N126+O126+P126+U126+Y126+Z126+X126+AC126+AL126+AK126+AL126+AP126+AS126+AO126+AV126+AW126+AX126+AY126+AR126+AU126)+35</f>
        <v>35</v>
      </c>
      <c r="D126" s="133"/>
      <c r="E126" s="134"/>
      <c r="F126" s="135"/>
      <c r="G126" s="136"/>
      <c r="H126" s="683"/>
      <c r="I126" s="676"/>
      <c r="J126" s="96"/>
      <c r="K126" s="96"/>
      <c r="L126" s="104"/>
      <c r="M126" s="75"/>
      <c r="N126" s="75"/>
      <c r="O126" s="100"/>
      <c r="P126" s="100"/>
      <c r="Q126" s="108"/>
      <c r="R126" s="108"/>
      <c r="S126" s="109"/>
      <c r="T126" s="109">
        <v>4</v>
      </c>
      <c r="U126" s="100"/>
      <c r="V126" s="142"/>
      <c r="W126" s="142"/>
      <c r="X126" s="100"/>
      <c r="Y126" s="100"/>
      <c r="Z126" s="100"/>
      <c r="AA126" s="142"/>
      <c r="AB126" s="142"/>
      <c r="AC126" s="100"/>
      <c r="AD126" s="109"/>
      <c r="AE126" s="109">
        <v>4</v>
      </c>
      <c r="AF126" s="109"/>
      <c r="AG126" s="109"/>
      <c r="AH126" s="108"/>
      <c r="AI126" s="109"/>
      <c r="AJ126" s="100"/>
      <c r="AK126" s="100"/>
      <c r="AL126" s="75"/>
      <c r="AM126" s="100"/>
      <c r="AN126" s="75"/>
      <c r="AO126" s="100"/>
      <c r="AP126" s="107"/>
      <c r="AQ126" s="100"/>
      <c r="AR126" s="75"/>
      <c r="AS126" s="111"/>
      <c r="AT126" s="75"/>
      <c r="AU126" s="431"/>
      <c r="AV126" s="111"/>
    </row>
    <row r="127" spans="1:48" ht="16.3">
      <c r="A127" s="246" t="s">
        <v>368</v>
      </c>
      <c r="B127" s="269">
        <f>SUM(B125/B126)*100</f>
        <v>0</v>
      </c>
      <c r="C127" s="216">
        <f>SUM(C125/C126)*100</f>
        <v>74.285714285714292</v>
      </c>
      <c r="D127" s="133"/>
      <c r="E127" s="134"/>
      <c r="F127" s="135"/>
      <c r="G127" s="136"/>
      <c r="H127" s="683"/>
      <c r="I127" s="676"/>
      <c r="J127" s="96"/>
      <c r="K127" s="96"/>
      <c r="L127" s="104"/>
      <c r="M127" s="75"/>
      <c r="N127" s="75"/>
      <c r="O127" s="100"/>
      <c r="P127" s="100"/>
      <c r="Q127" s="108"/>
      <c r="R127" s="108"/>
      <c r="S127" s="109"/>
      <c r="T127" s="109">
        <v>75</v>
      </c>
      <c r="U127" s="100"/>
      <c r="V127" s="142"/>
      <c r="W127" s="142"/>
      <c r="X127" s="100"/>
      <c r="Y127" s="100"/>
      <c r="Z127" s="100"/>
      <c r="AA127" s="142"/>
      <c r="AB127" s="142"/>
      <c r="AC127" s="100"/>
      <c r="AD127" s="109"/>
      <c r="AE127" s="109">
        <v>50</v>
      </c>
      <c r="AF127" s="109"/>
      <c r="AG127" s="109"/>
      <c r="AH127" s="108"/>
      <c r="AI127" s="109"/>
      <c r="AJ127" s="100"/>
      <c r="AK127" s="100"/>
      <c r="AL127" s="75"/>
      <c r="AM127" s="100"/>
      <c r="AN127" s="75"/>
      <c r="AO127" s="100"/>
      <c r="AP127" s="107"/>
      <c r="AQ127" s="100"/>
      <c r="AR127" s="75"/>
      <c r="AS127" s="111"/>
      <c r="AT127" s="75"/>
      <c r="AU127" s="431"/>
      <c r="AV127" s="111"/>
    </row>
    <row r="128" spans="1:48" ht="16.3">
      <c r="A128" s="83" t="s">
        <v>3</v>
      </c>
      <c r="B128" s="265">
        <f>SUM(L128+M128+N128+O128+P128+U128+X128+Y128+Z128+AC128+AK128+AL128+AK128+AO128+AR128+AS128+AU128+AV128+AW128+AX128)+2</f>
        <v>2</v>
      </c>
      <c r="C128" s="214">
        <f>SUM(L128+M128+N128+O128+P128+U128+Y128+Z128+X128+AC128+AL128+AK128+AL128+AP128+AS128+AO128+AV128+AW128+AX128+AY128+AR128+AU128)+3</f>
        <v>3</v>
      </c>
      <c r="D128" s="133"/>
      <c r="E128" s="134"/>
      <c r="F128" s="135"/>
      <c r="G128" s="136"/>
      <c r="H128" s="683"/>
      <c r="I128" s="676"/>
      <c r="J128" s="96"/>
      <c r="K128" s="96"/>
      <c r="L128" s="104"/>
      <c r="M128" s="75"/>
      <c r="N128" s="75"/>
      <c r="O128" s="100"/>
      <c r="P128" s="100"/>
      <c r="Q128" s="108"/>
      <c r="R128" s="108"/>
      <c r="S128" s="109"/>
      <c r="T128" s="109"/>
      <c r="U128" s="100"/>
      <c r="V128" s="142"/>
      <c r="W128" s="142"/>
      <c r="X128" s="100"/>
      <c r="Y128" s="100"/>
      <c r="Z128" s="100"/>
      <c r="AA128" s="142"/>
      <c r="AB128" s="142"/>
      <c r="AC128" s="100"/>
      <c r="AD128" s="109"/>
      <c r="AE128" s="109"/>
      <c r="AF128" s="109"/>
      <c r="AG128" s="109"/>
      <c r="AH128" s="108"/>
      <c r="AI128" s="109"/>
      <c r="AJ128" s="100"/>
      <c r="AK128" s="100"/>
      <c r="AL128" s="75"/>
      <c r="AM128" s="100"/>
      <c r="AN128" s="75"/>
      <c r="AO128" s="100"/>
      <c r="AP128" s="107"/>
      <c r="AQ128" s="100"/>
      <c r="AR128" s="75"/>
      <c r="AS128" s="111"/>
      <c r="AT128" s="75"/>
      <c r="AU128" s="431"/>
      <c r="AV128" s="111"/>
    </row>
    <row r="129" spans="1:48" ht="17" thickBot="1">
      <c r="A129" s="85" t="s">
        <v>4</v>
      </c>
      <c r="B129" s="268">
        <f>SUM(L129+M129+N129+O129+P129+U129+X129+Y129+Z129+AC129+AK129+AL129+AK129+AO129+AR129+AS129+AU129+AV129+AW129+AX129)+10</f>
        <v>10</v>
      </c>
      <c r="C129" s="217">
        <f>SUM(L129+M129+N129+O129+P129+U129+Y129+Z129+X129+AC129+AL129+AK129+AL129+AP129+AS129+AO129+AV129+AW129+AX129+AY129+AR129+AU129)+78</f>
        <v>78</v>
      </c>
      <c r="D129" s="144"/>
      <c r="E129" s="145"/>
      <c r="F129" s="146"/>
      <c r="G129" s="147"/>
      <c r="H129" s="684"/>
      <c r="I129" s="677"/>
      <c r="J129" s="114"/>
      <c r="K129" s="114"/>
      <c r="L129" s="113"/>
      <c r="M129" s="112"/>
      <c r="N129" s="112"/>
      <c r="O129" s="116"/>
      <c r="P129" s="116"/>
      <c r="Q129" s="117"/>
      <c r="R129" s="117"/>
      <c r="S129" s="118"/>
      <c r="T129" s="118">
        <v>7</v>
      </c>
      <c r="U129" s="116"/>
      <c r="V129" s="149"/>
      <c r="W129" s="149"/>
      <c r="X129" s="116"/>
      <c r="Y129" s="116"/>
      <c r="Z129" s="116"/>
      <c r="AA129" s="149"/>
      <c r="AB129" s="149"/>
      <c r="AC129" s="116"/>
      <c r="AD129" s="118"/>
      <c r="AE129" s="118">
        <v>4</v>
      </c>
      <c r="AF129" s="118"/>
      <c r="AG129" s="118"/>
      <c r="AH129" s="117"/>
      <c r="AI129" s="118"/>
      <c r="AJ129" s="116"/>
      <c r="AK129" s="116"/>
      <c r="AL129" s="112"/>
      <c r="AM129" s="116"/>
      <c r="AN129" s="112"/>
      <c r="AO129" s="116"/>
      <c r="AP129" s="130"/>
      <c r="AQ129" s="116"/>
      <c r="AR129" s="112"/>
      <c r="AS129" s="121"/>
      <c r="AT129" s="112"/>
      <c r="AU129" s="432"/>
      <c r="AV129" s="121"/>
    </row>
    <row r="130" spans="1:48" ht="21.1">
      <c r="A130" s="82" t="s">
        <v>14</v>
      </c>
      <c r="B130" s="265"/>
      <c r="C130" s="214"/>
      <c r="D130" s="133"/>
      <c r="E130" s="134"/>
      <c r="F130" s="135"/>
      <c r="G130" s="136"/>
      <c r="H130" s="683"/>
      <c r="I130" s="676"/>
      <c r="J130" s="96">
        <v>10</v>
      </c>
      <c r="K130" s="96">
        <v>10</v>
      </c>
      <c r="L130" s="104">
        <v>10</v>
      </c>
      <c r="M130" s="75">
        <v>10</v>
      </c>
      <c r="N130" s="75">
        <v>10</v>
      </c>
      <c r="O130" s="100">
        <v>10</v>
      </c>
      <c r="P130" s="100" t="s">
        <v>384</v>
      </c>
      <c r="Q130" s="108"/>
      <c r="R130" s="108"/>
      <c r="S130" s="109"/>
      <c r="T130" s="109"/>
      <c r="U130" s="100">
        <v>10</v>
      </c>
      <c r="V130" s="142" t="s">
        <v>384</v>
      </c>
      <c r="W130" s="142"/>
      <c r="X130" s="100">
        <v>10</v>
      </c>
      <c r="Y130" s="100">
        <v>10</v>
      </c>
      <c r="Z130" s="100">
        <v>10</v>
      </c>
      <c r="AA130" s="142"/>
      <c r="AB130" s="142">
        <v>10</v>
      </c>
      <c r="AC130" s="100">
        <v>10</v>
      </c>
      <c r="AD130" s="109"/>
      <c r="AE130" s="109"/>
      <c r="AF130" s="109" t="s">
        <v>384</v>
      </c>
      <c r="AG130" s="109">
        <v>10</v>
      </c>
      <c r="AH130" s="108"/>
      <c r="AI130" s="109">
        <v>10</v>
      </c>
      <c r="AJ130" s="100"/>
      <c r="AK130" s="100"/>
      <c r="AL130" s="75"/>
      <c r="AM130" s="100"/>
      <c r="AN130" s="75"/>
      <c r="AO130" s="100"/>
      <c r="AP130" s="107"/>
      <c r="AQ130" s="100"/>
      <c r="AR130" s="75"/>
      <c r="AS130" s="111"/>
      <c r="AT130" s="75"/>
      <c r="AU130" s="431"/>
      <c r="AV130" s="111"/>
    </row>
    <row r="131" spans="1:48" ht="16.3">
      <c r="A131" s="246" t="s">
        <v>1</v>
      </c>
      <c r="B131" s="266">
        <f>SUM(L131+M131+N131+O131+P131+U131+X131+Y131+Z131+AC131+AK131+AL131+AK131+AO131+AR131+AS131+AU131+AV131+AW131+AX131)+55</f>
        <v>65</v>
      </c>
      <c r="C131" s="215">
        <f>SUM(L131+M131+N131+O131+P131+U131+Y131+Z131+X131+AC131+AL131+AK131+AL131+AP131+AS131+AO131+AV131+AW131+AX131+AY131+AR131+AU131)+55</f>
        <v>65</v>
      </c>
      <c r="D131" s="133"/>
      <c r="E131" s="134"/>
      <c r="F131" s="135"/>
      <c r="G131" s="136"/>
      <c r="H131" s="683"/>
      <c r="I131" s="676"/>
      <c r="J131" s="96">
        <v>1</v>
      </c>
      <c r="K131" s="96">
        <v>1</v>
      </c>
      <c r="L131" s="104">
        <v>1</v>
      </c>
      <c r="M131" s="75">
        <v>1</v>
      </c>
      <c r="N131" s="75">
        <v>1</v>
      </c>
      <c r="O131" s="100">
        <v>1</v>
      </c>
      <c r="P131" s="100">
        <v>1</v>
      </c>
      <c r="Q131" s="108"/>
      <c r="R131" s="108"/>
      <c r="S131" s="109"/>
      <c r="T131" s="109"/>
      <c r="U131" s="100">
        <v>1</v>
      </c>
      <c r="V131" s="142">
        <v>1</v>
      </c>
      <c r="W131" s="142"/>
      <c r="X131" s="100">
        <v>1</v>
      </c>
      <c r="Y131" s="100">
        <v>1</v>
      </c>
      <c r="Z131" s="100">
        <v>1</v>
      </c>
      <c r="AA131" s="142"/>
      <c r="AB131" s="142">
        <v>1</v>
      </c>
      <c r="AC131" s="100">
        <v>1</v>
      </c>
      <c r="AD131" s="109"/>
      <c r="AE131" s="109"/>
      <c r="AF131" s="109">
        <v>1</v>
      </c>
      <c r="AG131" s="109">
        <v>1</v>
      </c>
      <c r="AH131" s="108"/>
      <c r="AI131" s="109">
        <v>1</v>
      </c>
      <c r="AJ131" s="100"/>
      <c r="AK131" s="100"/>
      <c r="AL131" s="75"/>
      <c r="AM131" s="100"/>
      <c r="AN131" s="75"/>
      <c r="AO131" s="100"/>
      <c r="AP131" s="107"/>
      <c r="AQ131" s="100"/>
      <c r="AR131" s="75"/>
      <c r="AS131" s="111"/>
      <c r="AT131" s="75"/>
      <c r="AU131" s="431"/>
      <c r="AV131" s="111"/>
    </row>
    <row r="132" spans="1:48" ht="16.3">
      <c r="A132" s="246" t="s">
        <v>2</v>
      </c>
      <c r="B132" s="266">
        <f>SUM(L132+M132+N132+O132+P132+U132+X132+Y132+Z132+AC132+AK132+AL132+AK132+AO132+AR132+AS132+AU132+AV132+AW132+AX132)+29</f>
        <v>29</v>
      </c>
      <c r="C132" s="215">
        <f>SUM(L132+M132+N132+O132+P132+U132+Y132+Z132+X132+AC132+AL132+AK132+AL132+AP132+AS132+AO132+AV132+AW132+AX132+AY132+AR132+AU132)+29</f>
        <v>29</v>
      </c>
      <c r="D132" s="133"/>
      <c r="E132" s="134"/>
      <c r="F132" s="135"/>
      <c r="G132" s="136"/>
      <c r="H132" s="683"/>
      <c r="I132" s="676"/>
      <c r="J132" s="96"/>
      <c r="K132" s="96"/>
      <c r="L132" s="104"/>
      <c r="M132" s="75"/>
      <c r="N132" s="75"/>
      <c r="O132" s="100"/>
      <c r="P132" s="100"/>
      <c r="Q132" s="108"/>
      <c r="R132" s="108"/>
      <c r="S132" s="109"/>
      <c r="T132" s="109"/>
      <c r="U132" s="100"/>
      <c r="V132" s="142"/>
      <c r="W132" s="142"/>
      <c r="X132" s="100"/>
      <c r="Y132" s="100"/>
      <c r="Z132" s="100"/>
      <c r="AA132" s="142"/>
      <c r="AB132" s="142"/>
      <c r="AC132" s="100"/>
      <c r="AD132" s="109"/>
      <c r="AE132" s="109"/>
      <c r="AF132" s="109"/>
      <c r="AG132" s="109"/>
      <c r="AH132" s="108"/>
      <c r="AI132" s="109"/>
      <c r="AJ132" s="100"/>
      <c r="AK132" s="100"/>
      <c r="AL132" s="75"/>
      <c r="AM132" s="100"/>
      <c r="AN132" s="75"/>
      <c r="AO132" s="100"/>
      <c r="AP132" s="107"/>
      <c r="AQ132" s="100"/>
      <c r="AR132" s="75"/>
      <c r="AS132" s="111"/>
      <c r="AT132" s="75"/>
      <c r="AU132" s="431"/>
      <c r="AV132" s="111"/>
    </row>
    <row r="133" spans="1:48" ht="16.3">
      <c r="A133" s="83" t="s">
        <v>363</v>
      </c>
      <c r="B133" s="265">
        <f>SUM(B131+B132)</f>
        <v>94</v>
      </c>
      <c r="C133" s="214">
        <f>SUM(C131+C132)</f>
        <v>94</v>
      </c>
      <c r="D133" s="133"/>
      <c r="E133" s="134"/>
      <c r="F133" s="135"/>
      <c r="G133" s="136"/>
      <c r="H133" s="683"/>
      <c r="I133" s="676"/>
      <c r="J133" s="96"/>
      <c r="K133" s="96"/>
      <c r="L133" s="104"/>
      <c r="M133" s="75"/>
      <c r="N133" s="75"/>
      <c r="O133" s="100"/>
      <c r="P133" s="100"/>
      <c r="Q133" s="108"/>
      <c r="R133" s="108"/>
      <c r="S133" s="109"/>
      <c r="T133" s="109"/>
      <c r="U133" s="100"/>
      <c r="V133" s="142"/>
      <c r="W133" s="142"/>
      <c r="X133" s="100"/>
      <c r="Y133" s="100"/>
      <c r="Z133" s="100"/>
      <c r="AA133" s="142"/>
      <c r="AB133" s="142"/>
      <c r="AC133" s="100"/>
      <c r="AD133" s="109"/>
      <c r="AE133" s="109"/>
      <c r="AF133" s="109"/>
      <c r="AG133" s="109"/>
      <c r="AH133" s="108"/>
      <c r="AI133" s="109"/>
      <c r="AJ133" s="100"/>
      <c r="AK133" s="100"/>
      <c r="AL133" s="75"/>
      <c r="AM133" s="100"/>
      <c r="AN133" s="75"/>
      <c r="AO133" s="100"/>
      <c r="AP133" s="107"/>
      <c r="AQ133" s="100"/>
      <c r="AR133" s="75"/>
      <c r="AS133" s="111"/>
      <c r="AT133" s="75"/>
      <c r="AU133" s="431"/>
      <c r="AV133" s="111"/>
    </row>
    <row r="134" spans="1:48" ht="16.3">
      <c r="A134" s="246" t="s">
        <v>362</v>
      </c>
      <c r="B134" s="266">
        <f>SUM(L134+M134+N134+O134+P134+U134+X134+Y134+Z134+AC134+AK134+AL134+AK134+AO134+AR134+AS134+AU134+AV134+AW134+AX134)+4</f>
        <v>4</v>
      </c>
      <c r="C134" s="215">
        <f>SUM(L134+M134+N134+O134+P134+U134+Y134+Z134+X134+AC134+AL134+AK134+AL134+AP134+AS134+AO134+AV134+AW134+AX134+AY134+AR134+AU134)+4</f>
        <v>4</v>
      </c>
      <c r="D134" s="133"/>
      <c r="E134" s="134"/>
      <c r="F134" s="135"/>
      <c r="G134" s="136"/>
      <c r="H134" s="683"/>
      <c r="I134" s="676"/>
      <c r="J134" s="96"/>
      <c r="K134" s="96"/>
      <c r="L134" s="104"/>
      <c r="M134" s="75"/>
      <c r="N134" s="75"/>
      <c r="O134" s="100"/>
      <c r="P134" s="100"/>
      <c r="Q134" s="108"/>
      <c r="R134" s="108"/>
      <c r="S134" s="109"/>
      <c r="T134" s="109"/>
      <c r="U134" s="100"/>
      <c r="V134" s="142"/>
      <c r="W134" s="142"/>
      <c r="X134" s="100"/>
      <c r="Y134" s="100"/>
      <c r="Z134" s="100"/>
      <c r="AA134" s="142"/>
      <c r="AB134" s="142"/>
      <c r="AC134" s="100"/>
      <c r="AD134" s="109"/>
      <c r="AE134" s="109"/>
      <c r="AF134" s="109"/>
      <c r="AG134" s="109"/>
      <c r="AH134" s="108"/>
      <c r="AI134" s="109"/>
      <c r="AJ134" s="100"/>
      <c r="AK134" s="100"/>
      <c r="AL134" s="75"/>
      <c r="AM134" s="100"/>
      <c r="AN134" s="75"/>
      <c r="AO134" s="100"/>
      <c r="AP134" s="107"/>
      <c r="AQ134" s="100"/>
      <c r="AR134" s="75"/>
      <c r="AS134" s="111"/>
      <c r="AT134" s="75"/>
      <c r="AU134" s="431"/>
      <c r="AV134" s="111"/>
    </row>
    <row r="135" spans="1:48" ht="16.3">
      <c r="A135" s="246" t="s">
        <v>5</v>
      </c>
      <c r="B135" s="266">
        <f>SUM(L135+M135+N135+O135+P135+U135+X135+Y135+Z135+AC135+AK135+AL135+AK135+AO135+AR135+AS135+AU135+AV135+AW135+AX135)+29</f>
        <v>29</v>
      </c>
      <c r="C135" s="215">
        <f>SUM(L135+M135+N135+O135+P135+U135+Y135+Z135+X135+AC135+AL135+AK135+AL135+AP135+AS135+AO135+AV135+AW135+AX135+AY135+AR135+AU135)+29</f>
        <v>29</v>
      </c>
      <c r="D135" s="133"/>
      <c r="E135" s="134"/>
      <c r="F135" s="135"/>
      <c r="G135" s="136"/>
      <c r="H135" s="683"/>
      <c r="I135" s="676"/>
      <c r="J135" s="96">
        <v>0</v>
      </c>
      <c r="K135" s="96"/>
      <c r="L135" s="104"/>
      <c r="M135" s="75"/>
      <c r="N135" s="75"/>
      <c r="O135" s="100"/>
      <c r="P135" s="100"/>
      <c r="Q135" s="108"/>
      <c r="R135" s="108"/>
      <c r="S135" s="109"/>
      <c r="T135" s="109"/>
      <c r="U135" s="100"/>
      <c r="V135" s="142"/>
      <c r="W135" s="142"/>
      <c r="X135" s="100"/>
      <c r="Y135" s="100"/>
      <c r="Z135" s="100"/>
      <c r="AA135" s="142"/>
      <c r="AB135" s="142">
        <v>0</v>
      </c>
      <c r="AC135" s="100"/>
      <c r="AD135" s="109"/>
      <c r="AE135" s="109"/>
      <c r="AF135" s="109">
        <v>4</v>
      </c>
      <c r="AG135" s="109">
        <v>2</v>
      </c>
      <c r="AH135" s="108"/>
      <c r="AI135" s="109"/>
      <c r="AJ135" s="100"/>
      <c r="AK135" s="100"/>
      <c r="AL135" s="75"/>
      <c r="AM135" s="100"/>
      <c r="AN135" s="75"/>
      <c r="AO135" s="100"/>
      <c r="AP135" s="107"/>
      <c r="AQ135" s="100"/>
      <c r="AR135" s="75"/>
      <c r="AS135" s="111"/>
      <c r="AT135" s="75"/>
      <c r="AU135" s="431"/>
      <c r="AV135" s="111"/>
    </row>
    <row r="136" spans="1:48" ht="16.3">
      <c r="A136" s="246" t="s">
        <v>6</v>
      </c>
      <c r="B136" s="266">
        <f>SUM(L136+M136+N136+O136+P136+U136+X136+Y136+Z136+AC136+AK136+AL136+AK136+AO136+AR136+AS136+AU136+AV136+AW136+AX136)+49</f>
        <v>49</v>
      </c>
      <c r="C136" s="215">
        <f>SUM(L136+M136+N136+O136+P136+U136+Y136+Z136+X136+AC136+AL136+AK136+AL136+AP136+AS136+AO136+AV136+AW136+AX136+AY136+AR136+AU136)+49</f>
        <v>49</v>
      </c>
      <c r="D136" s="133"/>
      <c r="E136" s="134"/>
      <c r="F136" s="135"/>
      <c r="G136" s="136"/>
      <c r="H136" s="683"/>
      <c r="I136" s="676"/>
      <c r="J136" s="96">
        <v>3</v>
      </c>
      <c r="K136" s="96"/>
      <c r="L136" s="104"/>
      <c r="M136" s="75"/>
      <c r="N136" s="75"/>
      <c r="O136" s="100"/>
      <c r="P136" s="100"/>
      <c r="Q136" s="108"/>
      <c r="R136" s="108"/>
      <c r="S136" s="109"/>
      <c r="T136" s="109"/>
      <c r="U136" s="100"/>
      <c r="V136" s="142"/>
      <c r="W136" s="142"/>
      <c r="X136" s="100"/>
      <c r="Y136" s="100"/>
      <c r="Z136" s="100"/>
      <c r="AA136" s="142"/>
      <c r="AB136" s="142">
        <v>1</v>
      </c>
      <c r="AC136" s="100"/>
      <c r="AD136" s="109"/>
      <c r="AE136" s="109"/>
      <c r="AF136" s="109">
        <v>8</v>
      </c>
      <c r="AG136" s="109">
        <v>4</v>
      </c>
      <c r="AH136" s="108"/>
      <c r="AI136" s="109"/>
      <c r="AJ136" s="100"/>
      <c r="AK136" s="100"/>
      <c r="AL136" s="75"/>
      <c r="AM136" s="100"/>
      <c r="AN136" s="75"/>
      <c r="AO136" s="100"/>
      <c r="AP136" s="107"/>
      <c r="AQ136" s="100"/>
      <c r="AR136" s="75"/>
      <c r="AS136" s="111"/>
      <c r="AT136" s="75"/>
      <c r="AU136" s="431"/>
      <c r="AV136" s="111"/>
    </row>
    <row r="137" spans="1:48" ht="16.3">
      <c r="A137" s="246" t="s">
        <v>368</v>
      </c>
      <c r="B137" s="267">
        <f>SUM(B135/B136)*100</f>
        <v>59.183673469387756</v>
      </c>
      <c r="C137" s="216">
        <f>SUM(C135/C136)*100</f>
        <v>59.183673469387756</v>
      </c>
      <c r="D137" s="133"/>
      <c r="E137" s="134"/>
      <c r="F137" s="135"/>
      <c r="G137" s="136"/>
      <c r="H137" s="683"/>
      <c r="I137" s="676"/>
      <c r="J137" s="96">
        <v>0</v>
      </c>
      <c r="K137" s="96"/>
      <c r="L137" s="104"/>
      <c r="M137" s="75"/>
      <c r="N137" s="75"/>
      <c r="O137" s="100"/>
      <c r="P137" s="100"/>
      <c r="Q137" s="108"/>
      <c r="R137" s="108"/>
      <c r="S137" s="109"/>
      <c r="T137" s="109"/>
      <c r="U137" s="100"/>
      <c r="V137" s="142"/>
      <c r="W137" s="142"/>
      <c r="X137" s="100"/>
      <c r="Y137" s="100"/>
      <c r="Z137" s="100"/>
      <c r="AA137" s="142"/>
      <c r="AB137" s="142">
        <v>0</v>
      </c>
      <c r="AC137" s="100"/>
      <c r="AD137" s="109"/>
      <c r="AE137" s="109"/>
      <c r="AF137" s="109">
        <v>50</v>
      </c>
      <c r="AG137" s="109">
        <v>50</v>
      </c>
      <c r="AH137" s="108"/>
      <c r="AI137" s="109"/>
      <c r="AJ137" s="100"/>
      <c r="AK137" s="100"/>
      <c r="AL137" s="75"/>
      <c r="AM137" s="100"/>
      <c r="AN137" s="75"/>
      <c r="AO137" s="100"/>
      <c r="AP137" s="107"/>
      <c r="AQ137" s="100"/>
      <c r="AR137" s="75"/>
      <c r="AS137" s="111"/>
      <c r="AT137" s="75"/>
      <c r="AU137" s="431"/>
      <c r="AV137" s="111"/>
    </row>
    <row r="138" spans="1:48" ht="16.3">
      <c r="A138" s="83" t="s">
        <v>3</v>
      </c>
      <c r="B138" s="265">
        <f>SUM(L138+M138+N138+O138+P138+U138+X138+Y138+Z138+AC138+AK138+AL138+AK138+AO138+AR138+AS138+AU138+AV138+AW138+AX138)+7</f>
        <v>9</v>
      </c>
      <c r="C138" s="214">
        <f>SUM(L138+M138+N138+O138+P138+U138+Y138+Z138+X138+AC138+AL138+AK138+AL138+AP138+AS138+AO138+AV138+AW138+AX138+AY138+AR138+AU138)+7</f>
        <v>9</v>
      </c>
      <c r="D138" s="133"/>
      <c r="E138" s="134"/>
      <c r="F138" s="135"/>
      <c r="G138" s="136"/>
      <c r="H138" s="683"/>
      <c r="I138" s="676"/>
      <c r="J138" s="96"/>
      <c r="K138" s="96"/>
      <c r="L138" s="104"/>
      <c r="M138" s="75">
        <v>1</v>
      </c>
      <c r="N138" s="75"/>
      <c r="O138" s="100">
        <v>1</v>
      </c>
      <c r="P138" s="100"/>
      <c r="Q138" s="108"/>
      <c r="R138" s="108"/>
      <c r="S138" s="109"/>
      <c r="T138" s="109"/>
      <c r="U138" s="100"/>
      <c r="V138" s="142">
        <v>1</v>
      </c>
      <c r="W138" s="142"/>
      <c r="X138" s="100"/>
      <c r="Y138" s="100"/>
      <c r="Z138" s="100"/>
      <c r="AA138" s="142"/>
      <c r="AB138" s="142"/>
      <c r="AC138" s="100"/>
      <c r="AD138" s="109"/>
      <c r="AE138" s="109"/>
      <c r="AF138" s="109"/>
      <c r="AG138" s="109"/>
      <c r="AH138" s="108"/>
      <c r="AI138" s="109"/>
      <c r="AJ138" s="100"/>
      <c r="AK138" s="100"/>
      <c r="AL138" s="75"/>
      <c r="AM138" s="100"/>
      <c r="AN138" s="75"/>
      <c r="AO138" s="100"/>
      <c r="AP138" s="107"/>
      <c r="AQ138" s="100"/>
      <c r="AR138" s="75"/>
      <c r="AS138" s="111"/>
      <c r="AT138" s="75"/>
      <c r="AU138" s="431"/>
      <c r="AV138" s="111"/>
    </row>
    <row r="139" spans="1:48" ht="17" thickBot="1">
      <c r="A139" s="85" t="s">
        <v>4</v>
      </c>
      <c r="B139" s="268">
        <f>SUM(L139+M139+N139+O139+P139+U139+X139+Y139+Z139+AC139+AK139+AL139+AK139+AO139+AR139+AS139+AU139+AV139+AW139+AX139)+100</f>
        <v>110</v>
      </c>
      <c r="C139" s="217">
        <f>SUM(L139+M139+N139+O139+P139+U139+Y139+Z139+X139+AC139+AL139+AK139+AL139+AP139+AS139+AO139+AV139+AW139+AX139+AY139+AR139+AU139)+100</f>
        <v>110</v>
      </c>
      <c r="D139" s="144"/>
      <c r="E139" s="145"/>
      <c r="F139" s="146"/>
      <c r="G139" s="147"/>
      <c r="H139" s="684"/>
      <c r="I139" s="677"/>
      <c r="J139" s="114">
        <v>0</v>
      </c>
      <c r="K139" s="114"/>
      <c r="L139" s="113"/>
      <c r="M139" s="112">
        <v>5</v>
      </c>
      <c r="N139" s="112"/>
      <c r="O139" s="116">
        <v>5</v>
      </c>
      <c r="P139" s="116"/>
      <c r="Q139" s="117"/>
      <c r="R139" s="117"/>
      <c r="S139" s="118"/>
      <c r="T139" s="118"/>
      <c r="U139" s="116"/>
      <c r="V139" s="149">
        <v>5</v>
      </c>
      <c r="W139" s="149"/>
      <c r="X139" s="116"/>
      <c r="Y139" s="116"/>
      <c r="Z139" s="116"/>
      <c r="AA139" s="149"/>
      <c r="AB139" s="149">
        <v>0</v>
      </c>
      <c r="AC139" s="116"/>
      <c r="AD139" s="118"/>
      <c r="AE139" s="118"/>
      <c r="AF139" s="118">
        <v>8</v>
      </c>
      <c r="AG139" s="118">
        <v>4</v>
      </c>
      <c r="AH139" s="117"/>
      <c r="AI139" s="118"/>
      <c r="AJ139" s="116"/>
      <c r="AK139" s="116"/>
      <c r="AL139" s="112"/>
      <c r="AM139" s="116"/>
      <c r="AN139" s="112"/>
      <c r="AO139" s="116"/>
      <c r="AP139" s="130"/>
      <c r="AQ139" s="116"/>
      <c r="AR139" s="112"/>
      <c r="AS139" s="121"/>
      <c r="AT139" s="112"/>
      <c r="AU139" s="432"/>
      <c r="AV139" s="121"/>
    </row>
    <row r="140" spans="1:48" ht="21.1">
      <c r="A140" s="82" t="s">
        <v>499</v>
      </c>
      <c r="B140" s="265"/>
      <c r="C140" s="214"/>
      <c r="D140" s="133"/>
      <c r="E140" s="134"/>
      <c r="F140" s="135"/>
      <c r="G140" s="136"/>
      <c r="H140" s="683"/>
      <c r="I140" s="676"/>
      <c r="J140" s="96" t="s">
        <v>375</v>
      </c>
      <c r="K140" s="96" t="s">
        <v>393</v>
      </c>
      <c r="L140" s="104"/>
      <c r="M140" s="75"/>
      <c r="N140" s="75"/>
      <c r="O140" s="100"/>
      <c r="P140" s="100"/>
      <c r="Q140" s="108"/>
      <c r="R140" s="108"/>
      <c r="S140" s="109" t="s">
        <v>808</v>
      </c>
      <c r="T140" s="109" t="s">
        <v>393</v>
      </c>
      <c r="U140" s="100"/>
      <c r="V140" s="142"/>
      <c r="W140" s="142">
        <v>10</v>
      </c>
      <c r="X140" s="100"/>
      <c r="Y140" s="100"/>
      <c r="Z140" s="100"/>
      <c r="AA140" s="142" t="s">
        <v>393</v>
      </c>
      <c r="AB140" s="142"/>
      <c r="AC140" s="100"/>
      <c r="AD140" s="109" t="s">
        <v>375</v>
      </c>
      <c r="AE140" s="109" t="s">
        <v>375</v>
      </c>
      <c r="AF140" s="109" t="s">
        <v>375</v>
      </c>
      <c r="AG140" s="109"/>
      <c r="AH140" s="108"/>
      <c r="AI140" s="109"/>
      <c r="AJ140" s="100"/>
      <c r="AK140" s="100"/>
      <c r="AL140" s="75"/>
      <c r="AM140" s="100"/>
      <c r="AN140" s="75"/>
      <c r="AO140" s="100"/>
      <c r="AP140" s="107"/>
      <c r="AQ140" s="100"/>
      <c r="AR140" s="75"/>
      <c r="AS140" s="111"/>
      <c r="AT140" s="75"/>
      <c r="AU140" s="431"/>
      <c r="AV140" s="111"/>
    </row>
    <row r="141" spans="1:48" ht="16.3">
      <c r="A141" s="246" t="s">
        <v>1</v>
      </c>
      <c r="B141" s="266">
        <f>SUM(L141+M141+N141+O141+P141+U141+X141+Y141+Z141+AC141+AK141+AL141+AK141+AO141+AR141+AS141+AU141+AV141+AW141+AX141)+2</f>
        <v>2</v>
      </c>
      <c r="C141" s="215">
        <f>SUM(L141+M141+N141+O141+P141+U141+Y141+Z141+X141+AC141+AL141+AK141+AL141+AP141+AS141+AO141+AV141+AW141+AX141+AY141+AR141+AU141)+2</f>
        <v>2</v>
      </c>
      <c r="D141" s="133"/>
      <c r="E141" s="134"/>
      <c r="F141" s="135"/>
      <c r="G141" s="136"/>
      <c r="H141" s="683"/>
      <c r="I141" s="676"/>
      <c r="J141" s="96"/>
      <c r="K141" s="96"/>
      <c r="L141" s="104"/>
      <c r="M141" s="75"/>
      <c r="N141" s="75"/>
      <c r="O141" s="100"/>
      <c r="P141" s="100"/>
      <c r="Q141" s="108"/>
      <c r="R141" s="108"/>
      <c r="S141" s="109">
        <v>1</v>
      </c>
      <c r="T141" s="109"/>
      <c r="U141" s="100"/>
      <c r="V141" s="142"/>
      <c r="W141" s="142">
        <v>1</v>
      </c>
      <c r="X141" s="100"/>
      <c r="Y141" s="100"/>
      <c r="Z141" s="100"/>
      <c r="AA141" s="142"/>
      <c r="AB141" s="142"/>
      <c r="AC141" s="100"/>
      <c r="AD141" s="109"/>
      <c r="AE141" s="109"/>
      <c r="AF141" s="109"/>
      <c r="AG141" s="109"/>
      <c r="AH141" s="108"/>
      <c r="AI141" s="109"/>
      <c r="AJ141" s="100"/>
      <c r="AK141" s="100"/>
      <c r="AL141" s="75"/>
      <c r="AM141" s="100"/>
      <c r="AN141" s="75"/>
      <c r="AO141" s="100"/>
      <c r="AP141" s="107"/>
      <c r="AQ141" s="100"/>
      <c r="AR141" s="75"/>
      <c r="AS141" s="111"/>
      <c r="AT141" s="75"/>
      <c r="AU141" s="431"/>
      <c r="AV141" s="111"/>
    </row>
    <row r="142" spans="1:48" ht="16.3">
      <c r="A142" s="246" t="s">
        <v>2</v>
      </c>
      <c r="B142" s="266">
        <f>SUM(L142+M142+N142+O142+P142+U142+X142+Y142+Z142+AC142+AK142+AL142+AK142+AO142+AR142+AS142+AU142+AV142+AW142+AX142)</f>
        <v>0</v>
      </c>
      <c r="C142" s="215">
        <f>SUM(L142+M142+N142+O142+P142+U142+Y142+Z142+X142+AC142+AL142+AK142+AL142+AP142+AS142+AO142+AV142+AW142+AX142+AY142+AR142+AU142)</f>
        <v>0</v>
      </c>
      <c r="D142" s="133"/>
      <c r="E142" s="134"/>
      <c r="F142" s="135"/>
      <c r="G142" s="136"/>
      <c r="H142" s="683"/>
      <c r="I142" s="676"/>
      <c r="J142" s="96">
        <v>1</v>
      </c>
      <c r="K142" s="96"/>
      <c r="L142" s="104"/>
      <c r="M142" s="75"/>
      <c r="N142" s="75"/>
      <c r="O142" s="100"/>
      <c r="P142" s="100"/>
      <c r="Q142" s="108"/>
      <c r="R142" s="108"/>
      <c r="S142" s="109"/>
      <c r="T142" s="109"/>
      <c r="U142" s="100"/>
      <c r="V142" s="142"/>
      <c r="W142" s="142"/>
      <c r="X142" s="100"/>
      <c r="Y142" s="100"/>
      <c r="Z142" s="100"/>
      <c r="AA142" s="142"/>
      <c r="AB142" s="142"/>
      <c r="AC142" s="100"/>
      <c r="AD142" s="109">
        <v>1</v>
      </c>
      <c r="AE142" s="109">
        <v>1</v>
      </c>
      <c r="AF142" s="109">
        <v>1</v>
      </c>
      <c r="AG142" s="109"/>
      <c r="AH142" s="108"/>
      <c r="AI142" s="109"/>
      <c r="AJ142" s="100"/>
      <c r="AK142" s="100"/>
      <c r="AL142" s="75"/>
      <c r="AM142" s="100"/>
      <c r="AN142" s="75"/>
      <c r="AO142" s="100"/>
      <c r="AP142" s="107"/>
      <c r="AQ142" s="100"/>
      <c r="AR142" s="75"/>
      <c r="AS142" s="111"/>
      <c r="AT142" s="75"/>
      <c r="AU142" s="431"/>
      <c r="AV142" s="111"/>
    </row>
    <row r="143" spans="1:48" ht="16.3">
      <c r="A143" s="83" t="s">
        <v>363</v>
      </c>
      <c r="B143" s="265">
        <f>SUM(B141+B142)</f>
        <v>2</v>
      </c>
      <c r="C143" s="214">
        <f>SUM(C141+C142)</f>
        <v>2</v>
      </c>
      <c r="D143" s="133"/>
      <c r="E143" s="134"/>
      <c r="F143" s="135"/>
      <c r="G143" s="136"/>
      <c r="H143" s="683"/>
      <c r="I143" s="676"/>
      <c r="J143" s="96"/>
      <c r="K143" s="96"/>
      <c r="L143" s="104"/>
      <c r="M143" s="75"/>
      <c r="N143" s="75"/>
      <c r="O143" s="100"/>
      <c r="P143" s="100"/>
      <c r="Q143" s="108"/>
      <c r="R143" s="108"/>
      <c r="S143" s="109"/>
      <c r="T143" s="109"/>
      <c r="U143" s="100"/>
      <c r="V143" s="142"/>
      <c r="W143" s="142"/>
      <c r="X143" s="100"/>
      <c r="Y143" s="100"/>
      <c r="Z143" s="100"/>
      <c r="AA143" s="142"/>
      <c r="AB143" s="142"/>
      <c r="AC143" s="100"/>
      <c r="AD143" s="109"/>
      <c r="AE143" s="109"/>
      <c r="AF143" s="109"/>
      <c r="AG143" s="109"/>
      <c r="AH143" s="108"/>
      <c r="AI143" s="109"/>
      <c r="AJ143" s="100"/>
      <c r="AK143" s="100"/>
      <c r="AL143" s="75"/>
      <c r="AM143" s="100"/>
      <c r="AN143" s="75"/>
      <c r="AO143" s="100"/>
      <c r="AP143" s="107"/>
      <c r="AQ143" s="100"/>
      <c r="AR143" s="75"/>
      <c r="AS143" s="111"/>
      <c r="AT143" s="75"/>
      <c r="AU143" s="431"/>
      <c r="AV143" s="111"/>
    </row>
    <row r="144" spans="1:48" ht="16.3">
      <c r="A144" s="246" t="s">
        <v>366</v>
      </c>
      <c r="B144" s="266">
        <f>SUM(L144+M144+N144+O144+P144+U144+X144+Y144+Z144+AC144+AK144+AL144+AK144+AO144+AR144+AS144+AU144+AV144+AW144+AX144)</f>
        <v>0</v>
      </c>
      <c r="C144" s="215">
        <f>SUM(L144+M144+N144+O144+P144+U144+Y144+Z144+X144+AC144+AL144+AK144+AL144+AP144+AS144+AO144+AV144+AW144+AX144+AY144+AR144+AU144)</f>
        <v>0</v>
      </c>
      <c r="D144" s="133"/>
      <c r="E144" s="134"/>
      <c r="F144" s="135"/>
      <c r="G144" s="136"/>
      <c r="H144" s="683"/>
      <c r="I144" s="676"/>
      <c r="J144" s="96"/>
      <c r="K144" s="96"/>
      <c r="L144" s="104"/>
      <c r="M144" s="75"/>
      <c r="N144" s="75"/>
      <c r="O144" s="100"/>
      <c r="P144" s="100"/>
      <c r="Q144" s="108"/>
      <c r="R144" s="108"/>
      <c r="S144" s="109">
        <v>1</v>
      </c>
      <c r="T144" s="109"/>
      <c r="U144" s="100"/>
      <c r="V144" s="142"/>
      <c r="W144" s="142"/>
      <c r="X144" s="100"/>
      <c r="Y144" s="100"/>
      <c r="Z144" s="100"/>
      <c r="AA144" s="142"/>
      <c r="AB144" s="142"/>
      <c r="AC144" s="100"/>
      <c r="AD144" s="109"/>
      <c r="AE144" s="109"/>
      <c r="AF144" s="109"/>
      <c r="AG144" s="109"/>
      <c r="AH144" s="108"/>
      <c r="AI144" s="109"/>
      <c r="AJ144" s="100"/>
      <c r="AK144" s="100"/>
      <c r="AL144" s="75"/>
      <c r="AM144" s="100"/>
      <c r="AN144" s="75"/>
      <c r="AO144" s="100"/>
      <c r="AP144" s="107"/>
      <c r="AQ144" s="100"/>
      <c r="AR144" s="75"/>
      <c r="AS144" s="111"/>
      <c r="AT144" s="75"/>
      <c r="AU144" s="431"/>
      <c r="AV144" s="111"/>
    </row>
    <row r="145" spans="1:48" ht="16.3">
      <c r="A145" s="246" t="s">
        <v>5</v>
      </c>
      <c r="B145" s="266">
        <f t="shared" ref="B145:B146" si="2">SUM(L145+M145+N145+O145+P145+U145+X145+Y145+Z145+AC145+AK145+AL145+AK145+AO145+AR145+AS145+AU145+AV145+AW145+AX145)</f>
        <v>0</v>
      </c>
      <c r="C145" s="215">
        <f t="shared" ref="C145:C146" si="3">SUM(L145+M145+N145+O145+P145+U145+Y145+Z145+X145+AC145+AL145+AK145+AL145+AP145+AS145+AO145+AV145+AW145+AX145+AY145+AR145+AU145)</f>
        <v>0</v>
      </c>
      <c r="D145" s="133"/>
      <c r="E145" s="134"/>
      <c r="F145" s="135"/>
      <c r="G145" s="136"/>
      <c r="H145" s="683"/>
      <c r="I145" s="676"/>
      <c r="J145" s="96"/>
      <c r="K145" s="96"/>
      <c r="L145" s="104"/>
      <c r="M145" s="75"/>
      <c r="N145" s="75"/>
      <c r="O145" s="100"/>
      <c r="P145" s="100"/>
      <c r="Q145" s="108"/>
      <c r="R145" s="108"/>
      <c r="S145" s="109">
        <v>1</v>
      </c>
      <c r="T145" s="109"/>
      <c r="U145" s="100"/>
      <c r="V145" s="142"/>
      <c r="W145" s="142">
        <v>5</v>
      </c>
      <c r="X145" s="100"/>
      <c r="Y145" s="100"/>
      <c r="Z145" s="100"/>
      <c r="AA145" s="142"/>
      <c r="AB145" s="142"/>
      <c r="AC145" s="100"/>
      <c r="AD145" s="109"/>
      <c r="AE145" s="109"/>
      <c r="AF145" s="109"/>
      <c r="AG145" s="109"/>
      <c r="AH145" s="108"/>
      <c r="AI145" s="109"/>
      <c r="AJ145" s="100"/>
      <c r="AK145" s="100"/>
      <c r="AL145" s="75"/>
      <c r="AM145" s="100"/>
      <c r="AN145" s="75"/>
      <c r="AO145" s="100"/>
      <c r="AP145" s="107"/>
      <c r="AQ145" s="100"/>
      <c r="AR145" s="75"/>
      <c r="AS145" s="111"/>
      <c r="AT145" s="75"/>
      <c r="AU145" s="431"/>
      <c r="AV145" s="111"/>
    </row>
    <row r="146" spans="1:48" ht="16.3">
      <c r="A146" s="246" t="s">
        <v>6</v>
      </c>
      <c r="B146" s="266">
        <f t="shared" si="2"/>
        <v>0</v>
      </c>
      <c r="C146" s="215">
        <f t="shared" si="3"/>
        <v>0</v>
      </c>
      <c r="D146" s="133"/>
      <c r="E146" s="134"/>
      <c r="F146" s="135"/>
      <c r="G146" s="136"/>
      <c r="H146" s="683"/>
      <c r="I146" s="676"/>
      <c r="J146" s="96"/>
      <c r="K146" s="96"/>
      <c r="L146" s="104"/>
      <c r="M146" s="75"/>
      <c r="N146" s="75"/>
      <c r="O146" s="100"/>
      <c r="P146" s="100"/>
      <c r="Q146" s="108"/>
      <c r="R146" s="108"/>
      <c r="S146" s="109">
        <v>1</v>
      </c>
      <c r="T146" s="109"/>
      <c r="U146" s="100"/>
      <c r="V146" s="142"/>
      <c r="W146" s="142">
        <v>5</v>
      </c>
      <c r="X146" s="100"/>
      <c r="Y146" s="100"/>
      <c r="Z146" s="100"/>
      <c r="AA146" s="142"/>
      <c r="AB146" s="142"/>
      <c r="AC146" s="100"/>
      <c r="AD146" s="109"/>
      <c r="AE146" s="109"/>
      <c r="AF146" s="109"/>
      <c r="AG146" s="109"/>
      <c r="AH146" s="108"/>
      <c r="AI146" s="109"/>
      <c r="AJ146" s="100"/>
      <c r="AK146" s="100"/>
      <c r="AL146" s="75"/>
      <c r="AM146" s="100"/>
      <c r="AN146" s="75"/>
      <c r="AO146" s="100"/>
      <c r="AP146" s="107"/>
      <c r="AQ146" s="100"/>
      <c r="AR146" s="75"/>
      <c r="AS146" s="111"/>
      <c r="AT146" s="75"/>
      <c r="AU146" s="431"/>
      <c r="AV146" s="111"/>
    </row>
    <row r="147" spans="1:48" ht="16.3">
      <c r="A147" s="246" t="s">
        <v>368</v>
      </c>
      <c r="B147" s="266">
        <v>0</v>
      </c>
      <c r="C147" s="215">
        <v>0</v>
      </c>
      <c r="D147" s="133"/>
      <c r="E147" s="134"/>
      <c r="F147" s="135"/>
      <c r="G147" s="136"/>
      <c r="H147" s="683"/>
      <c r="I147" s="676"/>
      <c r="J147" s="96"/>
      <c r="K147" s="96"/>
      <c r="L147" s="104"/>
      <c r="M147" s="75"/>
      <c r="N147" s="75"/>
      <c r="O147" s="100"/>
      <c r="P147" s="100"/>
      <c r="Q147" s="108"/>
      <c r="R147" s="108"/>
      <c r="S147" s="109">
        <v>100</v>
      </c>
      <c r="T147" s="109"/>
      <c r="U147" s="100"/>
      <c r="V147" s="142"/>
      <c r="W147" s="142">
        <v>100</v>
      </c>
      <c r="X147" s="100"/>
      <c r="Y147" s="100"/>
      <c r="Z147" s="100"/>
      <c r="AA147" s="142"/>
      <c r="AB147" s="142"/>
      <c r="AC147" s="100"/>
      <c r="AD147" s="109"/>
      <c r="AE147" s="109"/>
      <c r="AF147" s="109"/>
      <c r="AG147" s="109"/>
      <c r="AH147" s="108"/>
      <c r="AI147" s="109"/>
      <c r="AJ147" s="100"/>
      <c r="AK147" s="100"/>
      <c r="AL147" s="75"/>
      <c r="AM147" s="100"/>
      <c r="AN147" s="75"/>
      <c r="AO147" s="100"/>
      <c r="AP147" s="107"/>
      <c r="AQ147" s="100"/>
      <c r="AR147" s="75"/>
      <c r="AS147" s="111"/>
      <c r="AT147" s="75"/>
      <c r="AU147" s="431"/>
      <c r="AV147" s="111"/>
    </row>
    <row r="148" spans="1:48" ht="16.3">
      <c r="A148" s="83" t="s">
        <v>3</v>
      </c>
      <c r="B148" s="265">
        <f>SUM(L148+M148+N148+O148+P148+U148+X148+Y148+Z148+AC148+AK148+AL148+AK148+AO148+AR148+AS148+AU148+AV148+AW148+AX148)</f>
        <v>0</v>
      </c>
      <c r="C148" s="214">
        <f>SUM(L148+M148+N148+O148+P148+U148+Y148+Z148+X148+AC148+AL148+AK148+AL148+AP148+AS148+AO148+AV148+AW148+AX148+AY148+AR148+AU148)</f>
        <v>0</v>
      </c>
      <c r="D148" s="133"/>
      <c r="E148" s="134"/>
      <c r="F148" s="135"/>
      <c r="G148" s="136"/>
      <c r="H148" s="683"/>
      <c r="I148" s="676"/>
      <c r="J148" s="96"/>
      <c r="K148" s="96"/>
      <c r="L148" s="104"/>
      <c r="M148" s="75"/>
      <c r="N148" s="75"/>
      <c r="O148" s="100"/>
      <c r="P148" s="100"/>
      <c r="Q148" s="108"/>
      <c r="R148" s="108"/>
      <c r="S148" s="109"/>
      <c r="T148" s="109"/>
      <c r="U148" s="100"/>
      <c r="V148" s="142"/>
      <c r="W148" s="142"/>
      <c r="X148" s="100"/>
      <c r="Y148" s="100"/>
      <c r="Z148" s="100"/>
      <c r="AA148" s="142"/>
      <c r="AB148" s="142"/>
      <c r="AC148" s="100"/>
      <c r="AD148" s="109"/>
      <c r="AE148" s="109"/>
      <c r="AF148" s="109"/>
      <c r="AG148" s="109"/>
      <c r="AH148" s="108"/>
      <c r="AI148" s="109"/>
      <c r="AJ148" s="100"/>
      <c r="AK148" s="100"/>
      <c r="AL148" s="75"/>
      <c r="AM148" s="100"/>
      <c r="AN148" s="75"/>
      <c r="AO148" s="100"/>
      <c r="AP148" s="107"/>
      <c r="AQ148" s="100"/>
      <c r="AR148" s="75"/>
      <c r="AS148" s="111"/>
      <c r="AT148" s="75"/>
      <c r="AU148" s="431"/>
      <c r="AV148" s="111"/>
    </row>
    <row r="149" spans="1:48" ht="17" thickBot="1">
      <c r="A149" s="85" t="s">
        <v>4</v>
      </c>
      <c r="B149" s="268">
        <f>SUM(L149+M149+N149+O149+P149+U149+X149+Y149+Z149+AC149+AK149+AL149+AK149+AO149+AR149+AS149+AU149+AV149+AW149+AX149)</f>
        <v>0</v>
      </c>
      <c r="C149" s="217">
        <f>SUM(L149+M149+N149+O149+P149+U149+Y149+Z149+X149+AC149+AL149+AK149+AL149+AP149+AS149+AO149+AV149+AW149+AX149+AY149+AR149+AU149)</f>
        <v>0</v>
      </c>
      <c r="D149" s="144"/>
      <c r="E149" s="145"/>
      <c r="F149" s="146"/>
      <c r="G149" s="147"/>
      <c r="H149" s="684"/>
      <c r="I149" s="677"/>
      <c r="J149" s="114"/>
      <c r="K149" s="114"/>
      <c r="L149" s="113"/>
      <c r="M149" s="112"/>
      <c r="N149" s="112"/>
      <c r="O149" s="116"/>
      <c r="P149" s="116"/>
      <c r="Q149" s="117"/>
      <c r="R149" s="117"/>
      <c r="S149" s="118">
        <v>3</v>
      </c>
      <c r="T149" s="114"/>
      <c r="U149" s="100"/>
      <c r="V149" s="142"/>
      <c r="W149" s="142">
        <v>11</v>
      </c>
      <c r="X149" s="100"/>
      <c r="Y149" s="100"/>
      <c r="Z149" s="100"/>
      <c r="AA149" s="142"/>
      <c r="AB149" s="142"/>
      <c r="AC149" s="100"/>
      <c r="AD149" s="109"/>
      <c r="AE149" s="109"/>
      <c r="AF149" s="109"/>
      <c r="AG149" s="109"/>
      <c r="AH149" s="108"/>
      <c r="AI149" s="109"/>
      <c r="AJ149" s="100"/>
      <c r="AK149" s="100"/>
      <c r="AL149" s="75"/>
      <c r="AM149" s="100"/>
      <c r="AN149" s="75"/>
      <c r="AO149" s="100"/>
      <c r="AP149" s="107"/>
      <c r="AQ149" s="100"/>
      <c r="AR149" s="75"/>
      <c r="AS149" s="111"/>
      <c r="AT149" s="75"/>
      <c r="AU149" s="431"/>
      <c r="AV149" s="111"/>
    </row>
    <row r="150" spans="1:48" ht="21.1">
      <c r="A150" s="82" t="s">
        <v>136</v>
      </c>
      <c r="B150" s="265"/>
      <c r="C150" s="214"/>
      <c r="D150" s="133"/>
      <c r="E150" s="134"/>
      <c r="F150" s="135"/>
      <c r="G150" s="136"/>
      <c r="H150" s="683"/>
      <c r="I150" s="676"/>
      <c r="J150" s="96"/>
      <c r="K150" s="96"/>
      <c r="L150" s="104"/>
      <c r="M150" s="75"/>
      <c r="N150" s="75"/>
      <c r="O150" s="100"/>
      <c r="P150" s="100"/>
      <c r="Q150" s="108"/>
      <c r="R150" s="108"/>
      <c r="S150" s="109"/>
      <c r="T150" s="109"/>
      <c r="U150" s="102"/>
      <c r="V150" s="138"/>
      <c r="W150" s="138"/>
      <c r="X150" s="102"/>
      <c r="Y150" s="102"/>
      <c r="Z150" s="102"/>
      <c r="AA150" s="138"/>
      <c r="AB150" s="138"/>
      <c r="AC150" s="102"/>
      <c r="AD150" s="99"/>
      <c r="AE150" s="99"/>
      <c r="AF150" s="99"/>
      <c r="AG150" s="99"/>
      <c r="AH150" s="98"/>
      <c r="AI150" s="99"/>
      <c r="AJ150" s="102"/>
      <c r="AK150" s="102"/>
      <c r="AL150" s="122"/>
      <c r="AM150" s="102"/>
      <c r="AN150" s="122"/>
      <c r="AO150" s="102"/>
      <c r="AP150" s="131"/>
      <c r="AQ150" s="102"/>
      <c r="AR150" s="122"/>
      <c r="AS150" s="103"/>
      <c r="AT150" s="122"/>
      <c r="AU150" s="430"/>
      <c r="AV150" s="103"/>
    </row>
    <row r="151" spans="1:48" ht="16.3">
      <c r="A151" s="246" t="s">
        <v>1</v>
      </c>
      <c r="B151" s="266">
        <f>SUM(L151+M151+N151+O151+P151+U151+X151+Y151+Z151+AC151+AK151+AL151+AK151+AO151+AR151+AS151+AU151+AV151+AW151+AX151)+4</f>
        <v>4</v>
      </c>
      <c r="C151" s="215">
        <f>SUM(L151+M151+N151+O151+P151+U151+Y151+Z151+X151+AC151+AL151+AK151+AL151+AP151+AS151+AO151+AV151+AW151+AX151+AY151+AR151+AU151)+4</f>
        <v>4</v>
      </c>
      <c r="D151" s="133"/>
      <c r="E151" s="134"/>
      <c r="F151" s="135"/>
      <c r="G151" s="136"/>
      <c r="H151" s="683"/>
      <c r="I151" s="676"/>
      <c r="J151" s="96"/>
      <c r="K151" s="96"/>
      <c r="L151" s="104"/>
      <c r="M151" s="75"/>
      <c r="N151" s="75"/>
      <c r="O151" s="75"/>
      <c r="P151" s="75"/>
      <c r="Q151" s="105"/>
      <c r="R151" s="105"/>
      <c r="S151" s="96"/>
      <c r="T151" s="96"/>
      <c r="U151" s="75"/>
      <c r="V151" s="141"/>
      <c r="W151" s="141"/>
      <c r="X151" s="75"/>
      <c r="Y151" s="75"/>
      <c r="Z151" s="75"/>
      <c r="AA151" s="141"/>
      <c r="AB151" s="141"/>
      <c r="AC151" s="75"/>
      <c r="AD151" s="96"/>
      <c r="AE151" s="96"/>
      <c r="AF151" s="96"/>
      <c r="AG151" s="96"/>
      <c r="AH151" s="105"/>
      <c r="AI151" s="96"/>
      <c r="AJ151" s="75"/>
      <c r="AK151" s="75"/>
      <c r="AL151" s="75"/>
      <c r="AM151" s="75"/>
      <c r="AN151" s="75"/>
      <c r="AO151" s="75"/>
      <c r="AP151" s="107"/>
      <c r="AQ151" s="75"/>
      <c r="AR151" s="75"/>
      <c r="AS151" s="107"/>
      <c r="AT151" s="75"/>
      <c r="AU151" s="431"/>
      <c r="AV151" s="107"/>
    </row>
    <row r="152" spans="1:48" ht="16.3">
      <c r="A152" s="246" t="s">
        <v>2</v>
      </c>
      <c r="B152" s="266">
        <f>SUM(L152+M152+N152+O152+P152+U152+X152+Y152+Z152+AC152+AK152+AL152+AK152+AO152+AR152+AS152+AU152+AV152+AW152+AX152)+2</f>
        <v>2</v>
      </c>
      <c r="C152" s="215">
        <f>SUM(L152+M152+N152+O152+P152+U152+Y152+Z152+X152+AC152+AL152+AK152+AL152+AP152+AS152+AO152+AV152+AW152+AX152+AY152+AR152+AU152)+2</f>
        <v>2</v>
      </c>
      <c r="D152" s="133"/>
      <c r="E152" s="134"/>
      <c r="F152" s="135"/>
      <c r="G152" s="136"/>
      <c r="H152" s="683"/>
      <c r="I152" s="676"/>
      <c r="J152" s="96"/>
      <c r="K152" s="96"/>
      <c r="L152" s="104"/>
      <c r="M152" s="75"/>
      <c r="N152" s="75"/>
      <c r="O152" s="100"/>
      <c r="P152" s="100"/>
      <c r="Q152" s="108"/>
      <c r="R152" s="108"/>
      <c r="S152" s="109"/>
      <c r="T152" s="109"/>
      <c r="U152" s="100"/>
      <c r="V152" s="142"/>
      <c r="W152" s="142"/>
      <c r="X152" s="100"/>
      <c r="Y152" s="100"/>
      <c r="Z152" s="100"/>
      <c r="AA152" s="142"/>
      <c r="AB152" s="142"/>
      <c r="AC152" s="100"/>
      <c r="AD152" s="109"/>
      <c r="AE152" s="109"/>
      <c r="AF152" s="109"/>
      <c r="AG152" s="109"/>
      <c r="AH152" s="108"/>
      <c r="AI152" s="109"/>
      <c r="AJ152" s="100"/>
      <c r="AK152" s="100"/>
      <c r="AL152" s="75"/>
      <c r="AM152" s="100"/>
      <c r="AN152" s="75"/>
      <c r="AO152" s="100"/>
      <c r="AP152" s="107"/>
      <c r="AQ152" s="100"/>
      <c r="AR152" s="75"/>
      <c r="AS152" s="111"/>
      <c r="AT152" s="75"/>
      <c r="AU152" s="431"/>
      <c r="AV152" s="111"/>
    </row>
    <row r="153" spans="1:48" ht="16.3">
      <c r="A153" s="83" t="s">
        <v>363</v>
      </c>
      <c r="B153" s="265">
        <f>SUM(B151+B152)</f>
        <v>6</v>
      </c>
      <c r="C153" s="214">
        <f>SUM(C151+C152)</f>
        <v>6</v>
      </c>
      <c r="D153" s="133"/>
      <c r="E153" s="134"/>
      <c r="F153" s="135"/>
      <c r="G153" s="136"/>
      <c r="H153" s="683"/>
      <c r="I153" s="676"/>
      <c r="J153" s="96"/>
      <c r="K153" s="96"/>
      <c r="L153" s="104"/>
      <c r="M153" s="75"/>
      <c r="N153" s="75"/>
      <c r="O153" s="100"/>
      <c r="P153" s="100"/>
      <c r="Q153" s="108"/>
      <c r="R153" s="108"/>
      <c r="S153" s="109"/>
      <c r="T153" s="109"/>
      <c r="U153" s="100"/>
      <c r="V153" s="142"/>
      <c r="W153" s="142"/>
      <c r="X153" s="100"/>
      <c r="Y153" s="100"/>
      <c r="Z153" s="100"/>
      <c r="AA153" s="142"/>
      <c r="AB153" s="142"/>
      <c r="AC153" s="100"/>
      <c r="AD153" s="109"/>
      <c r="AE153" s="109"/>
      <c r="AF153" s="109"/>
      <c r="AG153" s="109"/>
      <c r="AH153" s="108"/>
      <c r="AI153" s="109"/>
      <c r="AJ153" s="100"/>
      <c r="AK153" s="100"/>
      <c r="AL153" s="75"/>
      <c r="AM153" s="100"/>
      <c r="AN153" s="75"/>
      <c r="AO153" s="100"/>
      <c r="AP153" s="107"/>
      <c r="AQ153" s="100"/>
      <c r="AR153" s="75"/>
      <c r="AS153" s="111"/>
      <c r="AT153" s="75"/>
      <c r="AU153" s="431"/>
      <c r="AV153" s="111"/>
    </row>
    <row r="154" spans="1:48" ht="16.3">
      <c r="A154" s="83" t="s">
        <v>3</v>
      </c>
      <c r="B154" s="265">
        <f>SUM(L154+M154+N154+O154+P154+U154+X154+Y154+Z154+AC154+AK154+AL154+AK154+AO154+AR154+AS154+AU154+AV154+AW154+AX154)</f>
        <v>0</v>
      </c>
      <c r="C154" s="214">
        <f>SUM(L154+M154+N154+O154+P154+U154+Y154+Z154+X154+AC154+AL154+AK154+AL154+AP154+AS154+AO154+AV154+AW154+AX154+AY154+AR154+AU154)</f>
        <v>0</v>
      </c>
      <c r="D154" s="133"/>
      <c r="E154" s="134"/>
      <c r="F154" s="135"/>
      <c r="G154" s="136"/>
      <c r="H154" s="683"/>
      <c r="I154" s="676"/>
      <c r="J154" s="96"/>
      <c r="K154" s="96"/>
      <c r="L154" s="104"/>
      <c r="M154" s="75"/>
      <c r="N154" s="75"/>
      <c r="O154" s="100"/>
      <c r="P154" s="100"/>
      <c r="Q154" s="108"/>
      <c r="R154" s="108"/>
      <c r="S154" s="109"/>
      <c r="T154" s="109"/>
      <c r="U154" s="100"/>
      <c r="V154" s="142"/>
      <c r="W154" s="142"/>
      <c r="X154" s="100"/>
      <c r="Y154" s="100"/>
      <c r="Z154" s="100"/>
      <c r="AA154" s="142"/>
      <c r="AB154" s="142"/>
      <c r="AC154" s="100"/>
      <c r="AD154" s="109"/>
      <c r="AE154" s="109"/>
      <c r="AF154" s="109"/>
      <c r="AG154" s="109"/>
      <c r="AH154" s="108"/>
      <c r="AI154" s="109"/>
      <c r="AJ154" s="100"/>
      <c r="AK154" s="100"/>
      <c r="AL154" s="75"/>
      <c r="AM154" s="100"/>
      <c r="AN154" s="75"/>
      <c r="AO154" s="100"/>
      <c r="AP154" s="107"/>
      <c r="AQ154" s="100"/>
      <c r="AR154" s="75"/>
      <c r="AS154" s="111"/>
      <c r="AT154" s="75"/>
      <c r="AU154" s="431"/>
      <c r="AV154" s="111"/>
    </row>
    <row r="155" spans="1:48" ht="17" thickBot="1">
      <c r="A155" s="85" t="s">
        <v>4</v>
      </c>
      <c r="B155" s="268">
        <f>SUM(L155+M155+N155+O155+P155+U155+X155+Y155+Z155+AC155+AK155+AL155+AK155+AO155+AR155+AS155+AU155+AV155+AW155+AX155)</f>
        <v>0</v>
      </c>
      <c r="C155" s="217">
        <f>SUM(L155+M155+N155+O155+P155+U155+Y155+Z155+X155+AC155+AL155+AK155+AL155+AP155+AS155+AO155+AV155+AW155+AX155+AY155+AR155+AU155)</f>
        <v>0</v>
      </c>
      <c r="D155" s="144"/>
      <c r="E155" s="145"/>
      <c r="F155" s="146"/>
      <c r="G155" s="147"/>
      <c r="H155" s="684"/>
      <c r="I155" s="677"/>
      <c r="J155" s="114"/>
      <c r="K155" s="114"/>
      <c r="L155" s="113"/>
      <c r="M155" s="112"/>
      <c r="N155" s="112"/>
      <c r="O155" s="100"/>
      <c r="P155" s="100"/>
      <c r="Q155" s="108"/>
      <c r="R155" s="108"/>
      <c r="S155" s="109"/>
      <c r="T155" s="109"/>
      <c r="U155" s="100"/>
      <c r="V155" s="142"/>
      <c r="W155" s="142"/>
      <c r="X155" s="100"/>
      <c r="Y155" s="100"/>
      <c r="Z155" s="100"/>
      <c r="AA155" s="142"/>
      <c r="AB155" s="142"/>
      <c r="AC155" s="100"/>
      <c r="AD155" s="109"/>
      <c r="AE155" s="109"/>
      <c r="AF155" s="109"/>
      <c r="AG155" s="109"/>
      <c r="AH155" s="108"/>
      <c r="AI155" s="109"/>
      <c r="AJ155" s="100"/>
      <c r="AK155" s="100"/>
      <c r="AL155" s="75"/>
      <c r="AM155" s="100"/>
      <c r="AN155" s="75"/>
      <c r="AO155" s="100"/>
      <c r="AP155" s="107"/>
      <c r="AQ155" s="100"/>
      <c r="AR155" s="75"/>
      <c r="AS155" s="111"/>
      <c r="AT155" s="75"/>
      <c r="AU155" s="431"/>
      <c r="AV155" s="111"/>
    </row>
    <row r="156" spans="1:48" ht="21.1">
      <c r="A156" s="82" t="s">
        <v>147</v>
      </c>
      <c r="B156" s="265"/>
      <c r="C156" s="214"/>
      <c r="D156" s="133"/>
      <c r="E156" s="134"/>
      <c r="F156" s="135"/>
      <c r="G156" s="136"/>
      <c r="H156" s="683"/>
      <c r="I156" s="676"/>
      <c r="J156" s="96" t="s">
        <v>590</v>
      </c>
      <c r="K156" s="96" t="s">
        <v>671</v>
      </c>
      <c r="L156" s="104" t="s">
        <v>378</v>
      </c>
      <c r="M156" s="75" t="s">
        <v>378</v>
      </c>
      <c r="N156" s="75">
        <v>9</v>
      </c>
      <c r="O156" s="102">
        <v>9</v>
      </c>
      <c r="P156" s="102" t="s">
        <v>378</v>
      </c>
      <c r="Q156" s="98"/>
      <c r="R156" s="98"/>
      <c r="S156" s="99" t="s">
        <v>782</v>
      </c>
      <c r="T156" s="99" t="s">
        <v>782</v>
      </c>
      <c r="U156" s="102" t="s">
        <v>339</v>
      </c>
      <c r="V156" s="138" t="s">
        <v>339</v>
      </c>
      <c r="W156" s="138" t="s">
        <v>339</v>
      </c>
      <c r="X156" s="102">
        <v>9</v>
      </c>
      <c r="Y156" s="102">
        <v>9</v>
      </c>
      <c r="Z156" s="102" t="s">
        <v>378</v>
      </c>
      <c r="AA156" s="138"/>
      <c r="AB156" s="138" t="s">
        <v>378</v>
      </c>
      <c r="AC156" s="102" t="s">
        <v>339</v>
      </c>
      <c r="AD156" s="99" t="s">
        <v>339</v>
      </c>
      <c r="AE156" s="99" t="s">
        <v>339</v>
      </c>
      <c r="AF156" s="99" t="s">
        <v>339</v>
      </c>
      <c r="AG156" s="99" t="s">
        <v>339</v>
      </c>
      <c r="AH156" s="98"/>
      <c r="AI156" s="99"/>
      <c r="AJ156" s="102"/>
      <c r="AK156" s="102"/>
      <c r="AL156" s="122"/>
      <c r="AM156" s="102"/>
      <c r="AN156" s="122"/>
      <c r="AO156" s="102"/>
      <c r="AP156" s="131"/>
      <c r="AQ156" s="102"/>
      <c r="AR156" s="122"/>
      <c r="AS156" s="103"/>
      <c r="AT156" s="122"/>
      <c r="AU156" s="430"/>
      <c r="AV156" s="103"/>
    </row>
    <row r="157" spans="1:48" ht="16.3">
      <c r="A157" s="246" t="s">
        <v>1</v>
      </c>
      <c r="B157" s="266">
        <f>SUM(L157+M157+N157+O157+P157+U157+X157+Y157+Z157+AC157+AK157+AL157+AK157+AO157+AR157+AS157+AU157+AV157+AW157+AX157)</f>
        <v>8</v>
      </c>
      <c r="C157" s="215">
        <f>SUM(L157+M157+N157+O157+P157+U157+Y157+Z157+X157+AC157+AL157+AK157+AL157+AP157+AS157+AO157+AV157+AW157+AX157+AY157+AR157+AU157)+21</f>
        <v>29</v>
      </c>
      <c r="D157" s="133"/>
      <c r="E157" s="134"/>
      <c r="F157" s="135"/>
      <c r="G157" s="136"/>
      <c r="H157" s="683"/>
      <c r="I157" s="676"/>
      <c r="J157" s="96">
        <v>1</v>
      </c>
      <c r="K157" s="96">
        <v>1</v>
      </c>
      <c r="L157" s="104">
        <v>1</v>
      </c>
      <c r="M157" s="75">
        <v>1</v>
      </c>
      <c r="N157" s="75">
        <v>1</v>
      </c>
      <c r="O157" s="100">
        <v>1</v>
      </c>
      <c r="P157" s="100">
        <v>1</v>
      </c>
      <c r="Q157" s="108"/>
      <c r="R157" s="108"/>
      <c r="S157" s="109"/>
      <c r="T157" s="109"/>
      <c r="U157" s="100"/>
      <c r="V157" s="142"/>
      <c r="W157" s="142"/>
      <c r="X157" s="100">
        <v>1</v>
      </c>
      <c r="Y157" s="100">
        <v>1</v>
      </c>
      <c r="Z157" s="100">
        <v>1</v>
      </c>
      <c r="AA157" s="142"/>
      <c r="AB157" s="142">
        <v>1</v>
      </c>
      <c r="AC157" s="100"/>
      <c r="AD157" s="109"/>
      <c r="AE157" s="109"/>
      <c r="AF157" s="109"/>
      <c r="AG157" s="109"/>
      <c r="AH157" s="108"/>
      <c r="AI157" s="109"/>
      <c r="AJ157" s="100"/>
      <c r="AK157" s="100"/>
      <c r="AL157" s="75"/>
      <c r="AM157" s="100"/>
      <c r="AN157" s="75"/>
      <c r="AO157" s="100"/>
      <c r="AP157" s="107"/>
      <c r="AQ157" s="100"/>
      <c r="AR157" s="75"/>
      <c r="AS157" s="111"/>
      <c r="AT157" s="75"/>
      <c r="AU157" s="431"/>
      <c r="AV157" s="111"/>
    </row>
    <row r="158" spans="1:48" ht="16.3">
      <c r="A158" s="246" t="s">
        <v>2</v>
      </c>
      <c r="B158" s="266">
        <f>SUM(L158+M158+N158+O158+P158+U158+X158+Y158+Z158+AC158+AK158+AL158+AK158+AO158+AR158+AS158+AU158+AV158+AW158+AX158)</f>
        <v>0</v>
      </c>
      <c r="C158" s="215">
        <f>SUM(L158+M158+N158+O158+P158+U158+Y158+Z158+X158+AC158+AL158+AK158+AL158+AP158+AS158+AO158+AV158+AW158+AX158+AY158+AR158+AU158)+21</f>
        <v>21</v>
      </c>
      <c r="D158" s="133"/>
      <c r="E158" s="134"/>
      <c r="F158" s="135"/>
      <c r="G158" s="136"/>
      <c r="H158" s="683"/>
      <c r="I158" s="676"/>
      <c r="J158" s="96"/>
      <c r="K158" s="96"/>
      <c r="L158" s="104"/>
      <c r="M158" s="75"/>
      <c r="N158" s="75"/>
      <c r="O158" s="100"/>
      <c r="P158" s="100"/>
      <c r="Q158" s="108"/>
      <c r="R158" s="108"/>
      <c r="S158" s="109"/>
      <c r="T158" s="109"/>
      <c r="U158" s="100"/>
      <c r="V158" s="142"/>
      <c r="W158" s="142"/>
      <c r="X158" s="100"/>
      <c r="Y158" s="100"/>
      <c r="Z158" s="100"/>
      <c r="AA158" s="142"/>
      <c r="AB158" s="142"/>
      <c r="AC158" s="100"/>
      <c r="AD158" s="109"/>
      <c r="AE158" s="109"/>
      <c r="AF158" s="109"/>
      <c r="AG158" s="109"/>
      <c r="AH158" s="108"/>
      <c r="AI158" s="109"/>
      <c r="AJ158" s="100"/>
      <c r="AK158" s="100"/>
      <c r="AL158" s="75"/>
      <c r="AM158" s="100"/>
      <c r="AN158" s="75"/>
      <c r="AO158" s="100"/>
      <c r="AP158" s="107"/>
      <c r="AQ158" s="100"/>
      <c r="AR158" s="75"/>
      <c r="AS158" s="111"/>
      <c r="AT158" s="75"/>
      <c r="AU158" s="431"/>
      <c r="AV158" s="111"/>
    </row>
    <row r="159" spans="1:48" ht="16.3">
      <c r="A159" s="83" t="s">
        <v>363</v>
      </c>
      <c r="B159" s="265">
        <f>SUM(B157+B158)</f>
        <v>8</v>
      </c>
      <c r="C159" s="214">
        <f>SUM(C157+C158)</f>
        <v>50</v>
      </c>
      <c r="D159" s="133"/>
      <c r="E159" s="134"/>
      <c r="F159" s="135"/>
      <c r="G159" s="136"/>
      <c r="H159" s="683"/>
      <c r="I159" s="676"/>
      <c r="J159" s="96"/>
      <c r="K159" s="96"/>
      <c r="L159" s="104"/>
      <c r="M159" s="75"/>
      <c r="N159" s="75"/>
      <c r="O159" s="100"/>
      <c r="P159" s="100"/>
      <c r="Q159" s="108"/>
      <c r="R159" s="108"/>
      <c r="S159" s="109"/>
      <c r="T159" s="109"/>
      <c r="U159" s="100"/>
      <c r="V159" s="142"/>
      <c r="W159" s="142"/>
      <c r="X159" s="100"/>
      <c r="Y159" s="100"/>
      <c r="Z159" s="100"/>
      <c r="AA159" s="142"/>
      <c r="AB159" s="142"/>
      <c r="AC159" s="100"/>
      <c r="AD159" s="109"/>
      <c r="AE159" s="109"/>
      <c r="AF159" s="109"/>
      <c r="AG159" s="109"/>
      <c r="AH159" s="108"/>
      <c r="AI159" s="109"/>
      <c r="AJ159" s="100"/>
      <c r="AK159" s="100"/>
      <c r="AL159" s="75"/>
      <c r="AM159" s="100"/>
      <c r="AN159" s="75"/>
      <c r="AO159" s="100"/>
      <c r="AP159" s="107"/>
      <c r="AQ159" s="100"/>
      <c r="AR159" s="75"/>
      <c r="AS159" s="111"/>
      <c r="AT159" s="75"/>
      <c r="AU159" s="431"/>
      <c r="AV159" s="111"/>
    </row>
    <row r="160" spans="1:48" ht="16.3">
      <c r="A160" s="246" t="s">
        <v>5</v>
      </c>
      <c r="B160" s="266">
        <f>SUM(L160+M160+N160+O160+P160+U160+X160+Y160+Z160+AC160+AK160+AL160+AK160+AO160+AR160+AS160+AU160+AV160+AW160+AX160)</f>
        <v>0</v>
      </c>
      <c r="C160" s="215">
        <f>SUM(L160+M160+N160+O160+P160+U160+Y160+Z160+X160+AC160+AL160+AK160+AL160+AP160+AS160+AO160+AV160+AW160+AX160+AY160+AR160+AU160)+1</f>
        <v>1</v>
      </c>
      <c r="D160" s="133"/>
      <c r="E160" s="134"/>
      <c r="F160" s="135"/>
      <c r="G160" s="136"/>
      <c r="H160" s="683"/>
      <c r="I160" s="676"/>
      <c r="J160" s="96"/>
      <c r="K160" s="96"/>
      <c r="L160" s="104"/>
      <c r="M160" s="75"/>
      <c r="N160" s="75"/>
      <c r="O160" s="100"/>
      <c r="P160" s="100"/>
      <c r="Q160" s="108"/>
      <c r="R160" s="108"/>
      <c r="S160" s="109"/>
      <c r="T160" s="109"/>
      <c r="U160" s="100"/>
      <c r="V160" s="142"/>
      <c r="W160" s="142"/>
      <c r="X160" s="100"/>
      <c r="Y160" s="100"/>
      <c r="Z160" s="100"/>
      <c r="AA160" s="142"/>
      <c r="AB160" s="142"/>
      <c r="AC160" s="100"/>
      <c r="AD160" s="109"/>
      <c r="AE160" s="109"/>
      <c r="AF160" s="109"/>
      <c r="AG160" s="109"/>
      <c r="AH160" s="108"/>
      <c r="AI160" s="109"/>
      <c r="AJ160" s="100"/>
      <c r="AK160" s="100"/>
      <c r="AL160" s="75"/>
      <c r="AM160" s="100"/>
      <c r="AN160" s="75"/>
      <c r="AO160" s="100"/>
      <c r="AP160" s="107"/>
      <c r="AQ160" s="100"/>
      <c r="AR160" s="75"/>
      <c r="AS160" s="111"/>
      <c r="AT160" s="75"/>
      <c r="AU160" s="431"/>
      <c r="AV160" s="111"/>
    </row>
    <row r="161" spans="1:48" ht="16.3">
      <c r="A161" s="246" t="s">
        <v>6</v>
      </c>
      <c r="B161" s="266">
        <f>SUM(L161+M161+N161+O161+P161+U161+X161+Y161+Z161+AC161+AK161+AL161+AK161+AO161+AR161+AS161+AU161+AV161+AW161+AX161)</f>
        <v>0</v>
      </c>
      <c r="C161" s="215">
        <f>SUM(L161+M161+N161+O161+P161+U161+Y161+Z161+X161+AC161+AL161+AK161+AL161+AP161+AS161+AO161+AV161+AW161+AX161+AY161+AR161+AU161)+1</f>
        <v>1</v>
      </c>
      <c r="D161" s="133"/>
      <c r="E161" s="134"/>
      <c r="F161" s="135"/>
      <c r="G161" s="136"/>
      <c r="H161" s="683"/>
      <c r="I161" s="676"/>
      <c r="J161" s="96"/>
      <c r="K161" s="96"/>
      <c r="L161" s="104"/>
      <c r="M161" s="75"/>
      <c r="N161" s="75"/>
      <c r="O161" s="100"/>
      <c r="P161" s="100"/>
      <c r="Q161" s="108"/>
      <c r="R161" s="108"/>
      <c r="S161" s="109"/>
      <c r="T161" s="109"/>
      <c r="U161" s="100"/>
      <c r="V161" s="142"/>
      <c r="W161" s="142"/>
      <c r="X161" s="100"/>
      <c r="Y161" s="100"/>
      <c r="Z161" s="100"/>
      <c r="AA161" s="142"/>
      <c r="AB161" s="142"/>
      <c r="AC161" s="100"/>
      <c r="AD161" s="109"/>
      <c r="AE161" s="109"/>
      <c r="AF161" s="109"/>
      <c r="AG161" s="109"/>
      <c r="AH161" s="108"/>
      <c r="AI161" s="109"/>
      <c r="AJ161" s="100"/>
      <c r="AK161" s="100"/>
      <c r="AL161" s="75"/>
      <c r="AM161" s="100"/>
      <c r="AN161" s="75"/>
      <c r="AO161" s="100"/>
      <c r="AP161" s="107"/>
      <c r="AQ161" s="100"/>
      <c r="AR161" s="75"/>
      <c r="AS161" s="111"/>
      <c r="AT161" s="75"/>
      <c r="AU161" s="431"/>
      <c r="AV161" s="111"/>
    </row>
    <row r="162" spans="1:48" ht="16.3">
      <c r="A162" s="246" t="s">
        <v>368</v>
      </c>
      <c r="B162" s="266">
        <v>0</v>
      </c>
      <c r="C162" s="215">
        <f>SUM(C160/C161)*100</f>
        <v>100</v>
      </c>
      <c r="D162" s="133"/>
      <c r="E162" s="134"/>
      <c r="F162" s="135"/>
      <c r="G162" s="136"/>
      <c r="H162" s="683"/>
      <c r="I162" s="676"/>
      <c r="J162" s="96"/>
      <c r="K162" s="96"/>
      <c r="L162" s="104"/>
      <c r="M162" s="75"/>
      <c r="N162" s="75"/>
      <c r="O162" s="100"/>
      <c r="P162" s="100"/>
      <c r="Q162" s="108"/>
      <c r="R162" s="108"/>
      <c r="S162" s="109"/>
      <c r="T162" s="109"/>
      <c r="U162" s="100"/>
      <c r="V162" s="142"/>
      <c r="W162" s="142"/>
      <c r="X162" s="100"/>
      <c r="Y162" s="100"/>
      <c r="Z162" s="100"/>
      <c r="AA162" s="142"/>
      <c r="AB162" s="142"/>
      <c r="AC162" s="100"/>
      <c r="AD162" s="109"/>
      <c r="AE162" s="109"/>
      <c r="AF162" s="109"/>
      <c r="AG162" s="109"/>
      <c r="AH162" s="108"/>
      <c r="AI162" s="109"/>
      <c r="AJ162" s="100"/>
      <c r="AK162" s="100"/>
      <c r="AL162" s="75"/>
      <c r="AM162" s="100"/>
      <c r="AN162" s="75"/>
      <c r="AO162" s="100"/>
      <c r="AP162" s="107"/>
      <c r="AQ162" s="100"/>
      <c r="AR162" s="75"/>
      <c r="AS162" s="111"/>
      <c r="AT162" s="75"/>
      <c r="AU162" s="431"/>
      <c r="AV162" s="111"/>
    </row>
    <row r="163" spans="1:48" ht="16.3">
      <c r="A163" s="83" t="s">
        <v>3</v>
      </c>
      <c r="B163" s="265">
        <f>SUM(L163+M163+N163+O163+P163+U163+X163+Y163+Z163+AC163+AK163+AL163+AK163+AO163+AR163+AS163+AU163+AV163+AW163+AX163)</f>
        <v>2</v>
      </c>
      <c r="C163" s="214">
        <f>SUM(L163+M163+N163+O163+P163+U163+Y163+Z163+X163+AC163+AL163+AK163+AL163+AP163+AS163+AO163+AV163+AW163+AX163+AY163+AR163+AU163)+6</f>
        <v>8</v>
      </c>
      <c r="D163" s="133"/>
      <c r="E163" s="134"/>
      <c r="F163" s="135"/>
      <c r="G163" s="136"/>
      <c r="H163" s="683"/>
      <c r="I163" s="676"/>
      <c r="J163" s="96"/>
      <c r="K163" s="96">
        <v>1</v>
      </c>
      <c r="L163" s="104"/>
      <c r="M163" s="75"/>
      <c r="N163" s="75"/>
      <c r="O163" s="100"/>
      <c r="P163" s="100"/>
      <c r="Q163" s="108"/>
      <c r="R163" s="108"/>
      <c r="S163" s="109"/>
      <c r="T163" s="109"/>
      <c r="U163" s="100"/>
      <c r="V163" s="142"/>
      <c r="W163" s="142"/>
      <c r="X163" s="100">
        <v>1</v>
      </c>
      <c r="Y163" s="100">
        <v>1</v>
      </c>
      <c r="Z163" s="100"/>
      <c r="AA163" s="142"/>
      <c r="AB163" s="142"/>
      <c r="AC163" s="100"/>
      <c r="AD163" s="109"/>
      <c r="AE163" s="109"/>
      <c r="AF163" s="109"/>
      <c r="AG163" s="109"/>
      <c r="AH163" s="108"/>
      <c r="AI163" s="109"/>
      <c r="AJ163" s="100"/>
      <c r="AK163" s="100"/>
      <c r="AL163" s="75"/>
      <c r="AM163" s="100"/>
      <c r="AN163" s="75"/>
      <c r="AO163" s="100"/>
      <c r="AP163" s="107"/>
      <c r="AQ163" s="100"/>
      <c r="AR163" s="75"/>
      <c r="AS163" s="111"/>
      <c r="AT163" s="75"/>
      <c r="AU163" s="431"/>
      <c r="AV163" s="111"/>
    </row>
    <row r="164" spans="1:48" ht="17" thickBot="1">
      <c r="A164" s="85" t="s">
        <v>4</v>
      </c>
      <c r="B164" s="268">
        <f>SUM(L164+M164+N164+O164+P164+U164+X164+Y164+Z164+AC164+AK164+AL164+AK164+AO164+AR164+AS164+AU164+AV164+AW164+AX164)</f>
        <v>10</v>
      </c>
      <c r="C164" s="217">
        <f>SUM(L164+M164+N164+O164+P164+U164+Y164+Z164+X164+AC164+AL164+AK164+AL164+AP164+AS164+AO164+AV164+AW164+AX164+AY164+AR164+AU164)+32</f>
        <v>42</v>
      </c>
      <c r="D164" s="144"/>
      <c r="E164" s="145"/>
      <c r="F164" s="146"/>
      <c r="G164" s="147"/>
      <c r="H164" s="684"/>
      <c r="I164" s="677"/>
      <c r="J164" s="114"/>
      <c r="K164" s="114">
        <v>5</v>
      </c>
      <c r="L164" s="113"/>
      <c r="M164" s="112"/>
      <c r="N164" s="112"/>
      <c r="O164" s="116"/>
      <c r="P164" s="116"/>
      <c r="Q164" s="117"/>
      <c r="R164" s="117"/>
      <c r="S164" s="118"/>
      <c r="T164" s="118"/>
      <c r="U164" s="116"/>
      <c r="V164" s="149"/>
      <c r="W164" s="149"/>
      <c r="X164" s="116">
        <v>5</v>
      </c>
      <c r="Y164" s="116">
        <v>5</v>
      </c>
      <c r="Z164" s="116"/>
      <c r="AA164" s="149"/>
      <c r="AB164" s="149"/>
      <c r="AC164" s="116"/>
      <c r="AD164" s="118"/>
      <c r="AE164" s="118"/>
      <c r="AF164" s="118"/>
      <c r="AG164" s="118"/>
      <c r="AH164" s="117"/>
      <c r="AI164" s="118"/>
      <c r="AJ164" s="116"/>
      <c r="AK164" s="116"/>
      <c r="AL164" s="112"/>
      <c r="AM164" s="116"/>
      <c r="AN164" s="112"/>
      <c r="AO164" s="116"/>
      <c r="AP164" s="130"/>
      <c r="AQ164" s="116"/>
      <c r="AR164" s="112"/>
      <c r="AS164" s="121"/>
      <c r="AT164" s="112"/>
      <c r="AU164" s="432"/>
      <c r="AV164" s="121"/>
    </row>
    <row r="165" spans="1:48" ht="21.1">
      <c r="A165" s="82" t="s">
        <v>65</v>
      </c>
      <c r="B165" s="265"/>
      <c r="C165" s="214"/>
      <c r="D165" s="133"/>
      <c r="E165" s="134"/>
      <c r="F165" s="135"/>
      <c r="G165" s="136"/>
      <c r="H165" s="683"/>
      <c r="I165" s="676"/>
      <c r="J165" s="96" t="s">
        <v>432</v>
      </c>
      <c r="K165" s="96" t="s">
        <v>393</v>
      </c>
      <c r="L165" s="104" t="s">
        <v>375</v>
      </c>
      <c r="M165" s="75" t="s">
        <v>375</v>
      </c>
      <c r="N165" s="75" t="s">
        <v>393</v>
      </c>
      <c r="O165" s="102" t="s">
        <v>375</v>
      </c>
      <c r="P165" s="102" t="s">
        <v>375</v>
      </c>
      <c r="Q165" s="98"/>
      <c r="R165" s="98"/>
      <c r="S165" s="99" t="s">
        <v>378</v>
      </c>
      <c r="T165" s="99" t="s">
        <v>375</v>
      </c>
      <c r="U165" s="102">
        <v>9</v>
      </c>
      <c r="V165" s="138" t="s">
        <v>378</v>
      </c>
      <c r="W165" s="138" t="s">
        <v>378</v>
      </c>
      <c r="X165" s="102" t="s">
        <v>393</v>
      </c>
      <c r="Y165" s="102" t="s">
        <v>393</v>
      </c>
      <c r="Z165" s="102" t="s">
        <v>375</v>
      </c>
      <c r="AA165" s="138">
        <v>9</v>
      </c>
      <c r="AB165" s="138" t="s">
        <v>375</v>
      </c>
      <c r="AC165" s="102">
        <v>9</v>
      </c>
      <c r="AD165" s="99"/>
      <c r="AE165" s="99" t="s">
        <v>375</v>
      </c>
      <c r="AF165" s="99" t="s">
        <v>378</v>
      </c>
      <c r="AG165" s="99" t="s">
        <v>375</v>
      </c>
      <c r="AH165" s="98"/>
      <c r="AI165" s="99" t="s">
        <v>375</v>
      </c>
      <c r="AJ165" s="102"/>
      <c r="AK165" s="102"/>
      <c r="AL165" s="122"/>
      <c r="AM165" s="102"/>
      <c r="AN165" s="122"/>
      <c r="AO165" s="102"/>
      <c r="AP165" s="131"/>
      <c r="AQ165" s="102"/>
      <c r="AR165" s="122"/>
      <c r="AS165" s="103"/>
      <c r="AT165" s="122"/>
      <c r="AU165" s="430"/>
      <c r="AV165" s="103"/>
    </row>
    <row r="166" spans="1:48" ht="16.3">
      <c r="A166" s="246" t="s">
        <v>1</v>
      </c>
      <c r="B166" s="266">
        <f>SUM(L166+M166+N166+O166+P166+U166+X166+Y166+Z166+AC166+AK166+AL166+AK166+AO166+AR166+AS166+AU166+AV166+AW166+AX166)</f>
        <v>2</v>
      </c>
      <c r="C166" s="215">
        <f>SUM(L166+M166+N166+O166+P166+U166+Y166+Z166+X166+AC166+AL166+AK166+AL166+AP166+AS166+AO166+AV166+AW166+AX166+AY166+AR166+AU166)+21</f>
        <v>23</v>
      </c>
      <c r="D166" s="139"/>
      <c r="E166" s="140"/>
      <c r="F166" s="169"/>
      <c r="G166" s="170"/>
      <c r="H166" s="685"/>
      <c r="I166" s="678"/>
      <c r="J166" s="96"/>
      <c r="K166" s="96"/>
      <c r="L166" s="104"/>
      <c r="M166" s="75"/>
      <c r="N166" s="75"/>
      <c r="O166" s="75"/>
      <c r="P166" s="75"/>
      <c r="Q166" s="105"/>
      <c r="R166" s="105"/>
      <c r="S166" s="96">
        <v>1</v>
      </c>
      <c r="T166" s="96"/>
      <c r="U166" s="75">
        <v>1</v>
      </c>
      <c r="V166" s="141">
        <v>1</v>
      </c>
      <c r="W166" s="141">
        <v>1</v>
      </c>
      <c r="X166" s="75"/>
      <c r="Y166" s="75"/>
      <c r="Z166" s="75"/>
      <c r="AA166" s="141">
        <v>1</v>
      </c>
      <c r="AB166" s="141"/>
      <c r="AC166" s="75">
        <v>1</v>
      </c>
      <c r="AD166" s="96"/>
      <c r="AE166" s="96"/>
      <c r="AF166" s="96">
        <v>1</v>
      </c>
      <c r="AG166" s="96"/>
      <c r="AH166" s="105"/>
      <c r="AI166" s="96"/>
      <c r="AJ166" s="75"/>
      <c r="AK166" s="75"/>
      <c r="AL166" s="75"/>
      <c r="AM166" s="75"/>
      <c r="AN166" s="75"/>
      <c r="AO166" s="75"/>
      <c r="AP166" s="107"/>
      <c r="AQ166" s="75"/>
      <c r="AR166" s="75"/>
      <c r="AS166" s="107"/>
      <c r="AT166" s="75"/>
      <c r="AU166" s="431"/>
      <c r="AV166" s="107"/>
    </row>
    <row r="167" spans="1:48" ht="16.3">
      <c r="A167" s="246" t="s">
        <v>2</v>
      </c>
      <c r="B167" s="266">
        <f>SUM(L167+M167+N167+O167+P167+U167+X167+Y167+Z167+AC167+AK167+AL167+AK167+AO167+AR167+AS167+AU167+AV167+AW167+AX167)</f>
        <v>5</v>
      </c>
      <c r="C167" s="215">
        <f>SUM(L167+M167+N167+O167+P167+U167+Y167+Z167+X167+AC167+AL167+AK167+AL167+AP167+AS167+AO167+AV167+AW167+AX167+AY167+AR167+AU167)+39</f>
        <v>44</v>
      </c>
      <c r="D167" s="139"/>
      <c r="E167" s="140"/>
      <c r="F167" s="169"/>
      <c r="G167" s="170"/>
      <c r="H167" s="685"/>
      <c r="I167" s="678"/>
      <c r="J167" s="96">
        <v>1</v>
      </c>
      <c r="K167" s="96"/>
      <c r="L167" s="104">
        <v>1</v>
      </c>
      <c r="M167" s="75">
        <v>1</v>
      </c>
      <c r="N167" s="75"/>
      <c r="O167" s="100">
        <v>1</v>
      </c>
      <c r="P167" s="100">
        <v>1</v>
      </c>
      <c r="Q167" s="108"/>
      <c r="R167" s="108"/>
      <c r="S167" s="109"/>
      <c r="T167" s="109">
        <v>1</v>
      </c>
      <c r="U167" s="100"/>
      <c r="V167" s="142"/>
      <c r="W167" s="142"/>
      <c r="X167" s="100"/>
      <c r="Y167" s="100"/>
      <c r="Z167" s="100">
        <v>1</v>
      </c>
      <c r="AA167" s="142"/>
      <c r="AB167" s="142">
        <v>1</v>
      </c>
      <c r="AC167" s="100"/>
      <c r="AD167" s="109"/>
      <c r="AE167" s="109">
        <v>1</v>
      </c>
      <c r="AF167" s="109"/>
      <c r="AG167" s="109">
        <v>1</v>
      </c>
      <c r="AH167" s="108"/>
      <c r="AI167" s="109">
        <v>1</v>
      </c>
      <c r="AJ167" s="100"/>
      <c r="AK167" s="100"/>
      <c r="AL167" s="75"/>
      <c r="AM167" s="100"/>
      <c r="AN167" s="75"/>
      <c r="AO167" s="100"/>
      <c r="AP167" s="107"/>
      <c r="AQ167" s="100"/>
      <c r="AR167" s="75"/>
      <c r="AS167" s="111"/>
      <c r="AT167" s="75"/>
      <c r="AU167" s="431"/>
      <c r="AV167" s="111"/>
    </row>
    <row r="168" spans="1:48" ht="16.3">
      <c r="A168" s="87" t="s">
        <v>363</v>
      </c>
      <c r="B168" s="265">
        <f>SUM(B166+B167)</f>
        <v>7</v>
      </c>
      <c r="C168" s="214">
        <f>SUM(C166+C167)</f>
        <v>67</v>
      </c>
      <c r="D168" s="133"/>
      <c r="E168" s="134"/>
      <c r="F168" s="135"/>
      <c r="G168" s="136"/>
      <c r="H168" s="683"/>
      <c r="I168" s="676"/>
      <c r="J168" s="96"/>
      <c r="K168" s="96"/>
      <c r="L168" s="104"/>
      <c r="M168" s="75"/>
      <c r="N168" s="75"/>
      <c r="O168" s="100"/>
      <c r="P168" s="100"/>
      <c r="Q168" s="108"/>
      <c r="R168" s="108"/>
      <c r="S168" s="109"/>
      <c r="T168" s="109"/>
      <c r="U168" s="100"/>
      <c r="V168" s="142"/>
      <c r="W168" s="142"/>
      <c r="X168" s="100"/>
      <c r="Y168" s="100"/>
      <c r="Z168" s="100"/>
      <c r="AA168" s="142"/>
      <c r="AB168" s="142"/>
      <c r="AC168" s="100"/>
      <c r="AD168" s="109"/>
      <c r="AE168" s="109"/>
      <c r="AF168" s="109"/>
      <c r="AG168" s="109"/>
      <c r="AH168" s="108"/>
      <c r="AI168" s="109"/>
      <c r="AJ168" s="100"/>
      <c r="AK168" s="100"/>
      <c r="AL168" s="75"/>
      <c r="AM168" s="100"/>
      <c r="AN168" s="75"/>
      <c r="AO168" s="100"/>
      <c r="AP168" s="107"/>
      <c r="AQ168" s="100"/>
      <c r="AR168" s="75"/>
      <c r="AS168" s="111"/>
      <c r="AT168" s="75"/>
      <c r="AU168" s="431"/>
      <c r="AV168" s="111"/>
    </row>
    <row r="169" spans="1:48" ht="16.3">
      <c r="A169" s="83" t="s">
        <v>3</v>
      </c>
      <c r="B169" s="265">
        <f>SUM(L169+M169+N169+O169+P169+U169+X169+Y169+Z169+AC169+AK169+AL169+AK169+AO169+AR169+AS169+AU169+AV169+AW169+AX169)</f>
        <v>0</v>
      </c>
      <c r="C169" s="214">
        <f>SUM(L169+M169+N169+O169+P169+U169+Y169+Z169+X169+AC169+AL169+AK169+AL169+AP169+AS169+AO169+AV169+AW169+AX169+AY169+AR169+AU169)+10</f>
        <v>10</v>
      </c>
      <c r="D169" s="133"/>
      <c r="E169" s="134"/>
      <c r="F169" s="135"/>
      <c r="G169" s="136"/>
      <c r="H169" s="683"/>
      <c r="I169" s="676"/>
      <c r="J169" s="96"/>
      <c r="K169" s="96"/>
      <c r="L169" s="104"/>
      <c r="M169" s="75"/>
      <c r="N169" s="75"/>
      <c r="O169" s="100"/>
      <c r="P169" s="100"/>
      <c r="Q169" s="108"/>
      <c r="R169" s="108"/>
      <c r="S169" s="109"/>
      <c r="T169" s="109"/>
      <c r="U169" s="100"/>
      <c r="V169" s="142"/>
      <c r="W169" s="142"/>
      <c r="X169" s="100"/>
      <c r="Y169" s="100"/>
      <c r="Z169" s="100"/>
      <c r="AA169" s="142"/>
      <c r="AB169" s="142"/>
      <c r="AC169" s="100"/>
      <c r="AD169" s="109"/>
      <c r="AE169" s="109"/>
      <c r="AF169" s="109"/>
      <c r="AG169" s="109"/>
      <c r="AH169" s="108"/>
      <c r="AI169" s="109"/>
      <c r="AJ169" s="100"/>
      <c r="AK169" s="100"/>
      <c r="AL169" s="75"/>
      <c r="AM169" s="100"/>
      <c r="AN169" s="75"/>
      <c r="AO169" s="100"/>
      <c r="AP169" s="107"/>
      <c r="AQ169" s="100"/>
      <c r="AR169" s="75"/>
      <c r="AS169" s="111"/>
      <c r="AT169" s="75"/>
      <c r="AU169" s="431"/>
      <c r="AV169" s="111"/>
    </row>
    <row r="170" spans="1:48" ht="17" thickBot="1">
      <c r="A170" s="85" t="s">
        <v>4</v>
      </c>
      <c r="B170" s="268">
        <f>SUM(L170+M170+N170+O170+P170+U170+X170+Y170+Z170+AC170+AK170+AL170+AK170+AO170+AR170+AS170+AU170+AV170+AW170+AX170)</f>
        <v>0</v>
      </c>
      <c r="C170" s="217">
        <f>SUM(L170+M170+N170+O170+P170+U170+Y170+Z170+X170+AC170+AL170+AK170+AL170+AP170+AS170+AO170+AV170+AW170+AX170+AY170+AR170+AU170)+50</f>
        <v>50</v>
      </c>
      <c r="D170" s="144"/>
      <c r="E170" s="145"/>
      <c r="F170" s="146"/>
      <c r="G170" s="147"/>
      <c r="H170" s="684"/>
      <c r="I170" s="677"/>
      <c r="J170" s="114"/>
      <c r="K170" s="114"/>
      <c r="L170" s="113"/>
      <c r="M170" s="112"/>
      <c r="N170" s="112"/>
      <c r="O170" s="116"/>
      <c r="P170" s="116"/>
      <c r="Q170" s="117"/>
      <c r="R170" s="117"/>
      <c r="S170" s="118"/>
      <c r="T170" s="118"/>
      <c r="U170" s="116"/>
      <c r="V170" s="149"/>
      <c r="W170" s="149"/>
      <c r="X170" s="116"/>
      <c r="Y170" s="116"/>
      <c r="Z170" s="116"/>
      <c r="AA170" s="149"/>
      <c r="AB170" s="149"/>
      <c r="AC170" s="116"/>
      <c r="AD170" s="118"/>
      <c r="AE170" s="118"/>
      <c r="AF170" s="118"/>
      <c r="AG170" s="118"/>
      <c r="AH170" s="117"/>
      <c r="AI170" s="118"/>
      <c r="AJ170" s="116"/>
      <c r="AK170" s="116"/>
      <c r="AL170" s="112"/>
      <c r="AM170" s="116"/>
      <c r="AN170" s="112"/>
      <c r="AO170" s="116"/>
      <c r="AP170" s="130"/>
      <c r="AQ170" s="116"/>
      <c r="AR170" s="112"/>
      <c r="AS170" s="121"/>
      <c r="AT170" s="112"/>
      <c r="AU170" s="432"/>
      <c r="AV170" s="121"/>
    </row>
    <row r="171" spans="1:48" ht="21.1">
      <c r="A171" s="82" t="s">
        <v>137</v>
      </c>
      <c r="B171" s="265"/>
      <c r="C171" s="214"/>
      <c r="D171" s="133"/>
      <c r="E171" s="134"/>
      <c r="F171" s="135"/>
      <c r="G171" s="136"/>
      <c r="H171" s="683"/>
      <c r="I171" s="676"/>
      <c r="J171" s="96"/>
      <c r="K171" s="96"/>
      <c r="L171" s="104"/>
      <c r="M171" s="75"/>
      <c r="N171" s="75"/>
      <c r="O171" s="100"/>
      <c r="P171" s="100"/>
      <c r="Q171" s="108"/>
      <c r="R171" s="108"/>
      <c r="S171" s="109" t="s">
        <v>375</v>
      </c>
      <c r="T171" s="109" t="s">
        <v>378</v>
      </c>
      <c r="U171" s="100" t="s">
        <v>393</v>
      </c>
      <c r="V171" s="142" t="s">
        <v>375</v>
      </c>
      <c r="W171" s="142" t="s">
        <v>375</v>
      </c>
      <c r="X171" s="100"/>
      <c r="Y171" s="100"/>
      <c r="Z171" s="100"/>
      <c r="AA171" s="142" t="s">
        <v>393</v>
      </c>
      <c r="AB171" s="142"/>
      <c r="AC171" s="100" t="s">
        <v>393</v>
      </c>
      <c r="AD171" s="109" t="s">
        <v>378</v>
      </c>
      <c r="AE171" s="109" t="s">
        <v>378</v>
      </c>
      <c r="AF171" s="109" t="s">
        <v>375</v>
      </c>
      <c r="AG171" s="109" t="s">
        <v>378</v>
      </c>
      <c r="AH171" s="108"/>
      <c r="AI171" s="109" t="s">
        <v>378</v>
      </c>
      <c r="AJ171" s="100"/>
      <c r="AK171" s="100"/>
      <c r="AL171" s="75"/>
      <c r="AM171" s="100"/>
      <c r="AN171" s="75"/>
      <c r="AO171" s="100"/>
      <c r="AP171" s="107"/>
      <c r="AQ171" s="100"/>
      <c r="AR171" s="75"/>
      <c r="AS171" s="111"/>
      <c r="AT171" s="75"/>
      <c r="AU171" s="431"/>
      <c r="AV171" s="111"/>
    </row>
    <row r="172" spans="1:48" ht="16.3">
      <c r="A172" s="246" t="s">
        <v>1</v>
      </c>
      <c r="B172" s="266">
        <f>SUM(L172+M172+N172+O172+P172+U172+X172+Y172+Z172+AC172+AK172+AL172+AK172+AO172+AR172+AS172+AU172+AV172+AW172+AX172)+14</f>
        <v>14</v>
      </c>
      <c r="C172" s="215">
        <f>SUM(L172+M172+N172+O172+P172+U172+Y172+Z172+X172+AC172+AL172+AK172+AL172+AP172+AS172+AO172+AV172+AW172+AX172+AY172+AR172+AU172)+14</f>
        <v>14</v>
      </c>
      <c r="D172" s="133"/>
      <c r="E172" s="134"/>
      <c r="F172" s="135"/>
      <c r="G172" s="136"/>
      <c r="H172" s="683"/>
      <c r="I172" s="676"/>
      <c r="J172" s="96"/>
      <c r="K172" s="96"/>
      <c r="L172" s="104"/>
      <c r="M172" s="75"/>
      <c r="N172" s="75"/>
      <c r="O172" s="100"/>
      <c r="P172" s="100"/>
      <c r="Q172" s="108"/>
      <c r="R172" s="108"/>
      <c r="S172" s="109"/>
      <c r="T172" s="109">
        <v>1</v>
      </c>
      <c r="U172" s="100"/>
      <c r="V172" s="142"/>
      <c r="W172" s="142"/>
      <c r="X172" s="100"/>
      <c r="Y172" s="100"/>
      <c r="Z172" s="100"/>
      <c r="AA172" s="142"/>
      <c r="AB172" s="142"/>
      <c r="AC172" s="100"/>
      <c r="AD172" s="109">
        <v>1</v>
      </c>
      <c r="AE172" s="109">
        <v>1</v>
      </c>
      <c r="AF172" s="109"/>
      <c r="AG172" s="109">
        <v>1</v>
      </c>
      <c r="AH172" s="108"/>
      <c r="AI172" s="109">
        <v>1</v>
      </c>
      <c r="AJ172" s="100"/>
      <c r="AK172" s="100"/>
      <c r="AL172" s="75"/>
      <c r="AM172" s="100"/>
      <c r="AN172" s="75"/>
      <c r="AO172" s="100"/>
      <c r="AP172" s="107"/>
      <c r="AQ172" s="100"/>
      <c r="AR172" s="75"/>
      <c r="AS172" s="111"/>
      <c r="AT172" s="75"/>
      <c r="AU172" s="431"/>
      <c r="AV172" s="111"/>
    </row>
    <row r="173" spans="1:48" ht="16.3">
      <c r="A173" s="246" t="s">
        <v>2</v>
      </c>
      <c r="B173" s="266">
        <f>SUM(L173+M173+N173+O173+P173+U173+X173+Y173+Z173+AC173+AK173+AL173+AK173+AO173+AR173+AS173+AU173+AV173+AW173+AX173)+17</f>
        <v>17</v>
      </c>
      <c r="C173" s="215">
        <f>SUM(L173+M173+N173+O173+P173+U173+Y173+Z173+X173+AC173+AL173+AK173+AL173+AP173+AS173+AO173+AV173+AW173+AX173+AY173+AR173+AU173)+17</f>
        <v>17</v>
      </c>
      <c r="D173" s="133"/>
      <c r="E173" s="134"/>
      <c r="F173" s="135"/>
      <c r="G173" s="136"/>
      <c r="H173" s="683"/>
      <c r="I173" s="676"/>
      <c r="J173" s="96"/>
      <c r="K173" s="96"/>
      <c r="L173" s="104"/>
      <c r="M173" s="75"/>
      <c r="N173" s="75"/>
      <c r="O173" s="100"/>
      <c r="P173" s="100"/>
      <c r="Q173" s="108"/>
      <c r="R173" s="108"/>
      <c r="S173" s="109">
        <v>1</v>
      </c>
      <c r="T173" s="109"/>
      <c r="U173" s="100"/>
      <c r="V173" s="142">
        <v>1</v>
      </c>
      <c r="W173" s="142">
        <v>1</v>
      </c>
      <c r="X173" s="100"/>
      <c r="Y173" s="100"/>
      <c r="Z173" s="100"/>
      <c r="AA173" s="142"/>
      <c r="AB173" s="142"/>
      <c r="AC173" s="100"/>
      <c r="AD173" s="109"/>
      <c r="AE173" s="109"/>
      <c r="AF173" s="109">
        <v>1</v>
      </c>
      <c r="AG173" s="109"/>
      <c r="AH173" s="108"/>
      <c r="AI173" s="109"/>
      <c r="AJ173" s="100"/>
      <c r="AK173" s="100"/>
      <c r="AL173" s="75"/>
      <c r="AM173" s="100"/>
      <c r="AN173" s="75"/>
      <c r="AO173" s="100"/>
      <c r="AP173" s="107"/>
      <c r="AQ173" s="100"/>
      <c r="AR173" s="75"/>
      <c r="AS173" s="111"/>
      <c r="AT173" s="75"/>
      <c r="AU173" s="431"/>
      <c r="AV173" s="111"/>
    </row>
    <row r="174" spans="1:48" ht="16.3">
      <c r="A174" s="83" t="s">
        <v>363</v>
      </c>
      <c r="B174" s="265">
        <f>SUM(B172+B173)</f>
        <v>31</v>
      </c>
      <c r="C174" s="214">
        <f>SUM(C172+C173)</f>
        <v>31</v>
      </c>
      <c r="D174" s="133"/>
      <c r="E174" s="134"/>
      <c r="F174" s="135"/>
      <c r="G174" s="136"/>
      <c r="H174" s="683"/>
      <c r="I174" s="676"/>
      <c r="J174" s="96"/>
      <c r="K174" s="96"/>
      <c r="L174" s="104"/>
      <c r="M174" s="75"/>
      <c r="N174" s="75"/>
      <c r="O174" s="100"/>
      <c r="P174" s="100"/>
      <c r="Q174" s="108"/>
      <c r="R174" s="108"/>
      <c r="S174" s="109"/>
      <c r="T174" s="109"/>
      <c r="U174" s="100"/>
      <c r="V174" s="142"/>
      <c r="W174" s="142"/>
      <c r="X174" s="100"/>
      <c r="Y174" s="100"/>
      <c r="Z174" s="100"/>
      <c r="AA174" s="142"/>
      <c r="AB174" s="142"/>
      <c r="AC174" s="100"/>
      <c r="AD174" s="109"/>
      <c r="AE174" s="109"/>
      <c r="AF174" s="109"/>
      <c r="AG174" s="109"/>
      <c r="AH174" s="108"/>
      <c r="AI174" s="109"/>
      <c r="AJ174" s="100"/>
      <c r="AK174" s="100"/>
      <c r="AL174" s="75"/>
      <c r="AM174" s="100"/>
      <c r="AN174" s="75"/>
      <c r="AO174" s="100"/>
      <c r="AP174" s="107"/>
      <c r="AQ174" s="100"/>
      <c r="AR174" s="75"/>
      <c r="AS174" s="111"/>
      <c r="AT174" s="75"/>
      <c r="AU174" s="431"/>
      <c r="AV174" s="111"/>
    </row>
    <row r="175" spans="1:48" ht="16.3">
      <c r="A175" s="83" t="s">
        <v>3</v>
      </c>
      <c r="B175" s="265">
        <f>SUM(L175+M175+N175+O175+P175+U175+X175+Y175+Z175+AC175+AK175+AL175+AK175+AO175+AR175+AS175+AU175+AV175+AW175+AX175)+1</f>
        <v>1</v>
      </c>
      <c r="C175" s="214">
        <f>SUM(L175+M175+N175+O175+P175+U175+Y175+Z175+X175+AC175+AL175+AK175+AL175+AP175+AS175+AO175+AV175+AW175+AX175+AY175+AR175+AU175)+1</f>
        <v>1</v>
      </c>
      <c r="D175" s="133"/>
      <c r="E175" s="134"/>
      <c r="F175" s="135"/>
      <c r="G175" s="136"/>
      <c r="H175" s="683"/>
      <c r="I175" s="676"/>
      <c r="J175" s="96"/>
      <c r="K175" s="96"/>
      <c r="L175" s="104"/>
      <c r="M175" s="75"/>
      <c r="N175" s="75"/>
      <c r="O175" s="100"/>
      <c r="P175" s="100"/>
      <c r="Q175" s="108"/>
      <c r="R175" s="108"/>
      <c r="S175" s="109"/>
      <c r="T175" s="109"/>
      <c r="U175" s="100"/>
      <c r="V175" s="142"/>
      <c r="W175" s="142"/>
      <c r="X175" s="100"/>
      <c r="Y175" s="100"/>
      <c r="Z175" s="100"/>
      <c r="AA175" s="142"/>
      <c r="AB175" s="142"/>
      <c r="AC175" s="100"/>
      <c r="AD175" s="109"/>
      <c r="AE175" s="109"/>
      <c r="AF175" s="109"/>
      <c r="AG175" s="109"/>
      <c r="AH175" s="108"/>
      <c r="AI175" s="109"/>
      <c r="AJ175" s="100"/>
      <c r="AK175" s="100"/>
      <c r="AL175" s="75"/>
      <c r="AM175" s="100"/>
      <c r="AN175" s="75"/>
      <c r="AO175" s="100"/>
      <c r="AP175" s="107"/>
      <c r="AQ175" s="100"/>
      <c r="AR175" s="75"/>
      <c r="AS175" s="111"/>
      <c r="AT175" s="75"/>
      <c r="AU175" s="431"/>
      <c r="AV175" s="111"/>
    </row>
    <row r="176" spans="1:48" ht="17" thickBot="1">
      <c r="A176" s="85" t="s">
        <v>4</v>
      </c>
      <c r="B176" s="268">
        <f>SUM(L176+M176+N176+O176+P176+U176+X176+Y176+Z176+AC176+AK176+AL176+AK176+AO176+AR176+AS176+AU176+AV176+AW176+AX176)+5</f>
        <v>5</v>
      </c>
      <c r="C176" s="217">
        <f>SUM(L176+M176+N176+O176+P176+U176+Y176+Z176+X176+AC176+AL176+AK176+AL176+AP176+AS176+AO176+AV176+AW176+AX176+AY176+AR176+AU176)+5</f>
        <v>5</v>
      </c>
      <c r="D176" s="144"/>
      <c r="E176" s="145"/>
      <c r="F176" s="146"/>
      <c r="G176" s="147"/>
      <c r="H176" s="684"/>
      <c r="I176" s="677"/>
      <c r="J176" s="114"/>
      <c r="K176" s="114"/>
      <c r="L176" s="113"/>
      <c r="M176" s="112"/>
      <c r="N176" s="112"/>
      <c r="O176" s="116"/>
      <c r="P176" s="116"/>
      <c r="Q176" s="117"/>
      <c r="R176" s="117"/>
      <c r="S176" s="118"/>
      <c r="T176" s="118"/>
      <c r="U176" s="116"/>
      <c r="V176" s="149"/>
      <c r="W176" s="149"/>
      <c r="X176" s="116"/>
      <c r="Y176" s="116"/>
      <c r="Z176" s="116"/>
      <c r="AA176" s="149"/>
      <c r="AB176" s="149"/>
      <c r="AC176" s="116"/>
      <c r="AD176" s="118"/>
      <c r="AE176" s="118"/>
      <c r="AF176" s="118"/>
      <c r="AG176" s="118"/>
      <c r="AH176" s="117"/>
      <c r="AI176" s="118"/>
      <c r="AJ176" s="116"/>
      <c r="AK176" s="116"/>
      <c r="AL176" s="112"/>
      <c r="AM176" s="116"/>
      <c r="AN176" s="112"/>
      <c r="AO176" s="116"/>
      <c r="AP176" s="130"/>
      <c r="AQ176" s="116"/>
      <c r="AR176" s="112"/>
      <c r="AS176" s="121"/>
      <c r="AT176" s="112"/>
      <c r="AU176" s="432"/>
      <c r="AV176" s="121"/>
    </row>
    <row r="177" spans="1:48" ht="21.1">
      <c r="A177" s="82" t="s">
        <v>999</v>
      </c>
      <c r="B177" s="265"/>
      <c r="C177" s="214"/>
      <c r="D177" s="133"/>
      <c r="E177" s="134"/>
      <c r="F177" s="135"/>
      <c r="G177" s="136"/>
      <c r="H177" s="683"/>
      <c r="I177" s="676"/>
      <c r="J177" s="96"/>
      <c r="K177" s="96"/>
      <c r="L177" s="104"/>
      <c r="M177" s="75"/>
      <c r="N177" s="75"/>
      <c r="O177" s="100"/>
      <c r="P177" s="100"/>
      <c r="Q177" s="108"/>
      <c r="R177" s="108"/>
      <c r="S177" s="109"/>
      <c r="T177" s="109"/>
      <c r="U177" s="100"/>
      <c r="V177" s="142"/>
      <c r="W177" s="142"/>
      <c r="X177" s="100"/>
      <c r="Y177" s="100"/>
      <c r="Z177" s="100"/>
      <c r="AA177" s="142"/>
      <c r="AB177" s="142" t="s">
        <v>984</v>
      </c>
      <c r="AC177" s="100" t="s">
        <v>984</v>
      </c>
      <c r="AD177" s="109" t="s">
        <v>432</v>
      </c>
      <c r="AE177" s="109"/>
      <c r="AF177" s="109"/>
      <c r="AG177" s="109"/>
      <c r="AH177" s="108"/>
      <c r="AI177" s="109"/>
      <c r="AJ177" s="100"/>
      <c r="AK177" s="100"/>
      <c r="AL177" s="75"/>
      <c r="AM177" s="100"/>
      <c r="AN177" s="75"/>
      <c r="AO177" s="100"/>
      <c r="AP177" s="107"/>
      <c r="AQ177" s="100"/>
      <c r="AR177" s="75"/>
      <c r="AS177" s="111"/>
      <c r="AT177" s="75"/>
      <c r="AU177" s="431"/>
      <c r="AV177" s="111"/>
    </row>
    <row r="178" spans="1:48" ht="16.3">
      <c r="A178" s="246" t="s">
        <v>1</v>
      </c>
      <c r="B178" s="266">
        <f>SUM(L178+M178+N178+O178+P178+U178+X178+Y178+Z178+AC178+AK178+AL178+AK178+AO178+AR178+AS178+AU178+AV178+AW178+AX178)</f>
        <v>0</v>
      </c>
      <c r="C178" s="215">
        <f>B178</f>
        <v>0</v>
      </c>
      <c r="D178" s="133"/>
      <c r="E178" s="134"/>
      <c r="F178" s="135"/>
      <c r="G178" s="136"/>
      <c r="H178" s="683"/>
      <c r="I178" s="676"/>
      <c r="J178" s="96"/>
      <c r="K178" s="96"/>
      <c r="L178" s="104"/>
      <c r="M178" s="75"/>
      <c r="N178" s="75"/>
      <c r="O178" s="100"/>
      <c r="P178" s="100"/>
      <c r="Q178" s="108"/>
      <c r="R178" s="108"/>
      <c r="S178" s="109"/>
      <c r="T178" s="109"/>
      <c r="U178" s="100"/>
      <c r="V178" s="142"/>
      <c r="W178" s="142"/>
      <c r="X178" s="100"/>
      <c r="Y178" s="100"/>
      <c r="Z178" s="100"/>
      <c r="AA178" s="142"/>
      <c r="AB178" s="142"/>
      <c r="AC178" s="100"/>
      <c r="AD178" s="109"/>
      <c r="AE178" s="109"/>
      <c r="AF178" s="109"/>
      <c r="AG178" s="109"/>
      <c r="AH178" s="108"/>
      <c r="AI178" s="109"/>
      <c r="AJ178" s="100"/>
      <c r="AK178" s="100"/>
      <c r="AL178" s="75"/>
      <c r="AM178" s="100"/>
      <c r="AN178" s="75"/>
      <c r="AO178" s="100"/>
      <c r="AP178" s="107"/>
      <c r="AQ178" s="100"/>
      <c r="AR178" s="75"/>
      <c r="AS178" s="111"/>
      <c r="AT178" s="75"/>
      <c r="AU178" s="431"/>
      <c r="AV178" s="111"/>
    </row>
    <row r="179" spans="1:48" ht="16.3">
      <c r="A179" s="246" t="s">
        <v>2</v>
      </c>
      <c r="B179" s="266">
        <f>SUM(L179+M179+N179+O179+P179+U179+X179+Y179+Z179+AC179+AK179+AL179+AK179+AO179+AR179+AS179+AU179+AV179+AW179+AX179)</f>
        <v>0</v>
      </c>
      <c r="C179" s="215">
        <f>B179</f>
        <v>0</v>
      </c>
      <c r="D179" s="133"/>
      <c r="E179" s="134"/>
      <c r="F179" s="135"/>
      <c r="G179" s="136"/>
      <c r="H179" s="683"/>
      <c r="I179" s="676"/>
      <c r="J179" s="96"/>
      <c r="K179" s="96"/>
      <c r="L179" s="104"/>
      <c r="M179" s="75"/>
      <c r="N179" s="75"/>
      <c r="O179" s="100"/>
      <c r="P179" s="100"/>
      <c r="Q179" s="108"/>
      <c r="R179" s="108"/>
      <c r="S179" s="109"/>
      <c r="T179" s="109"/>
      <c r="U179" s="100"/>
      <c r="V179" s="142"/>
      <c r="W179" s="142"/>
      <c r="X179" s="100"/>
      <c r="Y179" s="100"/>
      <c r="Z179" s="100"/>
      <c r="AA179" s="142"/>
      <c r="AB179" s="142"/>
      <c r="AC179" s="100"/>
      <c r="AD179" s="109">
        <v>1</v>
      </c>
      <c r="AE179" s="109"/>
      <c r="AF179" s="109"/>
      <c r="AG179" s="109"/>
      <c r="AH179" s="108"/>
      <c r="AI179" s="109"/>
      <c r="AJ179" s="100"/>
      <c r="AK179" s="100"/>
      <c r="AL179" s="75"/>
      <c r="AM179" s="100"/>
      <c r="AN179" s="75"/>
      <c r="AO179" s="100"/>
      <c r="AP179" s="107"/>
      <c r="AQ179" s="100"/>
      <c r="AR179" s="75"/>
      <c r="AS179" s="111"/>
      <c r="AT179" s="75"/>
      <c r="AU179" s="431"/>
      <c r="AV179" s="111"/>
    </row>
    <row r="180" spans="1:48" ht="16.3">
      <c r="A180" s="83" t="s">
        <v>363</v>
      </c>
      <c r="B180" s="265">
        <f>SUM(B178+B179)</f>
        <v>0</v>
      </c>
      <c r="C180" s="214">
        <f>SUM(C178+C179)</f>
        <v>0</v>
      </c>
      <c r="D180" s="133"/>
      <c r="E180" s="134"/>
      <c r="F180" s="135"/>
      <c r="G180" s="136"/>
      <c r="H180" s="683"/>
      <c r="I180" s="676"/>
      <c r="J180" s="96"/>
      <c r="K180" s="96"/>
      <c r="L180" s="104"/>
      <c r="M180" s="75"/>
      <c r="N180" s="75"/>
      <c r="O180" s="100"/>
      <c r="P180" s="100"/>
      <c r="Q180" s="108"/>
      <c r="R180" s="108"/>
      <c r="S180" s="109"/>
      <c r="T180" s="109"/>
      <c r="U180" s="100"/>
      <c r="V180" s="142"/>
      <c r="W180" s="142"/>
      <c r="X180" s="100"/>
      <c r="Y180" s="100"/>
      <c r="Z180" s="100"/>
      <c r="AA180" s="142"/>
      <c r="AB180" s="142"/>
      <c r="AC180" s="100"/>
      <c r="AD180" s="109"/>
      <c r="AE180" s="109"/>
      <c r="AF180" s="109"/>
      <c r="AG180" s="109"/>
      <c r="AH180" s="108"/>
      <c r="AI180" s="109"/>
      <c r="AJ180" s="100"/>
      <c r="AK180" s="100"/>
      <c r="AL180" s="75"/>
      <c r="AM180" s="100"/>
      <c r="AN180" s="75"/>
      <c r="AO180" s="100"/>
      <c r="AP180" s="107"/>
      <c r="AQ180" s="100"/>
      <c r="AR180" s="75"/>
      <c r="AS180" s="111"/>
      <c r="AT180" s="75"/>
      <c r="AU180" s="431"/>
      <c r="AV180" s="111"/>
    </row>
    <row r="181" spans="1:48" ht="16.3">
      <c r="A181" s="83" t="s">
        <v>3</v>
      </c>
      <c r="B181" s="265">
        <f>SUM(L181+M181+N181+O181+P181+U181+X181+Y181+Z181+AC181+AK181+AL181+AK181+AO181+AR181+AS181+AU181+AV181+AW181+AX181)</f>
        <v>0</v>
      </c>
      <c r="C181" s="214">
        <f t="shared" ref="C181:C182" si="4">B181</f>
        <v>0</v>
      </c>
      <c r="D181" s="133"/>
      <c r="E181" s="134"/>
      <c r="F181" s="135"/>
      <c r="G181" s="136"/>
      <c r="H181" s="683"/>
      <c r="I181" s="676"/>
      <c r="J181" s="96"/>
      <c r="K181" s="96"/>
      <c r="L181" s="104"/>
      <c r="M181" s="75"/>
      <c r="N181" s="75"/>
      <c r="O181" s="100"/>
      <c r="P181" s="100"/>
      <c r="Q181" s="108"/>
      <c r="R181" s="108"/>
      <c r="S181" s="109"/>
      <c r="T181" s="109"/>
      <c r="U181" s="100"/>
      <c r="V181" s="142"/>
      <c r="W181" s="142"/>
      <c r="X181" s="100"/>
      <c r="Y181" s="100"/>
      <c r="Z181" s="100"/>
      <c r="AA181" s="142"/>
      <c r="AB181" s="142"/>
      <c r="AC181" s="100"/>
      <c r="AD181" s="109"/>
      <c r="AE181" s="109"/>
      <c r="AF181" s="109"/>
      <c r="AG181" s="109"/>
      <c r="AH181" s="108"/>
      <c r="AI181" s="109"/>
      <c r="AJ181" s="100"/>
      <c r="AK181" s="100"/>
      <c r="AL181" s="75"/>
      <c r="AM181" s="100"/>
      <c r="AN181" s="75"/>
      <c r="AO181" s="100"/>
      <c r="AP181" s="107"/>
      <c r="AQ181" s="100"/>
      <c r="AR181" s="75"/>
      <c r="AS181" s="111"/>
      <c r="AT181" s="75"/>
      <c r="AU181" s="431"/>
      <c r="AV181" s="111"/>
    </row>
    <row r="182" spans="1:48" ht="17" thickBot="1">
      <c r="A182" s="85" t="s">
        <v>4</v>
      </c>
      <c r="B182" s="268">
        <f>SUM(L182+M182+N182+O182+P182+U182+X182+Y182+Z182+AC182+AK182+AL182+AK182+AO182+AR182+AS182+AU182+AV182+AW182+AX182)</f>
        <v>0</v>
      </c>
      <c r="C182" s="217">
        <f t="shared" si="4"/>
        <v>0</v>
      </c>
      <c r="D182" s="144"/>
      <c r="E182" s="145"/>
      <c r="F182" s="146"/>
      <c r="G182" s="147"/>
      <c r="H182" s="684"/>
      <c r="I182" s="677"/>
      <c r="J182" s="114"/>
      <c r="K182" s="114"/>
      <c r="L182" s="113"/>
      <c r="M182" s="112"/>
      <c r="N182" s="112"/>
      <c r="O182" s="116"/>
      <c r="P182" s="116"/>
      <c r="Q182" s="117"/>
      <c r="R182" s="117"/>
      <c r="S182" s="118"/>
      <c r="T182" s="118"/>
      <c r="U182" s="116"/>
      <c r="V182" s="149"/>
      <c r="W182" s="149"/>
      <c r="X182" s="116"/>
      <c r="Y182" s="116"/>
      <c r="Z182" s="116"/>
      <c r="AA182" s="149"/>
      <c r="AB182" s="149"/>
      <c r="AC182" s="116"/>
      <c r="AD182" s="118"/>
      <c r="AE182" s="118"/>
      <c r="AF182" s="118"/>
      <c r="AG182" s="118"/>
      <c r="AH182" s="117"/>
      <c r="AI182" s="118"/>
      <c r="AJ182" s="116"/>
      <c r="AK182" s="116"/>
      <c r="AL182" s="112"/>
      <c r="AM182" s="116"/>
      <c r="AN182" s="112"/>
      <c r="AO182" s="116"/>
      <c r="AP182" s="130"/>
      <c r="AQ182" s="116"/>
      <c r="AR182" s="112"/>
      <c r="AS182" s="121"/>
      <c r="AT182" s="112"/>
      <c r="AU182" s="432"/>
      <c r="AV182" s="121"/>
    </row>
    <row r="183" spans="1:48" ht="21.1">
      <c r="A183" s="82" t="s">
        <v>164</v>
      </c>
      <c r="B183" s="265"/>
      <c r="C183" s="214"/>
      <c r="D183" s="133"/>
      <c r="E183" s="134"/>
      <c r="F183" s="135"/>
      <c r="G183" s="136"/>
      <c r="H183" s="683"/>
      <c r="I183" s="676"/>
      <c r="J183" s="96" t="s">
        <v>339</v>
      </c>
      <c r="K183" s="96" t="s">
        <v>339</v>
      </c>
      <c r="L183" s="104" t="s">
        <v>339</v>
      </c>
      <c r="M183" s="75" t="s">
        <v>339</v>
      </c>
      <c r="N183" s="75" t="s">
        <v>339</v>
      </c>
      <c r="O183" s="75" t="s">
        <v>339</v>
      </c>
      <c r="P183" s="100" t="s">
        <v>369</v>
      </c>
      <c r="Q183" s="108"/>
      <c r="R183" s="108"/>
      <c r="S183" s="109" t="s">
        <v>790</v>
      </c>
      <c r="T183" s="109" t="s">
        <v>790</v>
      </c>
      <c r="U183" s="100" t="s">
        <v>375</v>
      </c>
      <c r="V183" s="142" t="s">
        <v>369</v>
      </c>
      <c r="W183" s="142"/>
      <c r="X183" s="100" t="s">
        <v>375</v>
      </c>
      <c r="Y183" s="100" t="s">
        <v>369</v>
      </c>
      <c r="Z183" s="100" t="s">
        <v>369</v>
      </c>
      <c r="AA183" s="142" t="s">
        <v>369</v>
      </c>
      <c r="AB183" s="142" t="s">
        <v>369</v>
      </c>
      <c r="AC183" s="100" t="s">
        <v>369</v>
      </c>
      <c r="AD183" s="109"/>
      <c r="AE183" s="109"/>
      <c r="AF183" s="109"/>
      <c r="AG183" s="109"/>
      <c r="AH183" s="108"/>
      <c r="AI183" s="109"/>
      <c r="AJ183" s="100"/>
      <c r="AK183" s="100"/>
      <c r="AL183" s="75"/>
      <c r="AM183" s="100"/>
      <c r="AN183" s="75"/>
      <c r="AO183" s="100"/>
      <c r="AP183" s="107"/>
      <c r="AQ183" s="100"/>
      <c r="AR183" s="75"/>
      <c r="AS183" s="111"/>
      <c r="AT183" s="75"/>
      <c r="AU183" s="431"/>
      <c r="AV183" s="111"/>
    </row>
    <row r="184" spans="1:48" ht="16.3">
      <c r="A184" s="246" t="s">
        <v>1</v>
      </c>
      <c r="B184" s="266">
        <f>SUM(L184+M184+N184+O184+P184+U184+X184+Y184+Z184+AC184+AK184+AL184+AK184+AO184+AR184+AS184+AU184+AV184+AW184+AX184)+36</f>
        <v>40</v>
      </c>
      <c r="C184" s="215">
        <f>SUM(L184+M184+N184+O184+P184+U184+Y184+Z184+X184+AC184+AL184+AK184+AL184+AP184+AS184+AO184+AV184+AW184+AX184+AY184+AR184+AU184)+36</f>
        <v>40</v>
      </c>
      <c r="D184" s="133"/>
      <c r="E184" s="134"/>
      <c r="F184" s="135"/>
      <c r="G184" s="136"/>
      <c r="H184" s="683"/>
      <c r="I184" s="676"/>
      <c r="J184" s="96"/>
      <c r="K184" s="96"/>
      <c r="L184" s="104"/>
      <c r="M184" s="75"/>
      <c r="N184" s="75"/>
      <c r="O184" s="75"/>
      <c r="P184" s="100">
        <v>1</v>
      </c>
      <c r="Q184" s="108"/>
      <c r="R184" s="108"/>
      <c r="S184" s="109"/>
      <c r="T184" s="109"/>
      <c r="U184" s="100"/>
      <c r="V184" s="142">
        <v>1</v>
      </c>
      <c r="W184" s="142"/>
      <c r="X184" s="100"/>
      <c r="Y184" s="100">
        <v>1</v>
      </c>
      <c r="Z184" s="100">
        <v>1</v>
      </c>
      <c r="AA184" s="142">
        <v>1</v>
      </c>
      <c r="AB184" s="142">
        <v>1</v>
      </c>
      <c r="AC184" s="100">
        <v>1</v>
      </c>
      <c r="AD184" s="109"/>
      <c r="AE184" s="109"/>
      <c r="AF184" s="109"/>
      <c r="AG184" s="109"/>
      <c r="AH184" s="108"/>
      <c r="AI184" s="109"/>
      <c r="AJ184" s="100"/>
      <c r="AK184" s="100"/>
      <c r="AL184" s="75"/>
      <c r="AM184" s="100"/>
      <c r="AN184" s="75"/>
      <c r="AO184" s="100"/>
      <c r="AP184" s="107"/>
      <c r="AQ184" s="100"/>
      <c r="AR184" s="75"/>
      <c r="AS184" s="111"/>
      <c r="AT184" s="75"/>
      <c r="AU184" s="431"/>
      <c r="AV184" s="111"/>
    </row>
    <row r="185" spans="1:48" ht="16.3">
      <c r="A185" s="246" t="s">
        <v>2</v>
      </c>
      <c r="B185" s="266">
        <f>SUM(L185+M185+N185+O185+P185+U185+X185+Y185+Z185+AC185+AK185+AL185+AK185+AO185+AR185+AS185+AU185+AV185+AW185+AX185)+6</f>
        <v>8</v>
      </c>
      <c r="C185" s="215">
        <f>SUM(L185+M185+N185+O185+P185+U185+Y185+Z185+X185+AC185+AL185+AK185+AL185+AP185+AS185+AO185+AV185+AW185+AX185+AY185+AR185+AU185)+6</f>
        <v>8</v>
      </c>
      <c r="D185" s="133"/>
      <c r="E185" s="134"/>
      <c r="F185" s="135"/>
      <c r="G185" s="136"/>
      <c r="H185" s="683"/>
      <c r="I185" s="676"/>
      <c r="J185" s="96"/>
      <c r="K185" s="96"/>
      <c r="L185" s="104"/>
      <c r="M185" s="75"/>
      <c r="N185" s="75"/>
      <c r="O185" s="75"/>
      <c r="P185" s="100"/>
      <c r="Q185" s="108"/>
      <c r="R185" s="108"/>
      <c r="S185" s="109"/>
      <c r="T185" s="109"/>
      <c r="U185" s="100">
        <v>1</v>
      </c>
      <c r="V185" s="142"/>
      <c r="W185" s="142"/>
      <c r="X185" s="100">
        <v>1</v>
      </c>
      <c r="Y185" s="100"/>
      <c r="Z185" s="100"/>
      <c r="AA185" s="142"/>
      <c r="AB185" s="142"/>
      <c r="AC185" s="100"/>
      <c r="AD185" s="109"/>
      <c r="AE185" s="109"/>
      <c r="AF185" s="109"/>
      <c r="AG185" s="109"/>
      <c r="AH185" s="108"/>
      <c r="AI185" s="109"/>
      <c r="AJ185" s="100"/>
      <c r="AK185" s="100"/>
      <c r="AL185" s="75"/>
      <c r="AM185" s="100"/>
      <c r="AN185" s="75"/>
      <c r="AO185" s="100"/>
      <c r="AP185" s="107"/>
      <c r="AQ185" s="100"/>
      <c r="AR185" s="75"/>
      <c r="AS185" s="111"/>
      <c r="AT185" s="75"/>
      <c r="AU185" s="431"/>
      <c r="AV185" s="111"/>
    </row>
    <row r="186" spans="1:48" ht="16.3">
      <c r="A186" s="83" t="s">
        <v>363</v>
      </c>
      <c r="B186" s="265">
        <f>SUM(B184+B185)</f>
        <v>48</v>
      </c>
      <c r="C186" s="214">
        <f>SUM(C184+C185)</f>
        <v>48</v>
      </c>
      <c r="D186" s="133"/>
      <c r="E186" s="134"/>
      <c r="F186" s="135"/>
      <c r="G186" s="136"/>
      <c r="H186" s="683"/>
      <c r="I186" s="676"/>
      <c r="J186" s="96"/>
      <c r="K186" s="96"/>
      <c r="L186" s="104"/>
      <c r="M186" s="75"/>
      <c r="N186" s="75"/>
      <c r="O186" s="75"/>
      <c r="P186" s="100"/>
      <c r="Q186" s="108"/>
      <c r="R186" s="108"/>
      <c r="S186" s="109"/>
      <c r="T186" s="109"/>
      <c r="U186" s="100"/>
      <c r="V186" s="142"/>
      <c r="W186" s="142"/>
      <c r="X186" s="100"/>
      <c r="Y186" s="100"/>
      <c r="Z186" s="100"/>
      <c r="AA186" s="142"/>
      <c r="AB186" s="142"/>
      <c r="AC186" s="100"/>
      <c r="AD186" s="109"/>
      <c r="AE186" s="109"/>
      <c r="AF186" s="109"/>
      <c r="AG186" s="109"/>
      <c r="AH186" s="108"/>
      <c r="AI186" s="109"/>
      <c r="AJ186" s="100"/>
      <c r="AK186" s="100"/>
      <c r="AL186" s="75"/>
      <c r="AM186" s="100"/>
      <c r="AN186" s="75"/>
      <c r="AO186" s="100"/>
      <c r="AP186" s="107"/>
      <c r="AQ186" s="100"/>
      <c r="AR186" s="75"/>
      <c r="AS186" s="111"/>
      <c r="AT186" s="75"/>
      <c r="AU186" s="431"/>
      <c r="AV186" s="111"/>
    </row>
    <row r="187" spans="1:48" ht="16.3">
      <c r="A187" s="246" t="s">
        <v>366</v>
      </c>
      <c r="B187" s="266">
        <f>SUM(L187+M187+N187+O187+P187+U187+X187+Y187+Z187+AC187+AK187+AL187+AK187+AO187+AR187+AS187+AU187+AV187+AW187+AX187)+3</f>
        <v>3</v>
      </c>
      <c r="C187" s="215">
        <f>SUM(L187+M187+N187+O187+P187+U187+Y187+Z187+X187+AC187+AL187+AK187+AL187+AP187+AS187+AO187+AV187+AW187+AX187+AY187+AR187+AU187)+3</f>
        <v>3</v>
      </c>
      <c r="D187" s="133"/>
      <c r="E187" s="134"/>
      <c r="F187" s="135"/>
      <c r="G187" s="136"/>
      <c r="H187" s="683"/>
      <c r="I187" s="676"/>
      <c r="J187" s="96"/>
      <c r="K187" s="96"/>
      <c r="L187" s="104"/>
      <c r="M187" s="75"/>
      <c r="N187" s="75"/>
      <c r="O187" s="75"/>
      <c r="P187" s="100"/>
      <c r="Q187" s="108"/>
      <c r="R187" s="108"/>
      <c r="S187" s="109"/>
      <c r="T187" s="109"/>
      <c r="U187" s="100"/>
      <c r="V187" s="142"/>
      <c r="W187" s="142"/>
      <c r="X187" s="100"/>
      <c r="Y187" s="100"/>
      <c r="Z187" s="100"/>
      <c r="AA187" s="142"/>
      <c r="AB187" s="142"/>
      <c r="AC187" s="100"/>
      <c r="AD187" s="109"/>
      <c r="AE187" s="109"/>
      <c r="AF187" s="109"/>
      <c r="AG187" s="109"/>
      <c r="AH187" s="108"/>
      <c r="AI187" s="109"/>
      <c r="AJ187" s="100"/>
      <c r="AK187" s="100"/>
      <c r="AL187" s="75"/>
      <c r="AM187" s="100"/>
      <c r="AN187" s="75"/>
      <c r="AO187" s="100"/>
      <c r="AP187" s="107"/>
      <c r="AQ187" s="100"/>
      <c r="AR187" s="75"/>
      <c r="AS187" s="111"/>
      <c r="AT187" s="75"/>
      <c r="AU187" s="431"/>
      <c r="AV187" s="111"/>
    </row>
    <row r="188" spans="1:48" ht="16.3">
      <c r="A188" s="83" t="s">
        <v>3</v>
      </c>
      <c r="B188" s="265">
        <f>SUM(L188+M188+N188+O188+P188+U188+X188+Y188+Z188+AC188+AK188+AL188+AK188+AO188+AR188+AS188+AU188+AV188+AW188+AX188)+4</f>
        <v>5</v>
      </c>
      <c r="C188" s="214">
        <f>SUM(L188+M188+N188+O188+P188+U188+Y188+Z188+X188+AC188+AL188+AK188+AL188+AP188+AS188+AO188+AV188+AW188+AX188+AY188+AR188+AU188)+4</f>
        <v>5</v>
      </c>
      <c r="D188" s="133"/>
      <c r="E188" s="134"/>
      <c r="F188" s="135"/>
      <c r="G188" s="136"/>
      <c r="H188" s="683"/>
      <c r="I188" s="676"/>
      <c r="J188" s="96"/>
      <c r="K188" s="96"/>
      <c r="L188" s="104"/>
      <c r="M188" s="75"/>
      <c r="N188" s="75"/>
      <c r="O188" s="100"/>
      <c r="P188" s="100"/>
      <c r="Q188" s="108"/>
      <c r="R188" s="108"/>
      <c r="S188" s="109"/>
      <c r="T188" s="109"/>
      <c r="U188" s="100">
        <v>1</v>
      </c>
      <c r="V188" s="142">
        <v>1</v>
      </c>
      <c r="W188" s="142"/>
      <c r="X188" s="100"/>
      <c r="Y188" s="100"/>
      <c r="Z188" s="100"/>
      <c r="AA188" s="142">
        <v>2</v>
      </c>
      <c r="AB188" s="142"/>
      <c r="AC188" s="100"/>
      <c r="AD188" s="109"/>
      <c r="AE188" s="109"/>
      <c r="AF188" s="109"/>
      <c r="AG188" s="109"/>
      <c r="AH188" s="108"/>
      <c r="AI188" s="109"/>
      <c r="AJ188" s="100"/>
      <c r="AK188" s="100"/>
      <c r="AL188" s="75"/>
      <c r="AM188" s="100"/>
      <c r="AN188" s="75"/>
      <c r="AO188" s="100"/>
      <c r="AP188" s="107"/>
      <c r="AQ188" s="100"/>
      <c r="AR188" s="75"/>
      <c r="AS188" s="111"/>
      <c r="AT188" s="75"/>
      <c r="AU188" s="431"/>
      <c r="AV188" s="111"/>
    </row>
    <row r="189" spans="1:48" ht="17" thickBot="1">
      <c r="A189" s="85" t="s">
        <v>4</v>
      </c>
      <c r="B189" s="268">
        <f>SUM(L189+M189+N189+O189+P189+U189+X189+Y189+Z189+AC189+AK189+AL189+AK189+AO189+AR189+AS189+AU189+AV189+AW189+AX189)+20</f>
        <v>25</v>
      </c>
      <c r="C189" s="217">
        <f>SUM(L189+M189+N189+O189+P189+U189+Y189+Z189+X189+AC189+AL189+AK189+AL189+AP189+AS189+AO189+AV189+AW189+AX189+AY189+AR189+AU189)+20</f>
        <v>25</v>
      </c>
      <c r="D189" s="144"/>
      <c r="E189" s="145"/>
      <c r="F189" s="146"/>
      <c r="G189" s="147"/>
      <c r="H189" s="684"/>
      <c r="I189" s="677"/>
      <c r="J189" s="114"/>
      <c r="K189" s="114"/>
      <c r="L189" s="113"/>
      <c r="M189" s="112"/>
      <c r="N189" s="112"/>
      <c r="O189" s="116"/>
      <c r="P189" s="116"/>
      <c r="Q189" s="117"/>
      <c r="R189" s="117"/>
      <c r="S189" s="118"/>
      <c r="T189" s="118"/>
      <c r="U189" s="116">
        <v>5</v>
      </c>
      <c r="V189" s="149">
        <v>5</v>
      </c>
      <c r="W189" s="149"/>
      <c r="X189" s="116"/>
      <c r="Y189" s="116"/>
      <c r="Z189" s="116"/>
      <c r="AA189" s="149">
        <v>10</v>
      </c>
      <c r="AB189" s="149"/>
      <c r="AC189" s="116"/>
      <c r="AD189" s="118"/>
      <c r="AE189" s="118"/>
      <c r="AF189" s="118"/>
      <c r="AG189" s="114"/>
      <c r="AH189" s="117"/>
      <c r="AI189" s="118"/>
      <c r="AJ189" s="116"/>
      <c r="AK189" s="116"/>
      <c r="AL189" s="112"/>
      <c r="AM189" s="116"/>
      <c r="AN189" s="112"/>
      <c r="AO189" s="116"/>
      <c r="AP189" s="130"/>
      <c r="AQ189" s="116"/>
      <c r="AR189" s="112"/>
      <c r="AS189" s="121"/>
      <c r="AT189" s="112"/>
      <c r="AU189" s="432"/>
      <c r="AV189" s="121"/>
    </row>
    <row r="190" spans="1:48" ht="21.1">
      <c r="A190" s="82" t="s">
        <v>300</v>
      </c>
      <c r="B190" s="265"/>
      <c r="C190" s="214"/>
      <c r="D190" s="133"/>
      <c r="E190" s="134"/>
      <c r="F190" s="135"/>
      <c r="G190" s="136"/>
      <c r="H190" s="683"/>
      <c r="I190" s="676"/>
      <c r="J190" s="96" t="s">
        <v>369</v>
      </c>
      <c r="K190" s="96" t="s">
        <v>375</v>
      </c>
      <c r="L190" s="104" t="s">
        <v>369</v>
      </c>
      <c r="M190" s="75" t="s">
        <v>369</v>
      </c>
      <c r="N190" s="75" t="s">
        <v>369</v>
      </c>
      <c r="O190" s="102" t="s">
        <v>369</v>
      </c>
      <c r="P190" s="102" t="s">
        <v>339</v>
      </c>
      <c r="Q190" s="98"/>
      <c r="R190" s="98"/>
      <c r="S190" s="99" t="s">
        <v>339</v>
      </c>
      <c r="T190" s="99" t="s">
        <v>339</v>
      </c>
      <c r="U190" s="102" t="s">
        <v>369</v>
      </c>
      <c r="V190" s="138" t="s">
        <v>375</v>
      </c>
      <c r="W190" s="138" t="s">
        <v>375</v>
      </c>
      <c r="X190" s="102" t="s">
        <v>369</v>
      </c>
      <c r="Y190" s="102" t="s">
        <v>375</v>
      </c>
      <c r="Z190" s="102" t="s">
        <v>375</v>
      </c>
      <c r="AA190" s="138" t="s">
        <v>375</v>
      </c>
      <c r="AB190" s="138" t="s">
        <v>375</v>
      </c>
      <c r="AC190" s="102" t="s">
        <v>375</v>
      </c>
      <c r="AD190" s="99" t="s">
        <v>369</v>
      </c>
      <c r="AE190" s="99" t="s">
        <v>369</v>
      </c>
      <c r="AF190" s="99" t="s">
        <v>369</v>
      </c>
      <c r="AG190" s="99">
        <v>1</v>
      </c>
      <c r="AH190" s="98"/>
      <c r="AI190" s="99" t="s">
        <v>369</v>
      </c>
      <c r="AJ190" s="102"/>
      <c r="AK190" s="102"/>
      <c r="AL190" s="122"/>
      <c r="AM190" s="102"/>
      <c r="AN190" s="122"/>
      <c r="AO190" s="102"/>
      <c r="AP190" s="131"/>
      <c r="AQ190" s="102"/>
      <c r="AR190" s="122"/>
      <c r="AS190" s="103"/>
      <c r="AT190" s="122"/>
      <c r="AU190" s="430"/>
      <c r="AV190" s="103"/>
    </row>
    <row r="191" spans="1:48" ht="16.3">
      <c r="A191" s="246" t="s">
        <v>1</v>
      </c>
      <c r="B191" s="266">
        <f>SUM(L191+M191+N191+O191+P191+U191+X191+Y191+Z191+AC191+AK191+AL191+AK191+AO191+AR191+AS191+AU191+AV191+AW191+AX191)+2</f>
        <v>8</v>
      </c>
      <c r="C191" s="215">
        <f>SUM(L191+M191+N191+O191+P191+U191+Y191+Z191+X191+AC191+AL191+AK191+AL191+AP191+AS191+AO191+AV191+AW191+AX191+AY184+AR191+AU191)+44</f>
        <v>50</v>
      </c>
      <c r="D191" s="133"/>
      <c r="E191" s="134"/>
      <c r="F191" s="135"/>
      <c r="G191" s="136"/>
      <c r="H191" s="683"/>
      <c r="I191" s="676"/>
      <c r="J191" s="96">
        <v>1</v>
      </c>
      <c r="K191" s="96"/>
      <c r="L191" s="104">
        <v>1</v>
      </c>
      <c r="M191" s="75">
        <v>1</v>
      </c>
      <c r="N191" s="75">
        <v>1</v>
      </c>
      <c r="O191" s="100">
        <v>1</v>
      </c>
      <c r="P191" s="100"/>
      <c r="Q191" s="108"/>
      <c r="R191" s="108"/>
      <c r="S191" s="109"/>
      <c r="T191" s="109"/>
      <c r="U191" s="100">
        <v>1</v>
      </c>
      <c r="V191" s="142"/>
      <c r="W191" s="142"/>
      <c r="X191" s="100">
        <v>1</v>
      </c>
      <c r="Y191" s="100"/>
      <c r="Z191" s="100"/>
      <c r="AA191" s="142"/>
      <c r="AB191" s="142"/>
      <c r="AC191" s="100"/>
      <c r="AD191" s="109">
        <v>1</v>
      </c>
      <c r="AE191" s="109">
        <v>1</v>
      </c>
      <c r="AF191" s="109">
        <v>1</v>
      </c>
      <c r="AG191" s="109">
        <v>1</v>
      </c>
      <c r="AH191" s="108"/>
      <c r="AI191" s="109">
        <v>1</v>
      </c>
      <c r="AJ191" s="100"/>
      <c r="AK191" s="100"/>
      <c r="AL191" s="75"/>
      <c r="AM191" s="100"/>
      <c r="AN191" s="75"/>
      <c r="AO191" s="100"/>
      <c r="AP191" s="107"/>
      <c r="AQ191" s="100"/>
      <c r="AR191" s="75"/>
      <c r="AS191" s="111"/>
      <c r="AT191" s="75"/>
      <c r="AU191" s="431"/>
      <c r="AV191" s="111"/>
    </row>
    <row r="192" spans="1:48" ht="16.3">
      <c r="A192" s="246" t="s">
        <v>2</v>
      </c>
      <c r="B192" s="266">
        <f>SUM(L192+M192+N192+O192+P192+U192+X192+Y192+Z192+AC192+AK192+AL192+AK192+AO192+AR192+AS192+AU192+AV192+AW192+AX192)+7</f>
        <v>10</v>
      </c>
      <c r="C192" s="215">
        <f>SUM(L192+M192+N192+O192+P192+U192+Y192+Z192+X192+AC192+AL192+AK192+AL192+AP192+AS192+AO192+AV192+AW192+AX192+AY185+AR192+AU192)+20</f>
        <v>23</v>
      </c>
      <c r="D192" s="133"/>
      <c r="E192" s="134"/>
      <c r="F192" s="135"/>
      <c r="G192" s="136"/>
      <c r="H192" s="683"/>
      <c r="I192" s="676"/>
      <c r="J192" s="96"/>
      <c r="K192" s="96">
        <v>1</v>
      </c>
      <c r="L192" s="104"/>
      <c r="M192" s="75"/>
      <c r="N192" s="75"/>
      <c r="O192" s="100"/>
      <c r="P192" s="100"/>
      <c r="Q192" s="108"/>
      <c r="R192" s="108"/>
      <c r="S192" s="109"/>
      <c r="T192" s="109"/>
      <c r="U192" s="100"/>
      <c r="V192" s="142">
        <v>1</v>
      </c>
      <c r="W192" s="142">
        <v>1</v>
      </c>
      <c r="X192" s="100"/>
      <c r="Y192" s="100">
        <v>1</v>
      </c>
      <c r="Z192" s="100">
        <v>1</v>
      </c>
      <c r="AA192" s="142">
        <v>1</v>
      </c>
      <c r="AB192" s="142">
        <v>1</v>
      </c>
      <c r="AC192" s="100">
        <v>1</v>
      </c>
      <c r="AD192" s="109"/>
      <c r="AE192" s="109"/>
      <c r="AF192" s="109"/>
      <c r="AG192" s="109"/>
      <c r="AH192" s="108"/>
      <c r="AI192" s="109"/>
      <c r="AJ192" s="100"/>
      <c r="AK192" s="100"/>
      <c r="AL192" s="75"/>
      <c r="AM192" s="100"/>
      <c r="AN192" s="75"/>
      <c r="AO192" s="100"/>
      <c r="AP192" s="107"/>
      <c r="AQ192" s="100"/>
      <c r="AR192" s="75"/>
      <c r="AS192" s="111"/>
      <c r="AT192" s="75"/>
      <c r="AU192" s="431"/>
      <c r="AV192" s="111"/>
    </row>
    <row r="193" spans="1:48" ht="16.3">
      <c r="A193" s="83" t="s">
        <v>363</v>
      </c>
      <c r="B193" s="265">
        <f>SUM(B191+B192)</f>
        <v>18</v>
      </c>
      <c r="C193" s="214">
        <f>SUM(C191+C192)</f>
        <v>73</v>
      </c>
      <c r="D193" s="133"/>
      <c r="E193" s="134"/>
      <c r="F193" s="135"/>
      <c r="G193" s="136"/>
      <c r="H193" s="683"/>
      <c r="I193" s="676"/>
      <c r="J193" s="96"/>
      <c r="K193" s="96"/>
      <c r="L193" s="104"/>
      <c r="M193" s="75"/>
      <c r="N193" s="75"/>
      <c r="O193" s="100"/>
      <c r="P193" s="100"/>
      <c r="Q193" s="108"/>
      <c r="R193" s="108"/>
      <c r="S193" s="109"/>
      <c r="T193" s="109"/>
      <c r="U193" s="100"/>
      <c r="V193" s="142"/>
      <c r="W193" s="142"/>
      <c r="X193" s="100"/>
      <c r="Y193" s="100"/>
      <c r="Z193" s="100"/>
      <c r="AA193" s="142"/>
      <c r="AB193" s="142"/>
      <c r="AC193" s="100"/>
      <c r="AD193" s="109"/>
      <c r="AE193" s="109"/>
      <c r="AF193" s="109"/>
      <c r="AG193" s="109"/>
      <c r="AH193" s="108"/>
      <c r="AI193" s="109"/>
      <c r="AJ193" s="100"/>
      <c r="AK193" s="100"/>
      <c r="AL193" s="75"/>
      <c r="AM193" s="100"/>
      <c r="AN193" s="75"/>
      <c r="AO193" s="100"/>
      <c r="AP193" s="107"/>
      <c r="AQ193" s="100"/>
      <c r="AR193" s="75"/>
      <c r="AS193" s="111"/>
      <c r="AT193" s="75"/>
      <c r="AU193" s="431"/>
      <c r="AV193" s="111"/>
    </row>
    <row r="194" spans="1:48" ht="16.3">
      <c r="A194" s="246" t="s">
        <v>362</v>
      </c>
      <c r="B194" s="266">
        <f>SUM(L194+M194+N194+O194+P194+U194+X194+Y194+Z194+AC194+AK194+AL194+AK194+AO194+AR194+AS194+AU194+AV194+AW194+AX194)</f>
        <v>0</v>
      </c>
      <c r="C194" s="215">
        <f>SUM(L194+M194+N194+O194+P194+U194+Y194+Z194+X194+AC194+AL194+AK194+AL194+AP194+AS194+AO194+AV194+AW194+AX194+AY187+AR194+AU194)+2</f>
        <v>2</v>
      </c>
      <c r="D194" s="133"/>
      <c r="E194" s="134"/>
      <c r="F194" s="135"/>
      <c r="G194" s="136"/>
      <c r="H194" s="683"/>
      <c r="I194" s="676"/>
      <c r="J194" s="96"/>
      <c r="K194" s="96"/>
      <c r="L194" s="104"/>
      <c r="M194" s="75"/>
      <c r="N194" s="75"/>
      <c r="O194" s="100"/>
      <c r="P194" s="100"/>
      <c r="Q194" s="108"/>
      <c r="R194" s="108"/>
      <c r="S194" s="109"/>
      <c r="T194" s="109"/>
      <c r="U194" s="100"/>
      <c r="V194" s="142"/>
      <c r="W194" s="142"/>
      <c r="X194" s="100"/>
      <c r="Y194" s="100"/>
      <c r="Z194" s="100"/>
      <c r="AA194" s="142"/>
      <c r="AB194" s="142"/>
      <c r="AC194" s="100"/>
      <c r="AD194" s="109"/>
      <c r="AE194" s="109"/>
      <c r="AF194" s="109"/>
      <c r="AG194" s="109"/>
      <c r="AH194" s="108"/>
      <c r="AI194" s="109"/>
      <c r="AJ194" s="100"/>
      <c r="AK194" s="100"/>
      <c r="AL194" s="75"/>
      <c r="AM194" s="100"/>
      <c r="AN194" s="75"/>
      <c r="AO194" s="100"/>
      <c r="AP194" s="107"/>
      <c r="AQ194" s="100"/>
      <c r="AR194" s="75"/>
      <c r="AS194" s="111"/>
      <c r="AT194" s="75"/>
      <c r="AU194" s="431"/>
      <c r="AV194" s="111"/>
    </row>
    <row r="195" spans="1:48" ht="16.3">
      <c r="A195" s="83" t="s">
        <v>3</v>
      </c>
      <c r="B195" s="265">
        <f>SUM(L195+M195+N195+O195+P195+U195+X195+Y195+Z195+AC195+AK195+AL195+AK195+AO195+AR195+AS195+AU195+AV195+AW195+AX195)</f>
        <v>0</v>
      </c>
      <c r="C195" s="214">
        <f>SUM(L195+M195+N195+O195+P195+U195+Y195+Z195+X195+AC195+AL195+AK195+AL195+AP195+AS195+AO195+AV195+AW195+AX195+AY188+AR195+AU195)+1</f>
        <v>1</v>
      </c>
      <c r="D195" s="133"/>
      <c r="E195" s="134"/>
      <c r="F195" s="135"/>
      <c r="G195" s="136"/>
      <c r="H195" s="683"/>
      <c r="I195" s="676"/>
      <c r="J195" s="96"/>
      <c r="K195" s="96"/>
      <c r="L195" s="104"/>
      <c r="M195" s="75"/>
      <c r="N195" s="75"/>
      <c r="O195" s="100"/>
      <c r="P195" s="100"/>
      <c r="Q195" s="108"/>
      <c r="R195" s="108"/>
      <c r="S195" s="109"/>
      <c r="T195" s="109"/>
      <c r="U195" s="100"/>
      <c r="V195" s="142"/>
      <c r="W195" s="142"/>
      <c r="X195" s="100"/>
      <c r="Y195" s="100"/>
      <c r="Z195" s="100"/>
      <c r="AA195" s="142"/>
      <c r="AB195" s="142"/>
      <c r="AC195" s="100"/>
      <c r="AD195" s="109">
        <v>1</v>
      </c>
      <c r="AE195" s="109"/>
      <c r="AF195" s="109">
        <v>1</v>
      </c>
      <c r="AG195" s="109"/>
      <c r="AH195" s="108"/>
      <c r="AI195" s="109"/>
      <c r="AJ195" s="100"/>
      <c r="AK195" s="100"/>
      <c r="AL195" s="75"/>
      <c r="AM195" s="100"/>
      <c r="AN195" s="75"/>
      <c r="AO195" s="100"/>
      <c r="AP195" s="107"/>
      <c r="AQ195" s="100"/>
      <c r="AR195" s="75"/>
      <c r="AS195" s="111"/>
      <c r="AT195" s="75"/>
      <c r="AU195" s="431"/>
      <c r="AV195" s="111"/>
    </row>
    <row r="196" spans="1:48" ht="17" thickBot="1">
      <c r="A196" s="85" t="s">
        <v>4</v>
      </c>
      <c r="B196" s="268">
        <f>SUM(L196+M196+N196+O196+P196+U196+X196+Y196+Z196+AC196+AK196+AL196+AK196+AO196+AR196+AS196+AU196+AV196+AW196+AX196)</f>
        <v>0</v>
      </c>
      <c r="C196" s="217">
        <f>SUM(L196+M196+N196+O196+P196+U196+Y196+Z196+X196+AC196+AL196+AK196+AL196+AP196+AS196+AO196+AV196+AW196+AX196+AY189+AR196+AU196)+5</f>
        <v>5</v>
      </c>
      <c r="D196" s="144"/>
      <c r="E196" s="145"/>
      <c r="F196" s="146"/>
      <c r="G196" s="147"/>
      <c r="H196" s="684"/>
      <c r="I196" s="677"/>
      <c r="J196" s="114"/>
      <c r="K196" s="114"/>
      <c r="L196" s="113"/>
      <c r="M196" s="112"/>
      <c r="N196" s="112"/>
      <c r="O196" s="116"/>
      <c r="P196" s="116"/>
      <c r="Q196" s="117"/>
      <c r="R196" s="117"/>
      <c r="S196" s="118"/>
      <c r="T196" s="118"/>
      <c r="U196" s="116"/>
      <c r="V196" s="149"/>
      <c r="W196" s="149"/>
      <c r="X196" s="116"/>
      <c r="Y196" s="116"/>
      <c r="Z196" s="116"/>
      <c r="AA196" s="149"/>
      <c r="AB196" s="149"/>
      <c r="AC196" s="116"/>
      <c r="AD196" s="118">
        <v>5</v>
      </c>
      <c r="AE196" s="118"/>
      <c r="AF196" s="118">
        <v>5</v>
      </c>
      <c r="AG196" s="118"/>
      <c r="AH196" s="117"/>
      <c r="AI196" s="118"/>
      <c r="AJ196" s="116"/>
      <c r="AK196" s="116"/>
      <c r="AL196" s="112"/>
      <c r="AM196" s="116"/>
      <c r="AN196" s="112"/>
      <c r="AO196" s="116"/>
      <c r="AP196" s="130"/>
      <c r="AQ196" s="116"/>
      <c r="AR196" s="112"/>
      <c r="AS196" s="121"/>
      <c r="AT196" s="112"/>
      <c r="AU196" s="432"/>
      <c r="AV196" s="121"/>
    </row>
    <row r="197" spans="1:48" ht="21.1">
      <c r="A197" s="82" t="s">
        <v>576</v>
      </c>
      <c r="B197" s="265"/>
      <c r="C197" s="214"/>
      <c r="D197" s="133"/>
      <c r="E197" s="134"/>
      <c r="F197" s="135"/>
      <c r="G197" s="136"/>
      <c r="H197" s="683"/>
      <c r="I197" s="676"/>
      <c r="J197" s="96"/>
      <c r="K197" s="96"/>
      <c r="L197" s="104"/>
      <c r="M197" s="75"/>
      <c r="N197" s="75"/>
      <c r="O197" s="100"/>
      <c r="P197" s="100"/>
      <c r="Q197" s="108"/>
      <c r="R197" s="108"/>
      <c r="S197" s="109" t="s">
        <v>375</v>
      </c>
      <c r="T197" s="109" t="s">
        <v>375</v>
      </c>
      <c r="U197" s="100"/>
      <c r="V197" s="142"/>
      <c r="W197" s="142" t="s">
        <v>375</v>
      </c>
      <c r="X197" s="100"/>
      <c r="Y197" s="100"/>
      <c r="Z197" s="100"/>
      <c r="AA197" s="142"/>
      <c r="AB197" s="142"/>
      <c r="AC197" s="100"/>
      <c r="AD197" s="109" t="s">
        <v>375</v>
      </c>
      <c r="AE197" s="109" t="s">
        <v>375</v>
      </c>
      <c r="AF197" s="109" t="s">
        <v>375</v>
      </c>
      <c r="AG197" s="109" t="s">
        <v>375</v>
      </c>
      <c r="AH197" s="108"/>
      <c r="AI197" s="109" t="s">
        <v>375</v>
      </c>
      <c r="AJ197" s="100"/>
      <c r="AK197" s="100"/>
      <c r="AL197" s="75"/>
      <c r="AM197" s="100"/>
      <c r="AN197" s="75"/>
      <c r="AO197" s="100"/>
      <c r="AP197" s="107"/>
      <c r="AQ197" s="100"/>
      <c r="AR197" s="75"/>
      <c r="AS197" s="111"/>
      <c r="AT197" s="75"/>
      <c r="AU197" s="431"/>
      <c r="AV197" s="111"/>
    </row>
    <row r="198" spans="1:48" ht="16.3">
      <c r="A198" s="246" t="s">
        <v>1</v>
      </c>
      <c r="B198" s="266">
        <f>SUM(L198+M198+N198+O198+P198+U198+X198+Y198+Z198+AC198+AK198+AL198+AK198+AO198+AR198+AS198+AU198+AV198+AW198+AX198)</f>
        <v>0</v>
      </c>
      <c r="C198" s="215">
        <f>SUM(L198+M198+N198+O198+P198+U198+Y198+Z198+X198+AC198+AL198+AK198+AL198+AP198+AS198+AO198+AV198+AW198+AX198+AY191+AR198+AU198)</f>
        <v>0</v>
      </c>
      <c r="D198" s="133"/>
      <c r="E198" s="134"/>
      <c r="F198" s="135"/>
      <c r="G198" s="136"/>
      <c r="H198" s="683"/>
      <c r="I198" s="676"/>
      <c r="J198" s="96"/>
      <c r="K198" s="96"/>
      <c r="L198" s="104"/>
      <c r="M198" s="75"/>
      <c r="N198" s="75"/>
      <c r="O198" s="100"/>
      <c r="P198" s="100"/>
      <c r="Q198" s="108"/>
      <c r="R198" s="108"/>
      <c r="S198" s="109"/>
      <c r="T198" s="109"/>
      <c r="U198" s="100"/>
      <c r="V198" s="142"/>
      <c r="W198" s="142"/>
      <c r="X198" s="100"/>
      <c r="Y198" s="100"/>
      <c r="Z198" s="100"/>
      <c r="AA198" s="142"/>
      <c r="AB198" s="142"/>
      <c r="AC198" s="100"/>
      <c r="AD198" s="109"/>
      <c r="AE198" s="109"/>
      <c r="AF198" s="109"/>
      <c r="AG198" s="109"/>
      <c r="AH198" s="108"/>
      <c r="AI198" s="109"/>
      <c r="AJ198" s="100"/>
      <c r="AK198" s="100"/>
      <c r="AL198" s="75"/>
      <c r="AM198" s="100"/>
      <c r="AN198" s="75"/>
      <c r="AO198" s="100"/>
      <c r="AP198" s="107"/>
      <c r="AQ198" s="100"/>
      <c r="AR198" s="75"/>
      <c r="AS198" s="111"/>
      <c r="AT198" s="75"/>
      <c r="AU198" s="431"/>
      <c r="AV198" s="111"/>
    </row>
    <row r="199" spans="1:48" ht="16.3">
      <c r="A199" s="246" t="s">
        <v>2</v>
      </c>
      <c r="B199" s="266">
        <f>SUM(L199+M199+N199+O199+P199+U199+X199+Y199+Z199+AC199+AK199+AL199+AK199+AO199+AR199+AS199+AU199+AV199+AW199+AX199)</f>
        <v>0</v>
      </c>
      <c r="C199" s="215">
        <f>SUM(L199+M199+N199+O199+P199+U199+Y199+Z199+X199+AC199+AL199+AK199+AL199+AP199+AS199+AO199+AV199+AW199+AX199+AY192+AR199+AU199)</f>
        <v>0</v>
      </c>
      <c r="D199" s="133"/>
      <c r="E199" s="134"/>
      <c r="F199" s="135"/>
      <c r="G199" s="136"/>
      <c r="H199" s="683"/>
      <c r="I199" s="676"/>
      <c r="J199" s="96"/>
      <c r="K199" s="96"/>
      <c r="L199" s="104"/>
      <c r="M199" s="75"/>
      <c r="N199" s="75"/>
      <c r="O199" s="100"/>
      <c r="P199" s="100"/>
      <c r="Q199" s="108"/>
      <c r="R199" s="108"/>
      <c r="S199" s="109">
        <v>1</v>
      </c>
      <c r="T199" s="109">
        <v>1</v>
      </c>
      <c r="U199" s="100"/>
      <c r="V199" s="142"/>
      <c r="W199" s="142">
        <v>1</v>
      </c>
      <c r="X199" s="100"/>
      <c r="Y199" s="100"/>
      <c r="Z199" s="100"/>
      <c r="AA199" s="142"/>
      <c r="AB199" s="142"/>
      <c r="AC199" s="100"/>
      <c r="AD199" s="109">
        <v>1</v>
      </c>
      <c r="AE199" s="109">
        <v>1</v>
      </c>
      <c r="AF199" s="109">
        <v>1</v>
      </c>
      <c r="AG199" s="109">
        <v>1</v>
      </c>
      <c r="AH199" s="108"/>
      <c r="AI199" s="109">
        <v>1</v>
      </c>
      <c r="AJ199" s="100"/>
      <c r="AK199" s="100"/>
      <c r="AL199" s="75"/>
      <c r="AM199" s="100"/>
      <c r="AN199" s="75"/>
      <c r="AO199" s="100"/>
      <c r="AP199" s="107"/>
      <c r="AQ199" s="100"/>
      <c r="AR199" s="75"/>
      <c r="AS199" s="111"/>
      <c r="AT199" s="75"/>
      <c r="AU199" s="431"/>
      <c r="AV199" s="111"/>
    </row>
    <row r="200" spans="1:48" ht="16.3">
      <c r="A200" s="83" t="s">
        <v>363</v>
      </c>
      <c r="B200" s="265">
        <f>SUM(B198+B199)</f>
        <v>0</v>
      </c>
      <c r="C200" s="214">
        <f>SUM(C198+C199)</f>
        <v>0</v>
      </c>
      <c r="D200" s="133"/>
      <c r="E200" s="134"/>
      <c r="F200" s="135"/>
      <c r="G200" s="136"/>
      <c r="H200" s="683"/>
      <c r="I200" s="676"/>
      <c r="J200" s="96"/>
      <c r="K200" s="96"/>
      <c r="L200" s="104"/>
      <c r="M200" s="75"/>
      <c r="N200" s="75"/>
      <c r="O200" s="100"/>
      <c r="P200" s="100"/>
      <c r="Q200" s="108"/>
      <c r="R200" s="108"/>
      <c r="S200" s="109"/>
      <c r="T200" s="109"/>
      <c r="U200" s="100"/>
      <c r="V200" s="142"/>
      <c r="W200" s="142"/>
      <c r="X200" s="100"/>
      <c r="Y200" s="100"/>
      <c r="Z200" s="100"/>
      <c r="AA200" s="142"/>
      <c r="AB200" s="142"/>
      <c r="AC200" s="100"/>
      <c r="AD200" s="109"/>
      <c r="AE200" s="109"/>
      <c r="AF200" s="109"/>
      <c r="AG200" s="109"/>
      <c r="AH200" s="108"/>
      <c r="AI200" s="109"/>
      <c r="AJ200" s="100"/>
      <c r="AK200" s="100"/>
      <c r="AL200" s="75"/>
      <c r="AM200" s="100"/>
      <c r="AN200" s="75"/>
      <c r="AO200" s="100"/>
      <c r="AP200" s="107"/>
      <c r="AQ200" s="100"/>
      <c r="AR200" s="75"/>
      <c r="AS200" s="111"/>
      <c r="AT200" s="75"/>
      <c r="AU200" s="431"/>
      <c r="AV200" s="111"/>
    </row>
    <row r="201" spans="1:48" ht="16.3">
      <c r="A201" s="83" t="s">
        <v>3</v>
      </c>
      <c r="B201" s="265">
        <f>SUM(L201+M201+N201+O201+P201+U201+X201+Y201+Z201+AC201+AK201+AL201+AK201+AO201+AR201+AS201+AU201+AV201+AW201+AX201)</f>
        <v>0</v>
      </c>
      <c r="C201" s="214">
        <f>SUM(L201+M201+N201+O201+P201+U201+Y201+Z201+X201+AC201+AL201+AK201+AL201+AP201+AS201+AO201+AV201+AW201+AX201+AY194+AR201+AU201)</f>
        <v>0</v>
      </c>
      <c r="D201" s="133"/>
      <c r="E201" s="134"/>
      <c r="F201" s="135"/>
      <c r="G201" s="136"/>
      <c r="H201" s="683"/>
      <c r="I201" s="676"/>
      <c r="J201" s="96"/>
      <c r="K201" s="96"/>
      <c r="L201" s="104"/>
      <c r="M201" s="75"/>
      <c r="N201" s="75"/>
      <c r="O201" s="100"/>
      <c r="P201" s="100"/>
      <c r="Q201" s="108"/>
      <c r="R201" s="108"/>
      <c r="S201" s="109"/>
      <c r="T201" s="109"/>
      <c r="U201" s="100"/>
      <c r="V201" s="142"/>
      <c r="W201" s="142"/>
      <c r="X201" s="100"/>
      <c r="Y201" s="100"/>
      <c r="Z201" s="100"/>
      <c r="AA201" s="142"/>
      <c r="AB201" s="142"/>
      <c r="AC201" s="100"/>
      <c r="AD201" s="109"/>
      <c r="AE201" s="109"/>
      <c r="AF201" s="109"/>
      <c r="AG201" s="109"/>
      <c r="AH201" s="108"/>
      <c r="AI201" s="109"/>
      <c r="AJ201" s="100"/>
      <c r="AK201" s="100"/>
      <c r="AL201" s="75"/>
      <c r="AM201" s="100"/>
      <c r="AN201" s="75"/>
      <c r="AO201" s="100"/>
      <c r="AP201" s="107"/>
      <c r="AQ201" s="100"/>
      <c r="AR201" s="75"/>
      <c r="AS201" s="111"/>
      <c r="AT201" s="75"/>
      <c r="AU201" s="431"/>
      <c r="AV201" s="111"/>
    </row>
    <row r="202" spans="1:48" ht="17" thickBot="1">
      <c r="A202" s="85" t="s">
        <v>4</v>
      </c>
      <c r="B202" s="268">
        <f>SUM(L202+M202+N202+O202+P202+U202+X202+Y202+Z202+AC202+AK202+AL202+AK202+AO202+AR202+AS202+AU202+AV202+AW202+AX202)</f>
        <v>0</v>
      </c>
      <c r="C202" s="217">
        <f>SUM(L202+M202+N202+O202+P202+U202+Y202+Z202+X202+AC202+AL202+AK202+AL202+AP202+AS202+AO202+AV202+AW202+AX202+AY195+AR202+AU202)</f>
        <v>0</v>
      </c>
      <c r="D202" s="144"/>
      <c r="E202" s="145"/>
      <c r="F202" s="146"/>
      <c r="G202" s="147"/>
      <c r="H202" s="684"/>
      <c r="I202" s="677"/>
      <c r="J202" s="114"/>
      <c r="K202" s="114"/>
      <c r="L202" s="113"/>
      <c r="M202" s="112"/>
      <c r="N202" s="112"/>
      <c r="O202" s="116"/>
      <c r="P202" s="116"/>
      <c r="Q202" s="117"/>
      <c r="R202" s="117"/>
      <c r="S202" s="118"/>
      <c r="T202" s="118"/>
      <c r="U202" s="116"/>
      <c r="V202" s="149"/>
      <c r="W202" s="149"/>
      <c r="X202" s="116"/>
      <c r="Y202" s="116"/>
      <c r="Z202" s="116"/>
      <c r="AA202" s="149"/>
      <c r="AB202" s="149"/>
      <c r="AC202" s="116"/>
      <c r="AD202" s="118"/>
      <c r="AE202" s="118"/>
      <c r="AF202" s="118"/>
      <c r="AG202" s="118"/>
      <c r="AH202" s="117"/>
      <c r="AI202" s="118"/>
      <c r="AJ202" s="116"/>
      <c r="AK202" s="116"/>
      <c r="AL202" s="112"/>
      <c r="AM202" s="116"/>
      <c r="AN202" s="112"/>
      <c r="AO202" s="116"/>
      <c r="AP202" s="130"/>
      <c r="AQ202" s="116"/>
      <c r="AR202" s="112"/>
      <c r="AS202" s="121"/>
      <c r="AT202" s="112"/>
      <c r="AU202" s="432"/>
      <c r="AV202" s="121"/>
    </row>
    <row r="203" spans="1:48" ht="21.1">
      <c r="A203" s="82" t="s">
        <v>401</v>
      </c>
      <c r="B203" s="265"/>
      <c r="C203" s="214"/>
      <c r="D203" s="133"/>
      <c r="E203" s="134"/>
      <c r="F203" s="135"/>
      <c r="G203" s="136"/>
      <c r="H203" s="683"/>
      <c r="I203" s="676"/>
      <c r="J203" s="96" t="s">
        <v>375</v>
      </c>
      <c r="K203" s="96" t="s">
        <v>369</v>
      </c>
      <c r="L203" s="104" t="s">
        <v>375</v>
      </c>
      <c r="M203" s="75" t="s">
        <v>375</v>
      </c>
      <c r="N203" s="75" t="s">
        <v>339</v>
      </c>
      <c r="O203" s="100" t="s">
        <v>339</v>
      </c>
      <c r="P203" s="100" t="s">
        <v>339</v>
      </c>
      <c r="Q203" s="108"/>
      <c r="R203" s="108"/>
      <c r="S203" s="109" t="s">
        <v>339</v>
      </c>
      <c r="T203" s="109" t="s">
        <v>339</v>
      </c>
      <c r="U203" s="100" t="s">
        <v>339</v>
      </c>
      <c r="V203" s="142" t="s">
        <v>339</v>
      </c>
      <c r="W203" s="142" t="s">
        <v>339</v>
      </c>
      <c r="X203" s="100" t="s">
        <v>339</v>
      </c>
      <c r="Y203" s="100" t="s">
        <v>339</v>
      </c>
      <c r="Z203" s="100" t="s">
        <v>339</v>
      </c>
      <c r="AA203" s="142" t="s">
        <v>339</v>
      </c>
      <c r="AB203" s="142" t="s">
        <v>339</v>
      </c>
      <c r="AC203" s="100" t="s">
        <v>339</v>
      </c>
      <c r="AD203" s="109" t="s">
        <v>339</v>
      </c>
      <c r="AE203" s="109" t="s">
        <v>339</v>
      </c>
      <c r="AF203" s="109" t="s">
        <v>339</v>
      </c>
      <c r="AG203" s="109" t="s">
        <v>339</v>
      </c>
      <c r="AH203" s="108"/>
      <c r="AI203" s="109" t="s">
        <v>339</v>
      </c>
      <c r="AJ203" s="100"/>
      <c r="AK203" s="100"/>
      <c r="AL203" s="75"/>
      <c r="AM203" s="100"/>
      <c r="AN203" s="75"/>
      <c r="AO203" s="100"/>
      <c r="AP203" s="107"/>
      <c r="AQ203" s="100"/>
      <c r="AR203" s="75"/>
      <c r="AS203" s="111"/>
      <c r="AT203" s="75"/>
      <c r="AU203" s="431"/>
      <c r="AV203" s="111"/>
    </row>
    <row r="204" spans="1:48" ht="16.3">
      <c r="A204" s="246" t="s">
        <v>1</v>
      </c>
      <c r="B204" s="266">
        <f>SUM(L204+M204+N204+O204+P204+U204+X204+Y204+Z204+AC204+AK204+AL204+AK204+AO204+AR204+AS204+AU204+AV204+AW204+AX204)+2</f>
        <v>2</v>
      </c>
      <c r="C204" s="215">
        <f>SUM(L204+M204+N204+O204+P204+U204+Y204+Z204+X204+AC204+AL204+AK204+AL204+AP204+AS204+AO204+AV204+AW204+AX204+AY197+AR204+AU204)+2</f>
        <v>2</v>
      </c>
      <c r="D204" s="133"/>
      <c r="E204" s="134"/>
      <c r="F204" s="135"/>
      <c r="G204" s="136"/>
      <c r="H204" s="683"/>
      <c r="I204" s="676"/>
      <c r="J204" s="96"/>
      <c r="K204" s="96">
        <v>1</v>
      </c>
      <c r="L204" s="104"/>
      <c r="M204" s="75"/>
      <c r="N204" s="75"/>
      <c r="O204" s="100"/>
      <c r="P204" s="100"/>
      <c r="Q204" s="108"/>
      <c r="R204" s="108"/>
      <c r="S204" s="109"/>
      <c r="T204" s="109"/>
      <c r="U204" s="100"/>
      <c r="V204" s="142"/>
      <c r="W204" s="142"/>
      <c r="X204" s="100"/>
      <c r="Y204" s="100"/>
      <c r="Z204" s="100"/>
      <c r="AA204" s="142"/>
      <c r="AB204" s="142"/>
      <c r="AC204" s="100"/>
      <c r="AD204" s="109"/>
      <c r="AE204" s="109"/>
      <c r="AF204" s="109"/>
      <c r="AG204" s="109"/>
      <c r="AH204" s="108"/>
      <c r="AI204" s="109"/>
      <c r="AJ204" s="100"/>
      <c r="AK204" s="100"/>
      <c r="AL204" s="75"/>
      <c r="AM204" s="100"/>
      <c r="AN204" s="75"/>
      <c r="AO204" s="100"/>
      <c r="AP204" s="107"/>
      <c r="AQ204" s="100"/>
      <c r="AR204" s="75"/>
      <c r="AS204" s="111"/>
      <c r="AT204" s="75"/>
      <c r="AU204" s="431"/>
      <c r="AV204" s="111"/>
    </row>
    <row r="205" spans="1:48" ht="16.3">
      <c r="A205" s="246" t="s">
        <v>2</v>
      </c>
      <c r="B205" s="266">
        <f>SUM(L205+M205+N205+O205+P205+U205+X205+Y205+Z205+AC205+AK205+AL205+AK205+AO205+AR205+AS205+AU205+AV205+AW205+AX205)+9</f>
        <v>11</v>
      </c>
      <c r="C205" s="215">
        <f>SUM(L205+M205+N205+O205+P205+U205+Y205+Z205+X205+AC205+AL205+AK205+AL205+AP205+AS205+AO205+AV205+AW205+AX205+AY198+AR205+AU205)+9</f>
        <v>11</v>
      </c>
      <c r="D205" s="133"/>
      <c r="E205" s="134"/>
      <c r="F205" s="135"/>
      <c r="G205" s="136"/>
      <c r="H205" s="683"/>
      <c r="I205" s="676"/>
      <c r="J205" s="96">
        <v>1</v>
      </c>
      <c r="K205" s="96"/>
      <c r="L205" s="104">
        <v>1</v>
      </c>
      <c r="M205" s="75">
        <v>1</v>
      </c>
      <c r="N205" s="75"/>
      <c r="O205" s="100"/>
      <c r="P205" s="100"/>
      <c r="Q205" s="108"/>
      <c r="R205" s="108"/>
      <c r="S205" s="109"/>
      <c r="T205" s="109"/>
      <c r="U205" s="100"/>
      <c r="V205" s="142"/>
      <c r="W205" s="142"/>
      <c r="X205" s="100"/>
      <c r="Y205" s="100"/>
      <c r="Z205" s="100"/>
      <c r="AA205" s="142"/>
      <c r="AB205" s="142"/>
      <c r="AC205" s="100"/>
      <c r="AD205" s="109"/>
      <c r="AE205" s="109"/>
      <c r="AF205" s="109"/>
      <c r="AG205" s="109"/>
      <c r="AH205" s="108"/>
      <c r="AI205" s="109"/>
      <c r="AJ205" s="100"/>
      <c r="AK205" s="100"/>
      <c r="AL205" s="75"/>
      <c r="AM205" s="100"/>
      <c r="AN205" s="75"/>
      <c r="AO205" s="100"/>
      <c r="AP205" s="107"/>
      <c r="AQ205" s="100"/>
      <c r="AR205" s="75"/>
      <c r="AS205" s="111"/>
      <c r="AT205" s="75"/>
      <c r="AU205" s="431"/>
      <c r="AV205" s="111"/>
    </row>
    <row r="206" spans="1:48" ht="16.3">
      <c r="A206" s="83" t="s">
        <v>363</v>
      </c>
      <c r="B206" s="265">
        <f>SUM(B204+B205)</f>
        <v>13</v>
      </c>
      <c r="C206" s="214">
        <f>SUM(C204+C205)</f>
        <v>13</v>
      </c>
      <c r="D206" s="133"/>
      <c r="E206" s="134"/>
      <c r="F206" s="135"/>
      <c r="G206" s="136"/>
      <c r="H206" s="683"/>
      <c r="I206" s="676"/>
      <c r="J206" s="96"/>
      <c r="K206" s="96"/>
      <c r="L206" s="104"/>
      <c r="M206" s="75"/>
      <c r="N206" s="75"/>
      <c r="O206" s="100"/>
      <c r="P206" s="100"/>
      <c r="Q206" s="108"/>
      <c r="R206" s="108"/>
      <c r="S206" s="109"/>
      <c r="T206" s="109"/>
      <c r="U206" s="100"/>
      <c r="V206" s="142"/>
      <c r="W206" s="142"/>
      <c r="X206" s="100"/>
      <c r="Y206" s="100"/>
      <c r="Z206" s="100"/>
      <c r="AA206" s="142"/>
      <c r="AB206" s="142"/>
      <c r="AC206" s="100"/>
      <c r="AD206" s="109"/>
      <c r="AE206" s="109"/>
      <c r="AF206" s="109"/>
      <c r="AG206" s="109"/>
      <c r="AH206" s="108"/>
      <c r="AI206" s="109"/>
      <c r="AJ206" s="100"/>
      <c r="AK206" s="100"/>
      <c r="AL206" s="75"/>
      <c r="AM206" s="100"/>
      <c r="AN206" s="75"/>
      <c r="AO206" s="100"/>
      <c r="AP206" s="107"/>
      <c r="AQ206" s="100"/>
      <c r="AR206" s="75"/>
      <c r="AS206" s="111"/>
      <c r="AT206" s="75"/>
      <c r="AU206" s="431"/>
      <c r="AV206" s="111"/>
    </row>
    <row r="207" spans="1:48" ht="16.3">
      <c r="A207" s="83" t="s">
        <v>3</v>
      </c>
      <c r="B207" s="265">
        <f>SUM(L207+M207+N207+O207+P207+U207+X207+Y207+Z207+AC207+AK207+AL207+AK207+AO207+AR207+AS207+AU207+AV207+AW207+AX207)</f>
        <v>0</v>
      </c>
      <c r="C207" s="214">
        <f>SUM(L207+M207+N207+O207+P207+U207+Y207+Z207+X207+AC207+AL207+AK207+AL207+AP207+AS207+AO207+AV207+AW207+AX207+AY200+AR207+AU207)</f>
        <v>0</v>
      </c>
      <c r="D207" s="133"/>
      <c r="E207" s="134"/>
      <c r="F207" s="135"/>
      <c r="G207" s="136"/>
      <c r="H207" s="683"/>
      <c r="I207" s="676"/>
      <c r="J207" s="96"/>
      <c r="K207" s="96"/>
      <c r="L207" s="104"/>
      <c r="M207" s="75"/>
      <c r="N207" s="75"/>
      <c r="O207" s="100"/>
      <c r="P207" s="100"/>
      <c r="Q207" s="108"/>
      <c r="R207" s="108"/>
      <c r="S207" s="109"/>
      <c r="T207" s="109"/>
      <c r="U207" s="100"/>
      <c r="V207" s="142"/>
      <c r="W207" s="142"/>
      <c r="X207" s="100"/>
      <c r="Y207" s="100"/>
      <c r="Z207" s="100"/>
      <c r="AA207" s="142"/>
      <c r="AB207" s="142"/>
      <c r="AC207" s="100"/>
      <c r="AD207" s="109"/>
      <c r="AE207" s="109"/>
      <c r="AF207" s="109"/>
      <c r="AG207" s="109"/>
      <c r="AH207" s="108"/>
      <c r="AI207" s="109"/>
      <c r="AJ207" s="100"/>
      <c r="AK207" s="100"/>
      <c r="AL207" s="75"/>
      <c r="AM207" s="100"/>
      <c r="AN207" s="75"/>
      <c r="AO207" s="100"/>
      <c r="AP207" s="107"/>
      <c r="AQ207" s="100"/>
      <c r="AR207" s="75"/>
      <c r="AS207" s="111"/>
      <c r="AT207" s="75"/>
      <c r="AU207" s="431"/>
      <c r="AV207" s="111"/>
    </row>
    <row r="208" spans="1:48" ht="17" thickBot="1">
      <c r="A208" s="85" t="s">
        <v>4</v>
      </c>
      <c r="B208" s="268">
        <f>SUM(L208+M208+N208+O208+P208+U208+X208+Y208+Z208+AC208+AK208+AL208+AK208+AO208+AR208+AS208+AU208+AV208+AW208+AX208)</f>
        <v>0</v>
      </c>
      <c r="C208" s="217">
        <f>SUM(L208+M208+N208+O208+P208+U208+Y208+Z208+X208+AC208+AL208+AK208+AL208+AP208+AS208+AO208+AV208+AW208+AX208+AY201+AR208+AU208)</f>
        <v>0</v>
      </c>
      <c r="D208" s="144"/>
      <c r="E208" s="145"/>
      <c r="F208" s="146"/>
      <c r="G208" s="147"/>
      <c r="H208" s="684"/>
      <c r="I208" s="677"/>
      <c r="J208" s="114"/>
      <c r="K208" s="114"/>
      <c r="L208" s="113"/>
      <c r="M208" s="112"/>
      <c r="N208" s="112"/>
      <c r="O208" s="116"/>
      <c r="P208" s="116"/>
      <c r="Q208" s="117"/>
      <c r="R208" s="117"/>
      <c r="S208" s="118"/>
      <c r="T208" s="118"/>
      <c r="U208" s="116"/>
      <c r="V208" s="149"/>
      <c r="W208" s="149"/>
      <c r="X208" s="116"/>
      <c r="Y208" s="116"/>
      <c r="Z208" s="116"/>
      <c r="AA208" s="149"/>
      <c r="AB208" s="149"/>
      <c r="AC208" s="116"/>
      <c r="AD208" s="118"/>
      <c r="AE208" s="118"/>
      <c r="AF208" s="118"/>
      <c r="AG208" s="118"/>
      <c r="AH208" s="117"/>
      <c r="AI208" s="118"/>
      <c r="AJ208" s="116"/>
      <c r="AK208" s="116"/>
      <c r="AL208" s="112"/>
      <c r="AM208" s="116"/>
      <c r="AN208" s="112"/>
      <c r="AO208" s="116"/>
      <c r="AP208" s="130"/>
      <c r="AQ208" s="116"/>
      <c r="AR208" s="112"/>
      <c r="AS208" s="121"/>
      <c r="AT208" s="112"/>
      <c r="AU208" s="432"/>
      <c r="AV208" s="121"/>
    </row>
    <row r="209" spans="1:48" ht="21.1">
      <c r="A209" s="82" t="s">
        <v>737</v>
      </c>
      <c r="B209" s="265"/>
      <c r="C209" s="214"/>
      <c r="D209" s="133"/>
      <c r="E209" s="134"/>
      <c r="F209" s="135"/>
      <c r="G209" s="136"/>
      <c r="H209" s="683"/>
      <c r="I209" s="676"/>
      <c r="J209" s="96"/>
      <c r="K209" s="96"/>
      <c r="L209" s="104"/>
      <c r="M209" s="75"/>
      <c r="N209" s="75" t="s">
        <v>432</v>
      </c>
      <c r="O209" s="100" t="s">
        <v>375</v>
      </c>
      <c r="P209" s="100" t="s">
        <v>375</v>
      </c>
      <c r="Q209" s="108"/>
      <c r="R209" s="108"/>
      <c r="S209" s="109" t="s">
        <v>369</v>
      </c>
      <c r="T209" s="109" t="s">
        <v>369</v>
      </c>
      <c r="U209" s="100"/>
      <c r="V209" s="142"/>
      <c r="W209" s="142" t="s">
        <v>369</v>
      </c>
      <c r="X209" s="100"/>
      <c r="Y209" s="100"/>
      <c r="Z209" s="100"/>
      <c r="AA209" s="142"/>
      <c r="AB209" s="142"/>
      <c r="AC209" s="100"/>
      <c r="AD209" s="109"/>
      <c r="AE209" s="109"/>
      <c r="AF209" s="109"/>
      <c r="AG209" s="109"/>
      <c r="AH209" s="108"/>
      <c r="AI209" s="109" t="s">
        <v>375</v>
      </c>
      <c r="AJ209" s="100"/>
      <c r="AK209" s="100"/>
      <c r="AL209" s="75"/>
      <c r="AM209" s="100"/>
      <c r="AN209" s="75"/>
      <c r="AO209" s="100"/>
      <c r="AP209" s="107"/>
      <c r="AQ209" s="100"/>
      <c r="AR209" s="75"/>
      <c r="AS209" s="111"/>
      <c r="AT209" s="75"/>
      <c r="AU209" s="431"/>
      <c r="AV209" s="111"/>
    </row>
    <row r="210" spans="1:48" ht="16.3">
      <c r="A210" s="246" t="s">
        <v>1</v>
      </c>
      <c r="B210" s="266">
        <f>SUM(L210+M210+N210+O210+P210+U210+X210+Y210+Z210+AC210+AK210+AL210+AK210+AO210+AR210+AS210+AU210+AV210+AW210+AX210)</f>
        <v>0</v>
      </c>
      <c r="C210" s="215">
        <f>SUM(L210+M210+N210+O210+P210+U210+Y210+Z210+X210+AC210+AL210+AK210+AL210+AP210+AS210+AO210+AV210+AW210+AX210+AY203+AR210+AU210)</f>
        <v>0</v>
      </c>
      <c r="D210" s="133"/>
      <c r="E210" s="134"/>
      <c r="F210" s="135"/>
      <c r="G210" s="136"/>
      <c r="H210" s="683"/>
      <c r="I210" s="676"/>
      <c r="J210" s="96"/>
      <c r="K210" s="96"/>
      <c r="L210" s="104"/>
      <c r="M210" s="75"/>
      <c r="N210" s="75"/>
      <c r="O210" s="100"/>
      <c r="P210" s="100"/>
      <c r="Q210" s="108"/>
      <c r="R210" s="108"/>
      <c r="S210" s="109">
        <v>1</v>
      </c>
      <c r="T210" s="109">
        <v>1</v>
      </c>
      <c r="U210" s="100"/>
      <c r="V210" s="142"/>
      <c r="W210" s="142">
        <v>1</v>
      </c>
      <c r="X210" s="100"/>
      <c r="Y210" s="100"/>
      <c r="Z210" s="100"/>
      <c r="AA210" s="142"/>
      <c r="AB210" s="142"/>
      <c r="AC210" s="100"/>
      <c r="AD210" s="109"/>
      <c r="AE210" s="109"/>
      <c r="AF210" s="109"/>
      <c r="AG210" s="109"/>
      <c r="AH210" s="108"/>
      <c r="AI210" s="109"/>
      <c r="AJ210" s="100"/>
      <c r="AK210" s="100"/>
      <c r="AL210" s="75"/>
      <c r="AM210" s="100"/>
      <c r="AN210" s="75"/>
      <c r="AO210" s="100"/>
      <c r="AP210" s="107"/>
      <c r="AQ210" s="100"/>
      <c r="AR210" s="75"/>
      <c r="AS210" s="111"/>
      <c r="AT210" s="75"/>
      <c r="AU210" s="431"/>
      <c r="AV210" s="111"/>
    </row>
    <row r="211" spans="1:48" ht="16.3">
      <c r="A211" s="246" t="s">
        <v>2</v>
      </c>
      <c r="B211" s="266">
        <f>SUM(L211+M211+N211+O211+P211+U211+X211+Y211+Z211+AC211+AK211+AL211+AK211+AO211+AR211+AS211+AU211+AV211+AW211+AX211)</f>
        <v>3</v>
      </c>
      <c r="C211" s="215">
        <f>SUM(L211+M211+N211+O211+P211+U211+Y211+Z211+X211+AC211+AL211+AK211+AL211+AP211+AS211+AO211+AV211+AW211+AX211+AY204+AR211+AU211)</f>
        <v>3</v>
      </c>
      <c r="D211" s="133"/>
      <c r="E211" s="134"/>
      <c r="F211" s="135"/>
      <c r="G211" s="136"/>
      <c r="H211" s="683"/>
      <c r="I211" s="676"/>
      <c r="J211" s="96"/>
      <c r="K211" s="96"/>
      <c r="L211" s="104"/>
      <c r="M211" s="75"/>
      <c r="N211" s="75">
        <v>1</v>
      </c>
      <c r="O211" s="100">
        <v>1</v>
      </c>
      <c r="P211" s="100">
        <v>1</v>
      </c>
      <c r="Q211" s="108"/>
      <c r="R211" s="108"/>
      <c r="S211" s="109"/>
      <c r="T211" s="109"/>
      <c r="U211" s="100"/>
      <c r="V211" s="142"/>
      <c r="W211" s="142"/>
      <c r="X211" s="100"/>
      <c r="Y211" s="100"/>
      <c r="Z211" s="100"/>
      <c r="AA211" s="142"/>
      <c r="AB211" s="142"/>
      <c r="AC211" s="100"/>
      <c r="AD211" s="109"/>
      <c r="AE211" s="109"/>
      <c r="AF211" s="109"/>
      <c r="AG211" s="109"/>
      <c r="AH211" s="108"/>
      <c r="AI211" s="109">
        <v>1</v>
      </c>
      <c r="AJ211" s="100"/>
      <c r="AK211" s="100"/>
      <c r="AL211" s="75"/>
      <c r="AM211" s="100"/>
      <c r="AN211" s="75"/>
      <c r="AO211" s="100"/>
      <c r="AP211" s="107"/>
      <c r="AQ211" s="100"/>
      <c r="AR211" s="75"/>
      <c r="AS211" s="111"/>
      <c r="AT211" s="75"/>
      <c r="AU211" s="431"/>
      <c r="AV211" s="111"/>
    </row>
    <row r="212" spans="1:48" ht="16.3">
      <c r="A212" s="83" t="s">
        <v>363</v>
      </c>
      <c r="B212" s="265">
        <f>SUM(B210+B211)</f>
        <v>3</v>
      </c>
      <c r="C212" s="214">
        <f>SUM(C210+C211)</f>
        <v>3</v>
      </c>
      <c r="D212" s="133"/>
      <c r="E212" s="134"/>
      <c r="F212" s="135"/>
      <c r="G212" s="136"/>
      <c r="H212" s="683"/>
      <c r="I212" s="676"/>
      <c r="J212" s="96"/>
      <c r="K212" s="96"/>
      <c r="L212" s="104"/>
      <c r="M212" s="75"/>
      <c r="N212" s="75"/>
      <c r="O212" s="100"/>
      <c r="P212" s="100"/>
      <c r="Q212" s="108"/>
      <c r="R212" s="108"/>
      <c r="S212" s="109"/>
      <c r="T212" s="109"/>
      <c r="U212" s="100"/>
      <c r="V212" s="142"/>
      <c r="W212" s="142"/>
      <c r="X212" s="100"/>
      <c r="Y212" s="100"/>
      <c r="Z212" s="100"/>
      <c r="AA212" s="142"/>
      <c r="AB212" s="142"/>
      <c r="AC212" s="100"/>
      <c r="AD212" s="109"/>
      <c r="AE212" s="109"/>
      <c r="AF212" s="109"/>
      <c r="AG212" s="109"/>
      <c r="AH212" s="108"/>
      <c r="AI212" s="109"/>
      <c r="AJ212" s="100"/>
      <c r="AK212" s="100"/>
      <c r="AL212" s="75"/>
      <c r="AM212" s="100"/>
      <c r="AN212" s="75"/>
      <c r="AO212" s="100"/>
      <c r="AP212" s="107"/>
      <c r="AQ212" s="100"/>
      <c r="AR212" s="75"/>
      <c r="AS212" s="111"/>
      <c r="AT212" s="75"/>
      <c r="AU212" s="431"/>
      <c r="AV212" s="111"/>
    </row>
    <row r="213" spans="1:48" ht="16.3">
      <c r="A213" s="83" t="s">
        <v>3</v>
      </c>
      <c r="B213" s="265">
        <f>SUM(L213+M213+N213+O213+P213+U213+X213+Y213+Z213+AC213+AK213+AL213+AK213+AO213+AR213+AS213+AU213+AV213+AW213+AX213)</f>
        <v>0</v>
      </c>
      <c r="C213" s="214">
        <f>SUM(L213+M213+N213+O213+P213+U213+Y213+Z213+X213+AC213+AL213+AK213+AL213+AP213+AS213+AO213+AV213+AW213+AX213+AY206+AR213+AU213)</f>
        <v>0</v>
      </c>
      <c r="D213" s="133"/>
      <c r="E213" s="134"/>
      <c r="F213" s="135"/>
      <c r="G213" s="136"/>
      <c r="H213" s="683"/>
      <c r="I213" s="676"/>
      <c r="J213" s="96"/>
      <c r="K213" s="96"/>
      <c r="L213" s="104"/>
      <c r="M213" s="75"/>
      <c r="N213" s="75"/>
      <c r="O213" s="100"/>
      <c r="P213" s="100"/>
      <c r="Q213" s="108"/>
      <c r="R213" s="108"/>
      <c r="S213" s="109"/>
      <c r="T213" s="109"/>
      <c r="U213" s="100"/>
      <c r="V213" s="142"/>
      <c r="W213" s="142"/>
      <c r="X213" s="100"/>
      <c r="Y213" s="100"/>
      <c r="Z213" s="100"/>
      <c r="AA213" s="142"/>
      <c r="AB213" s="142"/>
      <c r="AC213" s="100"/>
      <c r="AD213" s="109"/>
      <c r="AE213" s="109"/>
      <c r="AF213" s="109"/>
      <c r="AG213" s="109"/>
      <c r="AH213" s="108"/>
      <c r="AI213" s="109"/>
      <c r="AJ213" s="100"/>
      <c r="AK213" s="100"/>
      <c r="AL213" s="75"/>
      <c r="AM213" s="100"/>
      <c r="AN213" s="75"/>
      <c r="AO213" s="100"/>
      <c r="AP213" s="107"/>
      <c r="AQ213" s="100"/>
      <c r="AR213" s="75"/>
      <c r="AS213" s="111"/>
      <c r="AT213" s="75"/>
      <c r="AU213" s="431"/>
      <c r="AV213" s="111"/>
    </row>
    <row r="214" spans="1:48" ht="17" thickBot="1">
      <c r="A214" s="85" t="s">
        <v>4</v>
      </c>
      <c r="B214" s="268">
        <f>SUM(L214+M214+N214+O214+P214+U214+X214+Y214+Z214+AC214+AK214+AL214+AK214+AO214+AR214+AS214+AU214+AV214+AW214+AX214)</f>
        <v>0</v>
      </c>
      <c r="C214" s="217">
        <f>SUM(L214+M214+N214+O214+P214+U214+Y214+Z214+X214+AC214+AL214+AK214+AL214+AP214+AS214+AO214+AV214+AW214+AX214+AY207+AR214+AU214)</f>
        <v>0</v>
      </c>
      <c r="D214" s="144"/>
      <c r="E214" s="145"/>
      <c r="F214" s="146"/>
      <c r="G214" s="147"/>
      <c r="H214" s="684"/>
      <c r="I214" s="677"/>
      <c r="J214" s="114"/>
      <c r="K214" s="114"/>
      <c r="L214" s="113"/>
      <c r="M214" s="112"/>
      <c r="N214" s="112"/>
      <c r="O214" s="116"/>
      <c r="P214" s="116"/>
      <c r="Q214" s="117"/>
      <c r="R214" s="127"/>
      <c r="S214" s="109"/>
      <c r="T214" s="109"/>
      <c r="U214" s="100"/>
      <c r="V214" s="142"/>
      <c r="W214" s="142"/>
      <c r="X214" s="100"/>
      <c r="Y214" s="100"/>
      <c r="Z214" s="100"/>
      <c r="AA214" s="142"/>
      <c r="AB214" s="142"/>
      <c r="AC214" s="100"/>
      <c r="AD214" s="109"/>
      <c r="AE214" s="109"/>
      <c r="AF214" s="109"/>
      <c r="AG214" s="109"/>
      <c r="AH214" s="108"/>
      <c r="AI214" s="109"/>
      <c r="AJ214" s="100"/>
      <c r="AK214" s="100"/>
      <c r="AL214" s="75"/>
      <c r="AM214" s="100"/>
      <c r="AN214" s="75"/>
      <c r="AO214" s="100"/>
      <c r="AP214" s="107"/>
      <c r="AQ214" s="100"/>
      <c r="AR214" s="75"/>
      <c r="AS214" s="111"/>
      <c r="AT214" s="75"/>
      <c r="AU214" s="431"/>
      <c r="AV214" s="111"/>
    </row>
    <row r="215" spans="1:48" ht="21.1">
      <c r="A215" s="82" t="s">
        <v>138</v>
      </c>
      <c r="B215" s="265"/>
      <c r="C215" s="214"/>
      <c r="D215" s="133"/>
      <c r="E215" s="134"/>
      <c r="F215" s="135"/>
      <c r="G215" s="136"/>
      <c r="H215" s="683"/>
      <c r="I215" s="676"/>
      <c r="J215" s="96" t="s">
        <v>370</v>
      </c>
      <c r="K215" s="96" t="s">
        <v>375</v>
      </c>
      <c r="L215" s="104" t="s">
        <v>370</v>
      </c>
      <c r="M215" s="75" t="s">
        <v>370</v>
      </c>
      <c r="N215" s="75" t="s">
        <v>370</v>
      </c>
      <c r="O215" s="100" t="s">
        <v>370</v>
      </c>
      <c r="P215" s="100" t="s">
        <v>370</v>
      </c>
      <c r="Q215" s="108"/>
      <c r="R215" s="108"/>
      <c r="S215" s="99"/>
      <c r="T215" s="99"/>
      <c r="U215" s="102" t="s">
        <v>370</v>
      </c>
      <c r="V215" s="138" t="s">
        <v>339</v>
      </c>
      <c r="W215" s="138" t="s">
        <v>339</v>
      </c>
      <c r="X215" s="102" t="s">
        <v>339</v>
      </c>
      <c r="Y215" s="102" t="s">
        <v>339</v>
      </c>
      <c r="Z215" s="102" t="s">
        <v>339</v>
      </c>
      <c r="AA215" s="138" t="s">
        <v>339</v>
      </c>
      <c r="AB215" s="138" t="s">
        <v>339</v>
      </c>
      <c r="AC215" s="102" t="s">
        <v>339</v>
      </c>
      <c r="AD215" s="99" t="s">
        <v>370</v>
      </c>
      <c r="AE215" s="99" t="s">
        <v>370</v>
      </c>
      <c r="AF215" s="99" t="s">
        <v>370</v>
      </c>
      <c r="AG215" s="99" t="s">
        <v>370</v>
      </c>
      <c r="AH215" s="98"/>
      <c r="AI215" s="99"/>
      <c r="AJ215" s="102"/>
      <c r="AK215" s="102"/>
      <c r="AL215" s="122"/>
      <c r="AM215" s="102"/>
      <c r="AN215" s="122"/>
      <c r="AO215" s="102"/>
      <c r="AP215" s="131"/>
      <c r="AQ215" s="102"/>
      <c r="AR215" s="122"/>
      <c r="AS215" s="103"/>
      <c r="AT215" s="122"/>
      <c r="AU215" s="430"/>
      <c r="AV215" s="103"/>
    </row>
    <row r="216" spans="1:48" ht="16.3">
      <c r="A216" s="246" t="s">
        <v>1</v>
      </c>
      <c r="B216" s="266">
        <f>SUM(L216+M216+N216+O216+P216+U216+X216+Y216+Z216+AC216+AK216+AL216+AK216+AO216+AR216+AS216+AU216+AV216+AW216+AX216)+16</f>
        <v>22</v>
      </c>
      <c r="C216" s="215">
        <f>SUM(L216+M216+N216+O216+P216+U216+Y216+Z216+X216+AC216+AL216+AK216+AL216+AP216+AS216+AO216+AV216+AW216+AX216+AY209+AR216+AU216)+16</f>
        <v>22</v>
      </c>
      <c r="D216" s="133"/>
      <c r="E216" s="134"/>
      <c r="F216" s="135"/>
      <c r="G216" s="136"/>
      <c r="H216" s="683"/>
      <c r="I216" s="676"/>
      <c r="J216" s="96">
        <v>1</v>
      </c>
      <c r="K216" s="96"/>
      <c r="L216" s="104">
        <v>1</v>
      </c>
      <c r="M216" s="75">
        <v>1</v>
      </c>
      <c r="N216" s="75">
        <v>1</v>
      </c>
      <c r="O216" s="100">
        <v>1</v>
      </c>
      <c r="P216" s="100">
        <v>1</v>
      </c>
      <c r="Q216" s="108"/>
      <c r="R216" s="108"/>
      <c r="S216" s="109"/>
      <c r="T216" s="109"/>
      <c r="U216" s="100">
        <v>1</v>
      </c>
      <c r="V216" s="142"/>
      <c r="W216" s="142"/>
      <c r="X216" s="100"/>
      <c r="Y216" s="100"/>
      <c r="Z216" s="100"/>
      <c r="AA216" s="142"/>
      <c r="AB216" s="142"/>
      <c r="AC216" s="100"/>
      <c r="AD216" s="109">
        <v>1</v>
      </c>
      <c r="AE216" s="109">
        <v>1</v>
      </c>
      <c r="AF216" s="109">
        <v>1</v>
      </c>
      <c r="AG216" s="109">
        <v>1</v>
      </c>
      <c r="AH216" s="108"/>
      <c r="AI216" s="109"/>
      <c r="AJ216" s="100"/>
      <c r="AK216" s="100"/>
      <c r="AL216" s="75"/>
      <c r="AM216" s="100"/>
      <c r="AN216" s="75"/>
      <c r="AO216" s="100"/>
      <c r="AP216" s="107"/>
      <c r="AQ216" s="100"/>
      <c r="AR216" s="75"/>
      <c r="AS216" s="111"/>
      <c r="AT216" s="75"/>
      <c r="AU216" s="431"/>
      <c r="AV216" s="111"/>
    </row>
    <row r="217" spans="1:48" ht="16.3">
      <c r="A217" s="246" t="s">
        <v>2</v>
      </c>
      <c r="B217" s="266">
        <f>SUM(L217+M217+N217+O217+P217+U217+X217+Y217+Z217+AC217+AK217+AL217+AK217+AO217+AR217+AS217+AU217+AV217+AW217+AX217)+32</f>
        <v>32</v>
      </c>
      <c r="C217" s="215">
        <f>SUM(L217+M217+N217+O217+P217+U217+Y217+Z217+X217+AC217+AL217+AK217+AL217+AP217+AS217+AO217+AV217+AW217+AX217+AY210+AR217+AU217)+32</f>
        <v>32</v>
      </c>
      <c r="D217" s="133"/>
      <c r="E217" s="134"/>
      <c r="F217" s="135"/>
      <c r="G217" s="136"/>
      <c r="H217" s="683"/>
      <c r="I217" s="676"/>
      <c r="J217" s="96"/>
      <c r="K217" s="96">
        <v>1</v>
      </c>
      <c r="L217" s="104"/>
      <c r="M217" s="75"/>
      <c r="N217" s="75"/>
      <c r="O217" s="100"/>
      <c r="P217" s="100"/>
      <c r="Q217" s="108"/>
      <c r="R217" s="108"/>
      <c r="S217" s="109"/>
      <c r="T217" s="109"/>
      <c r="U217" s="100"/>
      <c r="V217" s="142"/>
      <c r="W217" s="142"/>
      <c r="X217" s="100"/>
      <c r="Y217" s="100"/>
      <c r="Z217" s="100"/>
      <c r="AA217" s="142"/>
      <c r="AB217" s="142"/>
      <c r="AC217" s="100"/>
      <c r="AD217" s="109"/>
      <c r="AE217" s="109"/>
      <c r="AF217" s="109"/>
      <c r="AG217" s="109"/>
      <c r="AH217" s="108"/>
      <c r="AI217" s="109"/>
      <c r="AJ217" s="100"/>
      <c r="AK217" s="100"/>
      <c r="AL217" s="75"/>
      <c r="AM217" s="100"/>
      <c r="AN217" s="75"/>
      <c r="AO217" s="100"/>
      <c r="AP217" s="107"/>
      <c r="AQ217" s="100"/>
      <c r="AR217" s="75"/>
      <c r="AS217" s="111"/>
      <c r="AT217" s="75"/>
      <c r="AU217" s="431"/>
      <c r="AV217" s="111"/>
    </row>
    <row r="218" spans="1:48" ht="16.3">
      <c r="A218" s="83" t="s">
        <v>363</v>
      </c>
      <c r="B218" s="265">
        <f>SUM(B216+B217)</f>
        <v>54</v>
      </c>
      <c r="C218" s="214">
        <f>SUM(C216+C217)</f>
        <v>54</v>
      </c>
      <c r="D218" s="133"/>
      <c r="E218" s="134"/>
      <c r="F218" s="135"/>
      <c r="G218" s="136"/>
      <c r="H218" s="683"/>
      <c r="I218" s="676"/>
      <c r="J218" s="96"/>
      <c r="K218" s="96"/>
      <c r="L218" s="104"/>
      <c r="M218" s="75"/>
      <c r="N218" s="75"/>
      <c r="O218" s="100"/>
      <c r="P218" s="100"/>
      <c r="Q218" s="108"/>
      <c r="R218" s="108"/>
      <c r="S218" s="109"/>
      <c r="T218" s="109"/>
      <c r="U218" s="100"/>
      <c r="V218" s="142"/>
      <c r="W218" s="142"/>
      <c r="X218" s="100"/>
      <c r="Y218" s="100"/>
      <c r="Z218" s="100"/>
      <c r="AA218" s="142"/>
      <c r="AB218" s="142"/>
      <c r="AC218" s="100"/>
      <c r="AD218" s="109"/>
      <c r="AE218" s="109"/>
      <c r="AF218" s="109"/>
      <c r="AG218" s="109"/>
      <c r="AH218" s="108"/>
      <c r="AI218" s="109"/>
      <c r="AJ218" s="100"/>
      <c r="AK218" s="100"/>
      <c r="AL218" s="75"/>
      <c r="AM218" s="100"/>
      <c r="AN218" s="75"/>
      <c r="AO218" s="100"/>
      <c r="AP218" s="107"/>
      <c r="AQ218" s="100"/>
      <c r="AR218" s="75"/>
      <c r="AS218" s="111"/>
      <c r="AT218" s="75"/>
      <c r="AU218" s="431"/>
      <c r="AV218" s="111"/>
    </row>
    <row r="219" spans="1:48" ht="16.3">
      <c r="A219" s="83" t="s">
        <v>3</v>
      </c>
      <c r="B219" s="265">
        <f>SUM(L219+M219+N219+O219+P219+U219+X219+Y219+Z219+AC219+AK219+AL219+AK219+AO219+AR219+AS219+AU219+AV219+AW219+AX219)+7</f>
        <v>7</v>
      </c>
      <c r="C219" s="214">
        <f>SUM(L219+M219+N219+O219+P219+U219+Y219+Z219+X219+AC219+AL219+AK219+AL219+AP219+AS219+AO219+AV219+AW219+AX219+AY212+AR219+AU219)+7</f>
        <v>7</v>
      </c>
      <c r="D219" s="133"/>
      <c r="E219" s="134"/>
      <c r="F219" s="135"/>
      <c r="G219" s="136"/>
      <c r="H219" s="683"/>
      <c r="I219" s="676"/>
      <c r="J219" s="96"/>
      <c r="K219" s="96"/>
      <c r="L219" s="104"/>
      <c r="M219" s="75"/>
      <c r="N219" s="75"/>
      <c r="O219" s="100"/>
      <c r="P219" s="100"/>
      <c r="Q219" s="108"/>
      <c r="R219" s="108"/>
      <c r="S219" s="109"/>
      <c r="T219" s="109"/>
      <c r="U219" s="100"/>
      <c r="V219" s="142"/>
      <c r="W219" s="142"/>
      <c r="X219" s="100"/>
      <c r="Y219" s="100"/>
      <c r="Z219" s="100"/>
      <c r="AA219" s="142"/>
      <c r="AB219" s="142"/>
      <c r="AC219" s="100"/>
      <c r="AD219" s="109">
        <v>1</v>
      </c>
      <c r="AE219" s="109"/>
      <c r="AF219" s="109"/>
      <c r="AG219" s="109"/>
      <c r="AH219" s="108"/>
      <c r="AI219" s="109"/>
      <c r="AJ219" s="100"/>
      <c r="AK219" s="100"/>
      <c r="AL219" s="75"/>
      <c r="AM219" s="100"/>
      <c r="AN219" s="75"/>
      <c r="AO219" s="100"/>
      <c r="AP219" s="107"/>
      <c r="AQ219" s="100"/>
      <c r="AR219" s="75"/>
      <c r="AS219" s="111"/>
      <c r="AT219" s="75"/>
      <c r="AU219" s="431"/>
      <c r="AV219" s="111"/>
    </row>
    <row r="220" spans="1:48" ht="17" thickBot="1">
      <c r="A220" s="85" t="s">
        <v>4</v>
      </c>
      <c r="B220" s="268">
        <f>SUM(L220+M220+N220+O220+P220+U220+X220+Y220+Z220+AC220+AK220+AL220+AK220+AO220+AR220+AS220+AU220+AV220+AW220+AX220)+35</f>
        <v>35</v>
      </c>
      <c r="C220" s="217">
        <f>SUM(L220+M220+N220+O220+P220+U220+Y220+Z220+X220+AC220+AL220+AK220+AL220+AP220+AS220+AO220+AV220+AW220+AX220+AY213+AR220+AU220)+35</f>
        <v>35</v>
      </c>
      <c r="D220" s="144"/>
      <c r="E220" s="145"/>
      <c r="F220" s="146"/>
      <c r="G220" s="147"/>
      <c r="H220" s="684"/>
      <c r="I220" s="677"/>
      <c r="J220" s="114"/>
      <c r="K220" s="114"/>
      <c r="L220" s="113"/>
      <c r="M220" s="112"/>
      <c r="N220" s="112"/>
      <c r="O220" s="116"/>
      <c r="P220" s="116"/>
      <c r="Q220" s="117"/>
      <c r="R220" s="117"/>
      <c r="S220" s="118"/>
      <c r="T220" s="118"/>
      <c r="U220" s="116"/>
      <c r="V220" s="149"/>
      <c r="W220" s="149"/>
      <c r="X220" s="116"/>
      <c r="Y220" s="116"/>
      <c r="Z220" s="116"/>
      <c r="AA220" s="149"/>
      <c r="AB220" s="149"/>
      <c r="AC220" s="116"/>
      <c r="AD220" s="118">
        <v>5</v>
      </c>
      <c r="AE220" s="118"/>
      <c r="AF220" s="118"/>
      <c r="AG220" s="118"/>
      <c r="AH220" s="117"/>
      <c r="AI220" s="118"/>
      <c r="AJ220" s="116"/>
      <c r="AK220" s="116"/>
      <c r="AL220" s="112"/>
      <c r="AM220" s="116"/>
      <c r="AN220" s="112"/>
      <c r="AO220" s="116"/>
      <c r="AP220" s="130"/>
      <c r="AQ220" s="116"/>
      <c r="AR220" s="112"/>
      <c r="AS220" s="121"/>
      <c r="AT220" s="112"/>
      <c r="AU220" s="432"/>
      <c r="AV220" s="121"/>
    </row>
    <row r="221" spans="1:48" ht="21.1">
      <c r="A221" s="82" t="s">
        <v>577</v>
      </c>
      <c r="B221" s="270"/>
      <c r="C221" s="218"/>
      <c r="D221" s="153"/>
      <c r="E221" s="154"/>
      <c r="F221" s="155"/>
      <c r="G221" s="156"/>
      <c r="H221" s="683"/>
      <c r="I221" s="676"/>
      <c r="J221" s="96"/>
      <c r="K221" s="96" t="s">
        <v>370</v>
      </c>
      <c r="L221" s="104" t="s">
        <v>375</v>
      </c>
      <c r="M221" s="75" t="s">
        <v>375</v>
      </c>
      <c r="N221" s="75" t="s">
        <v>375</v>
      </c>
      <c r="O221" s="102" t="s">
        <v>441</v>
      </c>
      <c r="P221" s="102" t="s">
        <v>375</v>
      </c>
      <c r="Q221" s="98"/>
      <c r="R221" s="98"/>
      <c r="S221" s="99" t="s">
        <v>375</v>
      </c>
      <c r="T221" s="99" t="s">
        <v>370</v>
      </c>
      <c r="U221" s="102" t="s">
        <v>375</v>
      </c>
      <c r="V221" s="138" t="s">
        <v>370</v>
      </c>
      <c r="W221" s="138"/>
      <c r="X221" s="102" t="s">
        <v>370</v>
      </c>
      <c r="Y221" s="102" t="s">
        <v>370</v>
      </c>
      <c r="Z221" s="102" t="s">
        <v>370</v>
      </c>
      <c r="AA221" s="138" t="s">
        <v>370</v>
      </c>
      <c r="AB221" s="138" t="s">
        <v>370</v>
      </c>
      <c r="AC221" s="102" t="s">
        <v>370</v>
      </c>
      <c r="AD221" s="99"/>
      <c r="AE221" s="99"/>
      <c r="AF221" s="99"/>
      <c r="AG221" s="99"/>
      <c r="AH221" s="98"/>
      <c r="AI221" s="99"/>
      <c r="AJ221" s="102"/>
      <c r="AK221" s="102"/>
      <c r="AL221" s="122"/>
      <c r="AM221" s="102"/>
      <c r="AN221" s="122"/>
      <c r="AO221" s="102"/>
      <c r="AP221" s="131"/>
      <c r="AQ221" s="102"/>
      <c r="AR221" s="122"/>
      <c r="AS221" s="103"/>
      <c r="AT221" s="122"/>
      <c r="AU221" s="430"/>
      <c r="AV221" s="103"/>
    </row>
    <row r="222" spans="1:48" ht="16.3">
      <c r="A222" s="246" t="s">
        <v>1</v>
      </c>
      <c r="B222" s="266">
        <f>SUM(L222+M222+N222+O222+P222+U222+X222+Y222+Z222+AC222+AK222+AL222+AK222+AO222+AR222+AS222+AU222+AV222+AW222+AX222)</f>
        <v>4</v>
      </c>
      <c r="C222" s="215">
        <f>B222</f>
        <v>4</v>
      </c>
      <c r="D222" s="133"/>
      <c r="E222" s="134"/>
      <c r="F222" s="135"/>
      <c r="G222" s="136"/>
      <c r="H222" s="683"/>
      <c r="I222" s="676"/>
      <c r="J222" s="96"/>
      <c r="K222" s="96">
        <v>1</v>
      </c>
      <c r="L222" s="104"/>
      <c r="M222" s="75"/>
      <c r="N222" s="75"/>
      <c r="O222" s="100"/>
      <c r="P222" s="100"/>
      <c r="Q222" s="108"/>
      <c r="R222" s="108"/>
      <c r="S222" s="109"/>
      <c r="T222" s="109">
        <v>1</v>
      </c>
      <c r="U222" s="100"/>
      <c r="V222" s="142">
        <v>1</v>
      </c>
      <c r="W222" s="142"/>
      <c r="X222" s="100">
        <v>1</v>
      </c>
      <c r="Y222" s="100">
        <v>1</v>
      </c>
      <c r="Z222" s="100">
        <v>1</v>
      </c>
      <c r="AA222" s="142">
        <v>1</v>
      </c>
      <c r="AB222" s="142">
        <v>1</v>
      </c>
      <c r="AC222" s="100">
        <v>1</v>
      </c>
      <c r="AD222" s="109"/>
      <c r="AE222" s="109"/>
      <c r="AF222" s="109"/>
      <c r="AG222" s="109"/>
      <c r="AH222" s="108"/>
      <c r="AI222" s="109"/>
      <c r="AJ222" s="100"/>
      <c r="AK222" s="100"/>
      <c r="AL222" s="75"/>
      <c r="AM222" s="100"/>
      <c r="AN222" s="75"/>
      <c r="AO222" s="100"/>
      <c r="AP222" s="107"/>
      <c r="AQ222" s="100"/>
      <c r="AR222" s="75"/>
      <c r="AS222" s="111"/>
      <c r="AT222" s="75"/>
      <c r="AU222" s="431"/>
      <c r="AV222" s="111"/>
    </row>
    <row r="223" spans="1:48" ht="16.3">
      <c r="A223" s="246" t="s">
        <v>2</v>
      </c>
      <c r="B223" s="266">
        <f>SUM(L223+M223+N223+O223+P223+U223+X223+Y223+Z223+AC223+AK223+AL223+AK223+AO223+AR223+AS223+AU223+AV223+AW223+AX223)</f>
        <v>6</v>
      </c>
      <c r="C223" s="215">
        <f t="shared" ref="C223:C226" si="5">B223</f>
        <v>6</v>
      </c>
      <c r="D223" s="133"/>
      <c r="E223" s="134"/>
      <c r="F223" s="135"/>
      <c r="G223" s="136"/>
      <c r="H223" s="683"/>
      <c r="I223" s="676"/>
      <c r="J223" s="96"/>
      <c r="K223" s="96"/>
      <c r="L223" s="104">
        <v>1</v>
      </c>
      <c r="M223" s="75">
        <v>1</v>
      </c>
      <c r="N223" s="75">
        <v>1</v>
      </c>
      <c r="O223" s="100">
        <v>1</v>
      </c>
      <c r="P223" s="100">
        <v>1</v>
      </c>
      <c r="Q223" s="108"/>
      <c r="R223" s="108"/>
      <c r="S223" s="109">
        <v>1</v>
      </c>
      <c r="T223" s="109"/>
      <c r="U223" s="100">
        <v>1</v>
      </c>
      <c r="V223" s="142"/>
      <c r="W223" s="142"/>
      <c r="X223" s="100"/>
      <c r="Y223" s="100"/>
      <c r="Z223" s="100"/>
      <c r="AA223" s="142"/>
      <c r="AB223" s="142"/>
      <c r="AC223" s="100"/>
      <c r="AD223" s="109"/>
      <c r="AE223" s="109"/>
      <c r="AF223" s="109"/>
      <c r="AG223" s="109"/>
      <c r="AH223" s="108"/>
      <c r="AI223" s="109"/>
      <c r="AJ223" s="100"/>
      <c r="AK223" s="100"/>
      <c r="AL223" s="75"/>
      <c r="AM223" s="100"/>
      <c r="AN223" s="75"/>
      <c r="AO223" s="100"/>
      <c r="AP223" s="107"/>
      <c r="AQ223" s="100"/>
      <c r="AR223" s="75"/>
      <c r="AS223" s="111"/>
      <c r="AT223" s="75"/>
      <c r="AU223" s="431"/>
      <c r="AV223" s="111"/>
    </row>
    <row r="224" spans="1:48" ht="16.3">
      <c r="A224" s="83" t="s">
        <v>363</v>
      </c>
      <c r="B224" s="265">
        <f>SUM(B222+B223)</f>
        <v>10</v>
      </c>
      <c r="C224" s="214">
        <f t="shared" si="5"/>
        <v>10</v>
      </c>
      <c r="D224" s="133"/>
      <c r="E224" s="134"/>
      <c r="F224" s="135"/>
      <c r="G224" s="136"/>
      <c r="H224" s="683"/>
      <c r="I224" s="676"/>
      <c r="J224" s="96"/>
      <c r="K224" s="96"/>
      <c r="L224" s="104"/>
      <c r="M224" s="75"/>
      <c r="N224" s="75"/>
      <c r="O224" s="100"/>
      <c r="P224" s="100"/>
      <c r="Q224" s="108"/>
      <c r="R224" s="108"/>
      <c r="S224" s="109"/>
      <c r="T224" s="109"/>
      <c r="U224" s="100"/>
      <c r="V224" s="142"/>
      <c r="W224" s="142"/>
      <c r="X224" s="100"/>
      <c r="Y224" s="100"/>
      <c r="Z224" s="100"/>
      <c r="AA224" s="142"/>
      <c r="AB224" s="142"/>
      <c r="AC224" s="100"/>
      <c r="AD224" s="109"/>
      <c r="AE224" s="109"/>
      <c r="AF224" s="109"/>
      <c r="AG224" s="109"/>
      <c r="AH224" s="108"/>
      <c r="AI224" s="109"/>
      <c r="AJ224" s="100"/>
      <c r="AK224" s="100"/>
      <c r="AL224" s="75"/>
      <c r="AM224" s="100"/>
      <c r="AN224" s="75"/>
      <c r="AO224" s="100"/>
      <c r="AP224" s="107"/>
      <c r="AQ224" s="100"/>
      <c r="AR224" s="75"/>
      <c r="AS224" s="111"/>
      <c r="AT224" s="75"/>
      <c r="AU224" s="431"/>
      <c r="AV224" s="111"/>
    </row>
    <row r="225" spans="1:48" ht="16.3">
      <c r="A225" s="83" t="s">
        <v>3</v>
      </c>
      <c r="B225" s="265">
        <f>SUM(L225+M225+N225+O225+P225+U225+X225+Y225+Z225+AC225+AK225+AL225+AK225+AO225+AR225+AS225+AU225+AV225+AW225+AX225)</f>
        <v>0</v>
      </c>
      <c r="C225" s="214">
        <f t="shared" si="5"/>
        <v>0</v>
      </c>
      <c r="D225" s="133"/>
      <c r="E225" s="134"/>
      <c r="F225" s="135"/>
      <c r="G225" s="136"/>
      <c r="H225" s="683"/>
      <c r="I225" s="676"/>
      <c r="J225" s="96"/>
      <c r="K225" s="96"/>
      <c r="L225" s="104"/>
      <c r="M225" s="75"/>
      <c r="N225" s="75"/>
      <c r="O225" s="100"/>
      <c r="P225" s="100"/>
      <c r="Q225" s="108"/>
      <c r="R225" s="108"/>
      <c r="S225" s="109"/>
      <c r="T225" s="109"/>
      <c r="U225" s="100"/>
      <c r="V225" s="142"/>
      <c r="W225" s="142"/>
      <c r="X225" s="100"/>
      <c r="Y225" s="100"/>
      <c r="Z225" s="100"/>
      <c r="AA225" s="142"/>
      <c r="AB225" s="142">
        <v>2</v>
      </c>
      <c r="AC225" s="100"/>
      <c r="AD225" s="109"/>
      <c r="AE225" s="109"/>
      <c r="AF225" s="109"/>
      <c r="AG225" s="109"/>
      <c r="AH225" s="108"/>
      <c r="AI225" s="109"/>
      <c r="AJ225" s="100"/>
      <c r="AK225" s="100"/>
      <c r="AL225" s="75"/>
      <c r="AM225" s="100"/>
      <c r="AN225" s="75"/>
      <c r="AO225" s="100"/>
      <c r="AP225" s="107"/>
      <c r="AQ225" s="100"/>
      <c r="AR225" s="75"/>
      <c r="AS225" s="111"/>
      <c r="AT225" s="75"/>
      <c r="AU225" s="431"/>
      <c r="AV225" s="111"/>
    </row>
    <row r="226" spans="1:48" ht="17" thickBot="1">
      <c r="A226" s="83" t="s">
        <v>4</v>
      </c>
      <c r="B226" s="268">
        <f>SUM(L226+M226+N226+O226+P226+U226+X226+Y226+Z226+AC226+AK226+AL226+AK226+AO226+AR226+AS226+AU226+AV226+AW226+AX226)</f>
        <v>0</v>
      </c>
      <c r="C226" s="217">
        <f t="shared" si="5"/>
        <v>0</v>
      </c>
      <c r="D226" s="144"/>
      <c r="E226" s="145"/>
      <c r="F226" s="146"/>
      <c r="G226" s="179"/>
      <c r="H226" s="684"/>
      <c r="I226" s="677"/>
      <c r="J226" s="114"/>
      <c r="K226" s="114"/>
      <c r="L226" s="113"/>
      <c r="M226" s="112"/>
      <c r="N226" s="112"/>
      <c r="O226" s="100"/>
      <c r="P226" s="100"/>
      <c r="Q226" s="108"/>
      <c r="R226" s="108"/>
      <c r="S226" s="109"/>
      <c r="T226" s="109"/>
      <c r="U226" s="100"/>
      <c r="V226" s="142"/>
      <c r="W226" s="142"/>
      <c r="X226" s="100"/>
      <c r="Y226" s="100"/>
      <c r="Z226" s="100"/>
      <c r="AA226" s="142"/>
      <c r="AB226" s="142">
        <v>10</v>
      </c>
      <c r="AC226" s="100"/>
      <c r="AD226" s="109"/>
      <c r="AE226" s="109"/>
      <c r="AF226" s="109"/>
      <c r="AG226" s="109"/>
      <c r="AH226" s="108"/>
      <c r="AI226" s="109"/>
      <c r="AJ226" s="100"/>
      <c r="AK226" s="100"/>
      <c r="AL226" s="75"/>
      <c r="AM226" s="100"/>
      <c r="AN226" s="75"/>
      <c r="AO226" s="100"/>
      <c r="AP226" s="107"/>
      <c r="AQ226" s="100"/>
      <c r="AR226" s="75"/>
      <c r="AS226" s="111"/>
      <c r="AT226" s="75"/>
      <c r="AU226" s="431"/>
      <c r="AV226" s="111"/>
    </row>
    <row r="227" spans="1:48" ht="21.1">
      <c r="A227" s="86" t="s">
        <v>177</v>
      </c>
      <c r="B227" s="265"/>
      <c r="C227" s="214"/>
      <c r="D227" s="133"/>
      <c r="E227" s="134"/>
      <c r="F227" s="135"/>
      <c r="G227" s="136"/>
      <c r="H227" s="683"/>
      <c r="I227" s="676"/>
      <c r="J227" s="96" t="s">
        <v>339</v>
      </c>
      <c r="K227" s="96" t="s">
        <v>339</v>
      </c>
      <c r="L227" s="104" t="s">
        <v>339</v>
      </c>
      <c r="M227" s="75" t="s">
        <v>339</v>
      </c>
      <c r="N227" s="75" t="s">
        <v>339</v>
      </c>
      <c r="O227" s="102" t="s">
        <v>339</v>
      </c>
      <c r="P227" s="102" t="s">
        <v>339</v>
      </c>
      <c r="Q227" s="98"/>
      <c r="R227" s="98"/>
      <c r="S227" s="99" t="s">
        <v>339</v>
      </c>
      <c r="T227" s="99" t="s">
        <v>339</v>
      </c>
      <c r="U227" s="102" t="s">
        <v>339</v>
      </c>
      <c r="V227" s="138" t="s">
        <v>339</v>
      </c>
      <c r="W227" s="138" t="s">
        <v>339</v>
      </c>
      <c r="X227" s="102" t="s">
        <v>339</v>
      </c>
      <c r="Y227" s="102" t="s">
        <v>339</v>
      </c>
      <c r="Z227" s="102" t="s">
        <v>339</v>
      </c>
      <c r="AA227" s="138" t="s">
        <v>339</v>
      </c>
      <c r="AB227" s="138" t="s">
        <v>339</v>
      </c>
      <c r="AC227" s="102" t="s">
        <v>339</v>
      </c>
      <c r="AD227" s="99" t="s">
        <v>339</v>
      </c>
      <c r="AE227" s="99" t="s">
        <v>339</v>
      </c>
      <c r="AF227" s="99" t="s">
        <v>339</v>
      </c>
      <c r="AG227" s="99" t="s">
        <v>339</v>
      </c>
      <c r="AH227" s="98"/>
      <c r="AI227" s="99" t="s">
        <v>339</v>
      </c>
      <c r="AJ227" s="102"/>
      <c r="AK227" s="102"/>
      <c r="AL227" s="122"/>
      <c r="AM227" s="102"/>
      <c r="AN227" s="122"/>
      <c r="AO227" s="102"/>
      <c r="AP227" s="131"/>
      <c r="AQ227" s="102"/>
      <c r="AR227" s="122"/>
      <c r="AS227" s="103"/>
      <c r="AT227" s="122"/>
      <c r="AU227" s="430"/>
      <c r="AV227" s="103"/>
    </row>
    <row r="228" spans="1:48" ht="16.3">
      <c r="A228" s="246" t="s">
        <v>1</v>
      </c>
      <c r="B228" s="266">
        <f>SUM(L228+M228+N228+O228+P228+U228+X228+Y228+Z228+AC228+AK228+AL228+AK228+AO228+AR228+AS228+AU228+AV228+AW228+AX228)+11</f>
        <v>11</v>
      </c>
      <c r="C228" s="215">
        <f>SUM(L228+M228+N228+O228+P228+U228+Y228+Z228+X228+AC228+AL228+AK228+AL228+AP228+AS228+AO228+AV228+AW228+AX228+AY221+AR228+AU228)+42</f>
        <v>42</v>
      </c>
      <c r="D228" s="133"/>
      <c r="E228" s="134"/>
      <c r="F228" s="135"/>
      <c r="G228" s="136"/>
      <c r="H228" s="683"/>
      <c r="I228" s="676"/>
      <c r="J228" s="96"/>
      <c r="K228" s="96"/>
      <c r="L228" s="104"/>
      <c r="M228" s="75"/>
      <c r="N228" s="75"/>
      <c r="O228" s="100"/>
      <c r="P228" s="100"/>
      <c r="Q228" s="108"/>
      <c r="R228" s="108"/>
      <c r="S228" s="109"/>
      <c r="T228" s="109"/>
      <c r="U228" s="100"/>
      <c r="V228" s="142"/>
      <c r="W228" s="142"/>
      <c r="X228" s="100"/>
      <c r="Y228" s="100"/>
      <c r="Z228" s="100"/>
      <c r="AA228" s="142"/>
      <c r="AB228" s="142"/>
      <c r="AC228" s="100"/>
      <c r="AD228" s="109"/>
      <c r="AE228" s="109"/>
      <c r="AF228" s="109"/>
      <c r="AG228" s="109"/>
      <c r="AH228" s="108"/>
      <c r="AI228" s="109"/>
      <c r="AJ228" s="100"/>
      <c r="AK228" s="100"/>
      <c r="AL228" s="75"/>
      <c r="AM228" s="100"/>
      <c r="AN228" s="75"/>
      <c r="AO228" s="100"/>
      <c r="AP228" s="107"/>
      <c r="AQ228" s="100"/>
      <c r="AR228" s="75"/>
      <c r="AS228" s="111"/>
      <c r="AT228" s="75"/>
      <c r="AU228" s="431"/>
      <c r="AV228" s="111"/>
    </row>
    <row r="229" spans="1:48" ht="16.3">
      <c r="A229" s="246" t="s">
        <v>2</v>
      </c>
      <c r="B229" s="266">
        <f>SUM(L229+M229+N229+O229+P229+U229+X229+Y229+Z229+AC229+AK229+AL229+AK229+AO229+AR229+AS229+AU229+AV229+AW229+AX229)+7</f>
        <v>7</v>
      </c>
      <c r="C229" s="215">
        <f>SUM(L229+M229+N229+O229+P229+U229+Y229+Z229+X229+AC229+AL229+AK229+AL229+AP229+AS229+AO229+AV229+AW229+AX229+AY222+AR229+AU229)+34</f>
        <v>34</v>
      </c>
      <c r="D229" s="133"/>
      <c r="E229" s="134"/>
      <c r="F229" s="135"/>
      <c r="G229" s="136"/>
      <c r="H229" s="683"/>
      <c r="I229" s="676"/>
      <c r="J229" s="96"/>
      <c r="K229" s="96"/>
      <c r="L229" s="104"/>
      <c r="M229" s="75"/>
      <c r="N229" s="75"/>
      <c r="O229" s="100"/>
      <c r="P229" s="100"/>
      <c r="Q229" s="108"/>
      <c r="R229" s="108"/>
      <c r="S229" s="109"/>
      <c r="T229" s="109"/>
      <c r="U229" s="100"/>
      <c r="V229" s="142"/>
      <c r="W229" s="142"/>
      <c r="X229" s="100"/>
      <c r="Y229" s="100"/>
      <c r="Z229" s="100"/>
      <c r="AA229" s="142"/>
      <c r="AB229" s="142"/>
      <c r="AC229" s="100"/>
      <c r="AD229" s="109"/>
      <c r="AE229" s="109"/>
      <c r="AF229" s="109"/>
      <c r="AG229" s="109"/>
      <c r="AH229" s="108"/>
      <c r="AI229" s="109"/>
      <c r="AJ229" s="100"/>
      <c r="AK229" s="100"/>
      <c r="AL229" s="75"/>
      <c r="AM229" s="100"/>
      <c r="AN229" s="75"/>
      <c r="AO229" s="100"/>
      <c r="AP229" s="107"/>
      <c r="AQ229" s="100"/>
      <c r="AR229" s="75"/>
      <c r="AS229" s="111"/>
      <c r="AT229" s="75"/>
      <c r="AU229" s="431"/>
      <c r="AV229" s="111"/>
    </row>
    <row r="230" spans="1:48" ht="16.3">
      <c r="A230" s="83" t="s">
        <v>363</v>
      </c>
      <c r="B230" s="265">
        <f>SUM(B228+B229)</f>
        <v>18</v>
      </c>
      <c r="C230" s="214">
        <f>SUM(C228+C229)</f>
        <v>76</v>
      </c>
      <c r="D230" s="133"/>
      <c r="E230" s="134"/>
      <c r="F230" s="135"/>
      <c r="G230" s="136"/>
      <c r="H230" s="683"/>
      <c r="I230" s="676"/>
      <c r="J230" s="96"/>
      <c r="K230" s="96"/>
      <c r="L230" s="104"/>
      <c r="M230" s="75"/>
      <c r="N230" s="75"/>
      <c r="O230" s="100"/>
      <c r="P230" s="100"/>
      <c r="Q230" s="108"/>
      <c r="R230" s="108"/>
      <c r="S230" s="109"/>
      <c r="T230" s="109"/>
      <c r="U230" s="100"/>
      <c r="V230" s="142"/>
      <c r="W230" s="142"/>
      <c r="X230" s="100"/>
      <c r="Y230" s="100"/>
      <c r="Z230" s="100"/>
      <c r="AA230" s="142"/>
      <c r="AB230" s="142"/>
      <c r="AC230" s="100"/>
      <c r="AD230" s="109"/>
      <c r="AE230" s="109"/>
      <c r="AF230" s="109"/>
      <c r="AG230" s="109"/>
      <c r="AH230" s="108"/>
      <c r="AI230" s="109"/>
      <c r="AJ230" s="100"/>
      <c r="AK230" s="100"/>
      <c r="AL230" s="75"/>
      <c r="AM230" s="100"/>
      <c r="AN230" s="75"/>
      <c r="AO230" s="100"/>
      <c r="AP230" s="107"/>
      <c r="AQ230" s="100"/>
      <c r="AR230" s="75"/>
      <c r="AS230" s="111"/>
      <c r="AT230" s="75"/>
      <c r="AU230" s="431"/>
      <c r="AV230" s="111"/>
    </row>
    <row r="231" spans="1:48" ht="16.3">
      <c r="A231" s="246" t="s">
        <v>362</v>
      </c>
      <c r="B231" s="266">
        <f>SUM(L231+M231+N231+O231+P231+U231+X231+Y231+Z231+AC231+AK231+AL231+AK231+AO231+AR231+AS231+AU231+AV231+AW231+AX231)</f>
        <v>0</v>
      </c>
      <c r="C231" s="215">
        <f>SUM(L231+M231+N231+O231+P231+U231+Y231+Z231+X231+AC231+AL231+AK231+AL231+AP231+AS231+AO231+AV231+AW231+AX231+AY224+AR231+AU231)+1</f>
        <v>1</v>
      </c>
      <c r="D231" s="133"/>
      <c r="E231" s="134"/>
      <c r="F231" s="135"/>
      <c r="G231" s="136"/>
      <c r="H231" s="683"/>
      <c r="I231" s="676"/>
      <c r="J231" s="96"/>
      <c r="K231" s="96"/>
      <c r="L231" s="104"/>
      <c r="M231" s="75"/>
      <c r="N231" s="75"/>
      <c r="O231" s="100"/>
      <c r="P231" s="100"/>
      <c r="Q231" s="108"/>
      <c r="R231" s="108"/>
      <c r="S231" s="109"/>
      <c r="T231" s="109"/>
      <c r="U231" s="100"/>
      <c r="V231" s="142"/>
      <c r="W231" s="142"/>
      <c r="X231" s="100"/>
      <c r="Y231" s="100"/>
      <c r="Z231" s="100"/>
      <c r="AA231" s="142"/>
      <c r="AB231" s="142"/>
      <c r="AC231" s="100"/>
      <c r="AD231" s="109"/>
      <c r="AE231" s="109"/>
      <c r="AF231" s="109"/>
      <c r="AG231" s="109"/>
      <c r="AH231" s="108"/>
      <c r="AI231" s="109"/>
      <c r="AJ231" s="100"/>
      <c r="AK231" s="100"/>
      <c r="AL231" s="75"/>
      <c r="AM231" s="100"/>
      <c r="AN231" s="75"/>
      <c r="AO231" s="100"/>
      <c r="AP231" s="107"/>
      <c r="AQ231" s="100"/>
      <c r="AR231" s="75"/>
      <c r="AS231" s="111"/>
      <c r="AT231" s="75"/>
      <c r="AU231" s="431"/>
      <c r="AV231" s="111"/>
    </row>
    <row r="232" spans="1:48" ht="16.3">
      <c r="A232" s="83" t="s">
        <v>3</v>
      </c>
      <c r="B232" s="265">
        <f>SUM(L232+M232+N232+O232+P232+U232+X232+Y232+Z232+AC232+AK232+AL232+AK232+AO232+AR232+AS232+AU232+AV232+AW232+AX232)+3</f>
        <v>3</v>
      </c>
      <c r="C232" s="214">
        <f>SUM(L232+M232+N232+O232+P232+U232+Y232+Z232+X232+AC232+AL232+AK232+AL232+AP232+AS232+AO232+AV232+AW232+AX232+AY225+AR232+AU232)+4</f>
        <v>4</v>
      </c>
      <c r="D232" s="133"/>
      <c r="E232" s="134"/>
      <c r="F232" s="135"/>
      <c r="G232" s="136"/>
      <c r="H232" s="683"/>
      <c r="I232" s="676"/>
      <c r="J232" s="96"/>
      <c r="K232" s="96"/>
      <c r="L232" s="104"/>
      <c r="M232" s="75"/>
      <c r="N232" s="75"/>
      <c r="O232" s="100"/>
      <c r="P232" s="100"/>
      <c r="Q232" s="108"/>
      <c r="R232" s="108"/>
      <c r="S232" s="109"/>
      <c r="T232" s="109"/>
      <c r="U232" s="100"/>
      <c r="V232" s="142"/>
      <c r="W232" s="142"/>
      <c r="X232" s="100"/>
      <c r="Y232" s="100"/>
      <c r="Z232" s="100"/>
      <c r="AA232" s="142"/>
      <c r="AB232" s="142"/>
      <c r="AC232" s="100"/>
      <c r="AD232" s="109"/>
      <c r="AE232" s="109"/>
      <c r="AF232" s="109"/>
      <c r="AG232" s="109"/>
      <c r="AH232" s="108"/>
      <c r="AI232" s="109"/>
      <c r="AJ232" s="100"/>
      <c r="AK232" s="100"/>
      <c r="AL232" s="75"/>
      <c r="AM232" s="100"/>
      <c r="AN232" s="75"/>
      <c r="AO232" s="100"/>
      <c r="AP232" s="107"/>
      <c r="AQ232" s="100"/>
      <c r="AR232" s="75"/>
      <c r="AS232" s="111"/>
      <c r="AT232" s="75"/>
      <c r="AU232" s="431"/>
      <c r="AV232" s="111"/>
    </row>
    <row r="233" spans="1:48" ht="17" thickBot="1">
      <c r="A233" s="85" t="s">
        <v>4</v>
      </c>
      <c r="B233" s="268">
        <f>SUM(L233+M233+N233+O233+P233+U233+X233+Y233+Z233+AC233+AK233+AL233+AK233+AO233+AR233+AS233+AU233+AV233+AW233+AX233)+15</f>
        <v>15</v>
      </c>
      <c r="C233" s="217">
        <f>SUM(L233+M233+N233+O233+P233+U233+Y233+Z233+X233+AC233+AL233+AK233+AL233+AP233+AS233+AO233+AV233+AW233+AX233+AY226+AR233+AU233)+20</f>
        <v>20</v>
      </c>
      <c r="D233" s="144"/>
      <c r="E233" s="145"/>
      <c r="F233" s="146"/>
      <c r="G233" s="147"/>
      <c r="H233" s="684"/>
      <c r="I233" s="677"/>
      <c r="J233" s="114"/>
      <c r="K233" s="114"/>
      <c r="L233" s="113"/>
      <c r="M233" s="112"/>
      <c r="N233" s="112"/>
      <c r="O233" s="116"/>
      <c r="P233" s="116"/>
      <c r="Q233" s="117"/>
      <c r="R233" s="117"/>
      <c r="S233" s="114"/>
      <c r="T233" s="118"/>
      <c r="U233" s="116"/>
      <c r="V233" s="149"/>
      <c r="W233" s="149"/>
      <c r="X233" s="116"/>
      <c r="Y233" s="116"/>
      <c r="Z233" s="116"/>
      <c r="AA233" s="149"/>
      <c r="AB233" s="149"/>
      <c r="AC233" s="116"/>
      <c r="AD233" s="118"/>
      <c r="AE233" s="118"/>
      <c r="AF233" s="118"/>
      <c r="AG233" s="118"/>
      <c r="AH233" s="117"/>
      <c r="AI233" s="118"/>
      <c r="AJ233" s="116"/>
      <c r="AK233" s="116"/>
      <c r="AL233" s="112"/>
      <c r="AM233" s="116"/>
      <c r="AN233" s="112"/>
      <c r="AO233" s="116"/>
      <c r="AP233" s="130"/>
      <c r="AQ233" s="116"/>
      <c r="AR233" s="112"/>
      <c r="AS233" s="121"/>
      <c r="AT233" s="112"/>
      <c r="AU233" s="432"/>
      <c r="AV233" s="121"/>
    </row>
    <row r="234" spans="1:48" ht="21.1">
      <c r="A234" s="82" t="s">
        <v>407</v>
      </c>
      <c r="B234" s="265"/>
      <c r="C234" s="214"/>
      <c r="D234" s="133"/>
      <c r="E234" s="134"/>
      <c r="F234" s="135"/>
      <c r="G234" s="136"/>
      <c r="H234" s="683"/>
      <c r="I234" s="676"/>
      <c r="J234" s="96" t="s">
        <v>375</v>
      </c>
      <c r="K234" s="96"/>
      <c r="L234" s="122"/>
      <c r="M234" s="165"/>
      <c r="N234" s="104"/>
      <c r="O234" s="100"/>
      <c r="P234" s="100"/>
      <c r="Q234" s="108"/>
      <c r="R234" s="108"/>
      <c r="S234" s="109" t="s">
        <v>370</v>
      </c>
      <c r="T234" s="109" t="s">
        <v>375</v>
      </c>
      <c r="U234" s="100"/>
      <c r="V234" s="142" t="s">
        <v>375</v>
      </c>
      <c r="W234" s="142" t="s">
        <v>370</v>
      </c>
      <c r="X234" s="100" t="s">
        <v>375</v>
      </c>
      <c r="Y234" s="100" t="s">
        <v>375</v>
      </c>
      <c r="Z234" s="100" t="s">
        <v>375</v>
      </c>
      <c r="AA234" s="142" t="s">
        <v>375</v>
      </c>
      <c r="AB234" s="142" t="s">
        <v>375</v>
      </c>
      <c r="AC234" s="100" t="s">
        <v>375</v>
      </c>
      <c r="AD234" s="109" t="s">
        <v>375</v>
      </c>
      <c r="AE234" s="109" t="s">
        <v>375</v>
      </c>
      <c r="AF234" s="109" t="s">
        <v>375</v>
      </c>
      <c r="AG234" s="109" t="s">
        <v>375</v>
      </c>
      <c r="AH234" s="108"/>
      <c r="AI234" s="109" t="s">
        <v>370</v>
      </c>
      <c r="AJ234" s="100"/>
      <c r="AK234" s="100"/>
      <c r="AL234" s="75"/>
      <c r="AM234" s="100"/>
      <c r="AN234" s="75"/>
      <c r="AO234" s="100"/>
      <c r="AP234" s="107"/>
      <c r="AQ234" s="100"/>
      <c r="AR234" s="75"/>
      <c r="AS234" s="111"/>
      <c r="AT234" s="75"/>
      <c r="AU234" s="431"/>
      <c r="AV234" s="111"/>
    </row>
    <row r="235" spans="1:48" ht="16.3">
      <c r="A235" s="246" t="s">
        <v>1</v>
      </c>
      <c r="B235" s="266">
        <f>SUM(L235+M235+N235+O235+P235+U235+X235+Y235+Z235+AC235+AK235+AL235+AK235+AO235+AR235+AS235+AU235+AV235+AW235+AX235)+1</f>
        <v>1</v>
      </c>
      <c r="C235" s="215">
        <f>SUM(L235+M235+N235+O235+P235+U235+Y235+Z235+X235+AC235+AL235+AK235+AL235+AP235+AS235+AO235+AV235+AW235+AX235+AY228+AR235+AU235)+1</f>
        <v>1</v>
      </c>
      <c r="D235" s="133"/>
      <c r="E235" s="134"/>
      <c r="F235" s="135"/>
      <c r="G235" s="136"/>
      <c r="H235" s="683"/>
      <c r="I235" s="676"/>
      <c r="J235" s="96"/>
      <c r="K235" s="96"/>
      <c r="L235" s="75"/>
      <c r="M235" s="128"/>
      <c r="N235" s="104"/>
      <c r="O235" s="100"/>
      <c r="P235" s="100"/>
      <c r="Q235" s="108"/>
      <c r="R235" s="108"/>
      <c r="S235" s="109">
        <v>1</v>
      </c>
      <c r="T235" s="109"/>
      <c r="U235" s="100"/>
      <c r="V235" s="142"/>
      <c r="W235" s="142">
        <v>1</v>
      </c>
      <c r="X235" s="100"/>
      <c r="Y235" s="100"/>
      <c r="Z235" s="100"/>
      <c r="AA235" s="142"/>
      <c r="AB235" s="142"/>
      <c r="AC235" s="100"/>
      <c r="AD235" s="109"/>
      <c r="AE235" s="109"/>
      <c r="AF235" s="109"/>
      <c r="AG235" s="109"/>
      <c r="AH235" s="108"/>
      <c r="AI235" s="109">
        <v>1</v>
      </c>
      <c r="AJ235" s="100"/>
      <c r="AK235" s="100"/>
      <c r="AL235" s="75"/>
      <c r="AM235" s="100"/>
      <c r="AN235" s="75"/>
      <c r="AO235" s="100"/>
      <c r="AP235" s="107"/>
      <c r="AQ235" s="100"/>
      <c r="AR235" s="75"/>
      <c r="AS235" s="111"/>
      <c r="AT235" s="75"/>
      <c r="AU235" s="431"/>
      <c r="AV235" s="111"/>
    </row>
    <row r="236" spans="1:48" ht="16.3">
      <c r="A236" s="246" t="s">
        <v>2</v>
      </c>
      <c r="B236" s="266">
        <f>SUM(L236+M236+N236+O236+P236+U236+X236+Y236+Z236+AC236+AK236+AL236+AK236+AO236+AR236+AS236+AU236+AV236+AW236+AX236)+5</f>
        <v>9</v>
      </c>
      <c r="C236" s="215">
        <f>SUM(L236+M236+N236+O236+P236+U236+Y236+Z236+X236+AC236+AL236+AK236+AL236+AP236+AS236+AO236+AV236+AW236+AX236+AY229+AR236+AU236)+5</f>
        <v>9</v>
      </c>
      <c r="D236" s="133"/>
      <c r="E236" s="134"/>
      <c r="F236" s="135"/>
      <c r="G236" s="136"/>
      <c r="H236" s="683"/>
      <c r="I236" s="676"/>
      <c r="J236" s="96">
        <v>1</v>
      </c>
      <c r="K236" s="96"/>
      <c r="L236" s="75"/>
      <c r="M236" s="128"/>
      <c r="N236" s="104"/>
      <c r="O236" s="100"/>
      <c r="P236" s="100"/>
      <c r="Q236" s="108"/>
      <c r="R236" s="108"/>
      <c r="S236" s="109"/>
      <c r="T236" s="109">
        <v>1</v>
      </c>
      <c r="U236" s="100"/>
      <c r="V236" s="142">
        <v>1</v>
      </c>
      <c r="W236" s="142"/>
      <c r="X236" s="100">
        <v>1</v>
      </c>
      <c r="Y236" s="100">
        <v>1</v>
      </c>
      <c r="Z236" s="100">
        <v>1</v>
      </c>
      <c r="AA236" s="142">
        <v>1</v>
      </c>
      <c r="AB236" s="142">
        <v>1</v>
      </c>
      <c r="AC236" s="100">
        <v>1</v>
      </c>
      <c r="AD236" s="109">
        <v>1</v>
      </c>
      <c r="AE236" s="109">
        <v>1</v>
      </c>
      <c r="AF236" s="109">
        <v>1</v>
      </c>
      <c r="AG236" s="109">
        <v>1</v>
      </c>
      <c r="AH236" s="108"/>
      <c r="AI236" s="109"/>
      <c r="AJ236" s="100"/>
      <c r="AK236" s="100"/>
      <c r="AL236" s="75"/>
      <c r="AM236" s="100"/>
      <c r="AN236" s="75"/>
      <c r="AO236" s="100"/>
      <c r="AP236" s="107"/>
      <c r="AQ236" s="100"/>
      <c r="AR236" s="75"/>
      <c r="AS236" s="111"/>
      <c r="AT236" s="75"/>
      <c r="AU236" s="431"/>
      <c r="AV236" s="111"/>
    </row>
    <row r="237" spans="1:48" ht="16.3">
      <c r="A237" s="83" t="s">
        <v>363</v>
      </c>
      <c r="B237" s="265">
        <f>SUM(B235+B236)</f>
        <v>10</v>
      </c>
      <c r="C237" s="214">
        <f>SUM(C235+C236)</f>
        <v>10</v>
      </c>
      <c r="D237" s="133"/>
      <c r="E237" s="134"/>
      <c r="F237" s="135"/>
      <c r="G237" s="136"/>
      <c r="H237" s="683"/>
      <c r="I237" s="676"/>
      <c r="J237" s="96"/>
      <c r="K237" s="96"/>
      <c r="L237" s="75"/>
      <c r="M237" s="128"/>
      <c r="N237" s="104"/>
      <c r="O237" s="100"/>
      <c r="P237" s="100"/>
      <c r="Q237" s="108"/>
      <c r="R237" s="108"/>
      <c r="S237" s="109"/>
      <c r="T237" s="109"/>
      <c r="U237" s="100"/>
      <c r="V237" s="142"/>
      <c r="W237" s="142"/>
      <c r="X237" s="100"/>
      <c r="Y237" s="100"/>
      <c r="Z237" s="100"/>
      <c r="AA237" s="142"/>
      <c r="AB237" s="142"/>
      <c r="AC237" s="100"/>
      <c r="AD237" s="109"/>
      <c r="AE237" s="109"/>
      <c r="AF237" s="109"/>
      <c r="AG237" s="109"/>
      <c r="AH237" s="108"/>
      <c r="AI237" s="109"/>
      <c r="AJ237" s="100"/>
      <c r="AK237" s="100"/>
      <c r="AL237" s="75"/>
      <c r="AM237" s="100"/>
      <c r="AN237" s="75"/>
      <c r="AO237" s="100"/>
      <c r="AP237" s="107"/>
      <c r="AQ237" s="100"/>
      <c r="AR237" s="75"/>
      <c r="AS237" s="111"/>
      <c r="AT237" s="75"/>
      <c r="AU237" s="431"/>
      <c r="AV237" s="111"/>
    </row>
    <row r="238" spans="1:48" ht="16.3">
      <c r="A238" s="83" t="s">
        <v>3</v>
      </c>
      <c r="B238" s="265">
        <f>SUM(L238+M238+N238+O238+P238+U238+X238+Y238+Z238+AC238+AK238+AL238+AK238+AO238+AR238+AS238+AU238+AV238+AW238+AX238)+1</f>
        <v>1</v>
      </c>
      <c r="C238" s="214">
        <f>SUM(L238+M238+N238+O238+P238+U238+Y238+Z238+X238+AC238+AL238+AK238+AL238+AP238+AS238+AO238+AV238+AW238+AX238+AY231+AR238+AU238)+1</f>
        <v>1</v>
      </c>
      <c r="D238" s="133"/>
      <c r="E238" s="134"/>
      <c r="F238" s="135"/>
      <c r="G238" s="136"/>
      <c r="H238" s="683"/>
      <c r="I238" s="676"/>
      <c r="J238" s="96"/>
      <c r="K238" s="96"/>
      <c r="L238" s="75"/>
      <c r="M238" s="128"/>
      <c r="N238" s="104"/>
      <c r="O238" s="100"/>
      <c r="P238" s="100"/>
      <c r="Q238" s="108"/>
      <c r="R238" s="108"/>
      <c r="S238" s="109"/>
      <c r="T238" s="109"/>
      <c r="U238" s="100"/>
      <c r="V238" s="142"/>
      <c r="W238" s="142"/>
      <c r="X238" s="100"/>
      <c r="Y238" s="100"/>
      <c r="Z238" s="100"/>
      <c r="AA238" s="142"/>
      <c r="AB238" s="142"/>
      <c r="AC238" s="100"/>
      <c r="AD238" s="109"/>
      <c r="AE238" s="109"/>
      <c r="AF238" s="109"/>
      <c r="AG238" s="109">
        <v>1</v>
      </c>
      <c r="AH238" s="108"/>
      <c r="AI238" s="109"/>
      <c r="AJ238" s="100"/>
      <c r="AK238" s="100"/>
      <c r="AL238" s="75"/>
      <c r="AM238" s="100"/>
      <c r="AN238" s="75"/>
      <c r="AO238" s="100"/>
      <c r="AP238" s="107"/>
      <c r="AQ238" s="100"/>
      <c r="AR238" s="75"/>
      <c r="AS238" s="111"/>
      <c r="AT238" s="75"/>
      <c r="AU238" s="431"/>
      <c r="AV238" s="111"/>
    </row>
    <row r="239" spans="1:48" ht="17" thickBot="1">
      <c r="A239" s="85" t="s">
        <v>4</v>
      </c>
      <c r="B239" s="268">
        <f>SUM(L239+M239+N239+O239+P239+U239+X239+Y239+Z239+AC239+AK239+AL239+AK239+AO239+AR239+AS239+AU239+AV239+AW239+AX239)+5</f>
        <v>5</v>
      </c>
      <c r="C239" s="217">
        <f>SUM(L239+M239+N239+O239+P239+U239+Y239+Z239+X239+AC239+AL239+AK239+AL239+AP239+AS239+AO239+AV239+AW239+AX239+AY232+AR239+AU239)+5</f>
        <v>5</v>
      </c>
      <c r="D239" s="144"/>
      <c r="E239" s="145"/>
      <c r="F239" s="146"/>
      <c r="G239" s="147"/>
      <c r="H239" s="684"/>
      <c r="I239" s="677"/>
      <c r="J239" s="114"/>
      <c r="K239" s="114"/>
      <c r="L239" s="112"/>
      <c r="M239" s="129"/>
      <c r="N239" s="113"/>
      <c r="O239" s="112"/>
      <c r="P239" s="100"/>
      <c r="Q239" s="108"/>
      <c r="R239" s="108"/>
      <c r="S239" s="109"/>
      <c r="T239" s="109"/>
      <c r="U239" s="100"/>
      <c r="V239" s="142"/>
      <c r="W239" s="142"/>
      <c r="X239" s="100"/>
      <c r="Y239" s="100"/>
      <c r="Z239" s="100"/>
      <c r="AA239" s="142"/>
      <c r="AB239" s="142"/>
      <c r="AC239" s="100"/>
      <c r="AD239" s="109"/>
      <c r="AE239" s="109"/>
      <c r="AF239" s="109"/>
      <c r="AG239" s="109">
        <v>5</v>
      </c>
      <c r="AH239" s="108"/>
      <c r="AI239" s="109"/>
      <c r="AJ239" s="100"/>
      <c r="AK239" s="100"/>
      <c r="AL239" s="75"/>
      <c r="AM239" s="100"/>
      <c r="AN239" s="75"/>
      <c r="AO239" s="100"/>
      <c r="AP239" s="107"/>
      <c r="AQ239" s="100"/>
      <c r="AR239" s="75"/>
      <c r="AS239" s="111"/>
      <c r="AT239" s="75"/>
      <c r="AU239" s="431"/>
      <c r="AV239" s="111"/>
    </row>
    <row r="240" spans="1:48" ht="21.1">
      <c r="A240" s="82" t="s">
        <v>16</v>
      </c>
      <c r="B240" s="265"/>
      <c r="C240" s="214"/>
      <c r="D240" s="133"/>
      <c r="E240" s="134"/>
      <c r="F240" s="135"/>
      <c r="G240" s="136"/>
      <c r="H240" s="683"/>
      <c r="I240" s="676"/>
      <c r="J240" s="96" t="s">
        <v>375</v>
      </c>
      <c r="K240" s="96" t="s">
        <v>654</v>
      </c>
      <c r="L240" s="122" t="s">
        <v>375</v>
      </c>
      <c r="M240" s="128" t="s">
        <v>375</v>
      </c>
      <c r="N240" s="104" t="s">
        <v>371</v>
      </c>
      <c r="O240" s="100" t="s">
        <v>375</v>
      </c>
      <c r="P240" s="102" t="s">
        <v>375</v>
      </c>
      <c r="Q240" s="98"/>
      <c r="R240" s="98"/>
      <c r="S240" s="99"/>
      <c r="T240" s="99"/>
      <c r="U240" s="102" t="s">
        <v>375</v>
      </c>
      <c r="V240" s="138" t="s">
        <v>371</v>
      </c>
      <c r="W240" s="138"/>
      <c r="X240" s="102" t="s">
        <v>371</v>
      </c>
      <c r="Y240" s="102" t="s">
        <v>375</v>
      </c>
      <c r="Z240" s="102" t="s">
        <v>375</v>
      </c>
      <c r="AA240" s="138" t="s">
        <v>375</v>
      </c>
      <c r="AB240" s="138"/>
      <c r="AC240" s="102" t="s">
        <v>375</v>
      </c>
      <c r="AD240" s="99"/>
      <c r="AE240" s="99"/>
      <c r="AF240" s="99"/>
      <c r="AG240" s="99"/>
      <c r="AH240" s="98"/>
      <c r="AI240" s="99" t="s">
        <v>654</v>
      </c>
      <c r="AJ240" s="102"/>
      <c r="AK240" s="102"/>
      <c r="AL240" s="122"/>
      <c r="AM240" s="102"/>
      <c r="AN240" s="122"/>
      <c r="AO240" s="102"/>
      <c r="AP240" s="131"/>
      <c r="AQ240" s="102"/>
      <c r="AR240" s="122"/>
      <c r="AS240" s="103"/>
      <c r="AT240" s="122"/>
      <c r="AU240" s="430"/>
      <c r="AV240" s="103"/>
    </row>
    <row r="241" spans="1:48" ht="16.3">
      <c r="A241" s="246" t="s">
        <v>1</v>
      </c>
      <c r="B241" s="266">
        <f>SUM(L241+M241+N241+O241+P241+U241+X241+Y241+Z241+AC241+AK241+AL241+AK241+AO241+AR241+AS241+AU241+AV241+AW241+AX241)+147</f>
        <v>149</v>
      </c>
      <c r="C241" s="215">
        <f>SUM(L241+M241+N241+O241+P241+U241+Y241+Z241+X241+AC241+AL241+AK241+AL241+AP241+AS241+AO241+AV241+AW241+AX241+AY234+AR241+AU241)+147</f>
        <v>149</v>
      </c>
      <c r="D241" s="133"/>
      <c r="E241" s="134"/>
      <c r="F241" s="135"/>
      <c r="G241" s="136"/>
      <c r="H241" s="683"/>
      <c r="I241" s="676"/>
      <c r="J241" s="96"/>
      <c r="K241" s="96">
        <v>1</v>
      </c>
      <c r="L241" s="75"/>
      <c r="M241" s="128"/>
      <c r="N241" s="104">
        <v>1</v>
      </c>
      <c r="O241" s="100"/>
      <c r="P241" s="100"/>
      <c r="Q241" s="108"/>
      <c r="R241" s="108"/>
      <c r="S241" s="109"/>
      <c r="T241" s="109"/>
      <c r="U241" s="100"/>
      <c r="V241" s="142">
        <v>1</v>
      </c>
      <c r="W241" s="142"/>
      <c r="X241" s="100">
        <v>1</v>
      </c>
      <c r="Y241" s="100"/>
      <c r="Z241" s="100"/>
      <c r="AA241" s="142"/>
      <c r="AB241" s="142"/>
      <c r="AC241" s="100"/>
      <c r="AD241" s="109"/>
      <c r="AE241" s="109"/>
      <c r="AF241" s="109"/>
      <c r="AG241" s="109"/>
      <c r="AH241" s="108"/>
      <c r="AI241" s="109">
        <v>1</v>
      </c>
      <c r="AJ241" s="100"/>
      <c r="AK241" s="100"/>
      <c r="AL241" s="75"/>
      <c r="AM241" s="100"/>
      <c r="AN241" s="75"/>
      <c r="AO241" s="100"/>
      <c r="AP241" s="107"/>
      <c r="AQ241" s="100"/>
      <c r="AR241" s="75"/>
      <c r="AS241" s="111"/>
      <c r="AT241" s="75"/>
      <c r="AU241" s="431"/>
      <c r="AV241" s="111"/>
    </row>
    <row r="242" spans="1:48" ht="16.3">
      <c r="A242" s="246" t="s">
        <v>2</v>
      </c>
      <c r="B242" s="266">
        <f>SUM(L242+M242+N242+O242+P242+U242+X242+Y242+Z242+AC242+AK242+AL242+AK242+AO242+AR242+AS242+AU242+AV242+AW242+AX242)+89</f>
        <v>97</v>
      </c>
      <c r="C242" s="215">
        <f>SUM(L242+M242+N242+O242+P242+U242+Y242+Z242+X242+AC242+AL242+AK242+AL242+AP242+AS242+AO242+AV242+AW242+AX242+AY235+AR242+AU242)+89</f>
        <v>97</v>
      </c>
      <c r="D242" s="133"/>
      <c r="E242" s="134"/>
      <c r="F242" s="135"/>
      <c r="G242" s="136"/>
      <c r="H242" s="683"/>
      <c r="I242" s="676"/>
      <c r="J242" s="96">
        <v>1</v>
      </c>
      <c r="K242" s="96"/>
      <c r="L242" s="75">
        <v>1</v>
      </c>
      <c r="M242" s="128">
        <v>1</v>
      </c>
      <c r="N242" s="128"/>
      <c r="O242" s="100">
        <v>1</v>
      </c>
      <c r="P242" s="100">
        <v>1</v>
      </c>
      <c r="Q242" s="108"/>
      <c r="R242" s="108"/>
      <c r="S242" s="109"/>
      <c r="T242" s="109"/>
      <c r="U242" s="100">
        <v>1</v>
      </c>
      <c r="V242" s="142"/>
      <c r="W242" s="142"/>
      <c r="X242" s="100"/>
      <c r="Y242" s="100">
        <v>1</v>
      </c>
      <c r="Z242" s="100">
        <v>1</v>
      </c>
      <c r="AA242" s="142">
        <v>1</v>
      </c>
      <c r="AB242" s="142"/>
      <c r="AC242" s="100">
        <v>1</v>
      </c>
      <c r="AD242" s="109"/>
      <c r="AE242" s="109"/>
      <c r="AF242" s="109"/>
      <c r="AG242" s="109"/>
      <c r="AH242" s="108"/>
      <c r="AI242" s="109"/>
      <c r="AJ242" s="100"/>
      <c r="AK242" s="100"/>
      <c r="AL242" s="75"/>
      <c r="AM242" s="100"/>
      <c r="AN242" s="75"/>
      <c r="AO242" s="100"/>
      <c r="AP242" s="107"/>
      <c r="AQ242" s="100"/>
      <c r="AR242" s="75"/>
      <c r="AS242" s="111"/>
      <c r="AT242" s="75"/>
      <c r="AU242" s="431"/>
      <c r="AV242" s="111"/>
    </row>
    <row r="243" spans="1:48" ht="16.3">
      <c r="A243" s="83" t="s">
        <v>363</v>
      </c>
      <c r="B243" s="265">
        <f>SUM(B241+B242)</f>
        <v>246</v>
      </c>
      <c r="C243" s="214">
        <f>SUM(C241+C242)</f>
        <v>246</v>
      </c>
      <c r="D243" s="133"/>
      <c r="E243" s="134"/>
      <c r="F243" s="135"/>
      <c r="G243" s="136"/>
      <c r="H243" s="683"/>
      <c r="I243" s="676"/>
      <c r="J243" s="96"/>
      <c r="K243" s="96"/>
      <c r="L243" s="75"/>
      <c r="M243" s="128"/>
      <c r="N243" s="128"/>
      <c r="O243" s="100"/>
      <c r="P243" s="100"/>
      <c r="Q243" s="108"/>
      <c r="R243" s="108"/>
      <c r="S243" s="109"/>
      <c r="T243" s="109"/>
      <c r="U243" s="100"/>
      <c r="V243" s="142"/>
      <c r="W243" s="142"/>
      <c r="X243" s="100"/>
      <c r="Y243" s="100"/>
      <c r="Z243" s="100"/>
      <c r="AA243" s="142"/>
      <c r="AB243" s="142"/>
      <c r="AC243" s="100"/>
      <c r="AD243" s="109"/>
      <c r="AE243" s="109"/>
      <c r="AF243" s="109"/>
      <c r="AG243" s="109"/>
      <c r="AH243" s="108"/>
      <c r="AI243" s="109"/>
      <c r="AJ243" s="100"/>
      <c r="AK243" s="100"/>
      <c r="AL243" s="75"/>
      <c r="AM243" s="100"/>
      <c r="AN243" s="75"/>
      <c r="AO243" s="100"/>
      <c r="AP243" s="107"/>
      <c r="AQ243" s="100"/>
      <c r="AR243" s="75"/>
      <c r="AS243" s="111"/>
      <c r="AT243" s="75"/>
      <c r="AU243" s="431"/>
      <c r="AV243" s="111"/>
    </row>
    <row r="244" spans="1:48" ht="16.3">
      <c r="A244" s="246" t="s">
        <v>364</v>
      </c>
      <c r="B244" s="266">
        <f>SUM(L244+M244+N244+O244+P244+U244+X244+Y244+Z244+AC244+AK244+AL244+AK244+AO244+AR244+AS244+AU244+AV244+AW244+AX244)+1</f>
        <v>1</v>
      </c>
      <c r="C244" s="215">
        <f>SUM(L244+M244+N244+O244+P244+U244+Y244+Z244+X244+AC244+AL244+AK244+AL244+AP244+AS244+AO244+AV244+AW244+AX244+AY237+AR244+AU244)+1</f>
        <v>1</v>
      </c>
      <c r="D244" s="133"/>
      <c r="E244" s="134"/>
      <c r="F244" s="135"/>
      <c r="G244" s="136"/>
      <c r="H244" s="683"/>
      <c r="I244" s="676"/>
      <c r="J244" s="96"/>
      <c r="K244" s="96"/>
      <c r="L244" s="75"/>
      <c r="M244" s="128"/>
      <c r="N244" s="128"/>
      <c r="O244" s="100"/>
      <c r="P244" s="100"/>
      <c r="Q244" s="108"/>
      <c r="R244" s="108"/>
      <c r="S244" s="109"/>
      <c r="T244" s="109"/>
      <c r="U244" s="100"/>
      <c r="V244" s="142"/>
      <c r="W244" s="142"/>
      <c r="X244" s="100"/>
      <c r="Y244" s="100"/>
      <c r="Z244" s="100"/>
      <c r="AA244" s="142"/>
      <c r="AB244" s="142"/>
      <c r="AC244" s="100"/>
      <c r="AD244" s="109"/>
      <c r="AE244" s="109"/>
      <c r="AF244" s="109"/>
      <c r="AG244" s="109"/>
      <c r="AH244" s="108"/>
      <c r="AI244" s="109"/>
      <c r="AJ244" s="100"/>
      <c r="AK244" s="100"/>
      <c r="AL244" s="75"/>
      <c r="AM244" s="100"/>
      <c r="AN244" s="75"/>
      <c r="AO244" s="100"/>
      <c r="AP244" s="107"/>
      <c r="AQ244" s="100"/>
      <c r="AR244" s="75"/>
      <c r="AS244" s="111"/>
      <c r="AT244" s="75"/>
      <c r="AU244" s="431"/>
      <c r="AV244" s="111"/>
    </row>
    <row r="245" spans="1:48" ht="16.3">
      <c r="A245" s="246" t="s">
        <v>366</v>
      </c>
      <c r="B245" s="266">
        <f>SUM(L245+M245+N245+O245+P245+U245+X245+Y245+Z245+AC245+AK245+AL245+AK245+AO245+AR245+AS245+AU245+AV245+AW245+AX245)+93</f>
        <v>93</v>
      </c>
      <c r="C245" s="215">
        <f>SUM(L245+M245+N245+O245+P245+U245+Y245+Z245+X245+AC245+AL245+AK245+AL245+AP245+AS245+AO245+AV245+AW245+AX245+AY238+AR245+AU245)+93</f>
        <v>93</v>
      </c>
      <c r="D245" s="133"/>
      <c r="E245" s="134"/>
      <c r="F245" s="135"/>
      <c r="G245" s="136"/>
      <c r="H245" s="683"/>
      <c r="I245" s="676"/>
      <c r="J245" s="96"/>
      <c r="K245" s="96"/>
      <c r="L245" s="75"/>
      <c r="M245" s="128"/>
      <c r="N245" s="128"/>
      <c r="O245" s="100"/>
      <c r="P245" s="100"/>
      <c r="Q245" s="108"/>
      <c r="R245" s="108"/>
      <c r="S245" s="109"/>
      <c r="T245" s="109"/>
      <c r="U245" s="100"/>
      <c r="V245" s="142"/>
      <c r="W245" s="142"/>
      <c r="X245" s="100"/>
      <c r="Y245" s="100"/>
      <c r="Z245" s="100"/>
      <c r="AA245" s="142"/>
      <c r="AB245" s="142"/>
      <c r="AC245" s="100"/>
      <c r="AD245" s="109"/>
      <c r="AE245" s="109"/>
      <c r="AF245" s="109"/>
      <c r="AG245" s="109"/>
      <c r="AH245" s="108"/>
      <c r="AI245" s="109"/>
      <c r="AJ245" s="100"/>
      <c r="AK245" s="100"/>
      <c r="AL245" s="75"/>
      <c r="AM245" s="100"/>
      <c r="AN245" s="75"/>
      <c r="AO245" s="100"/>
      <c r="AP245" s="107"/>
      <c r="AQ245" s="100"/>
      <c r="AR245" s="75"/>
      <c r="AS245" s="111"/>
      <c r="AT245" s="75"/>
      <c r="AU245" s="431"/>
      <c r="AV245" s="111"/>
    </row>
    <row r="246" spans="1:48" ht="16.3">
      <c r="A246" s="83" t="s">
        <v>3</v>
      </c>
      <c r="B246" s="265">
        <f>SUM(L246+M246+N246+O246+P246+U246+X246+Y246+Z246+AC246+AK246+AL246+AK246+AO246+AR246+AS246+AU246+AV246+AW246+AX246)+29</f>
        <v>31</v>
      </c>
      <c r="C246" s="214">
        <f>SUM(L246+M246+N246+O246+P246+U246+Y246+Z246+X246+AC246+AL246+AK246+AL246+AP246+AS246+AO246+AV246+AW246+AX246+AY239+AR246+AU246)+29</f>
        <v>31</v>
      </c>
      <c r="D246" s="133"/>
      <c r="E246" s="134"/>
      <c r="F246" s="135"/>
      <c r="G246" s="136"/>
      <c r="H246" s="683"/>
      <c r="I246" s="676"/>
      <c r="J246" s="96"/>
      <c r="K246" s="96"/>
      <c r="L246" s="75"/>
      <c r="M246" s="128"/>
      <c r="N246" s="128"/>
      <c r="O246" s="100"/>
      <c r="P246" s="100">
        <v>1</v>
      </c>
      <c r="Q246" s="108"/>
      <c r="R246" s="108"/>
      <c r="S246" s="109"/>
      <c r="T246" s="109"/>
      <c r="U246" s="100">
        <v>1</v>
      </c>
      <c r="V246" s="142"/>
      <c r="W246" s="142"/>
      <c r="X246" s="100"/>
      <c r="Y246" s="100"/>
      <c r="Z246" s="100"/>
      <c r="AA246" s="142"/>
      <c r="AB246" s="142"/>
      <c r="AC246" s="100"/>
      <c r="AD246" s="109"/>
      <c r="AE246" s="109"/>
      <c r="AF246" s="109"/>
      <c r="AG246" s="109"/>
      <c r="AH246" s="108"/>
      <c r="AI246" s="109"/>
      <c r="AJ246" s="100"/>
      <c r="AK246" s="100"/>
      <c r="AL246" s="75"/>
      <c r="AM246" s="100"/>
      <c r="AN246" s="75"/>
      <c r="AO246" s="100"/>
      <c r="AP246" s="107"/>
      <c r="AQ246" s="100"/>
      <c r="AR246" s="75"/>
      <c r="AS246" s="111"/>
      <c r="AT246" s="75"/>
      <c r="AU246" s="431"/>
      <c r="AV246" s="111"/>
    </row>
    <row r="247" spans="1:48" ht="17" thickBot="1">
      <c r="A247" s="85" t="s">
        <v>4</v>
      </c>
      <c r="B247" s="268">
        <f>SUM(L247+M247+N247+O247+P247+U247+X247+Y247+Z247+AC247+AK247+AL247+AK247+AO247+AR247+AS247+AU247+AV247+AW247+AX247)+145</f>
        <v>155</v>
      </c>
      <c r="C247" s="217">
        <f>SUM(L247+M247+N247+O247+P247+U247+Y247+Z247+X247+AC247+AL247+AK247+AL247+AP247+AS247+AO247+AV247+AW247+AX247+AY240+AR247+AU247)+145</f>
        <v>155</v>
      </c>
      <c r="D247" s="144"/>
      <c r="E247" s="145"/>
      <c r="F247" s="146"/>
      <c r="G247" s="147"/>
      <c r="H247" s="684"/>
      <c r="I247" s="677"/>
      <c r="J247" s="114"/>
      <c r="K247" s="114"/>
      <c r="L247" s="112"/>
      <c r="M247" s="129"/>
      <c r="N247" s="112"/>
      <c r="O247" s="100"/>
      <c r="P247" s="100">
        <v>5</v>
      </c>
      <c r="Q247" s="108"/>
      <c r="R247" s="108"/>
      <c r="S247" s="109"/>
      <c r="T247" s="109"/>
      <c r="U247" s="100">
        <v>5</v>
      </c>
      <c r="V247" s="142"/>
      <c r="W247" s="142"/>
      <c r="X247" s="100"/>
      <c r="Y247" s="100"/>
      <c r="Z247" s="100"/>
      <c r="AA247" s="142"/>
      <c r="AB247" s="142"/>
      <c r="AC247" s="100"/>
      <c r="AD247" s="109"/>
      <c r="AE247" s="109"/>
      <c r="AF247" s="109"/>
      <c r="AG247" s="109"/>
      <c r="AH247" s="108"/>
      <c r="AI247" s="109"/>
      <c r="AJ247" s="100"/>
      <c r="AK247" s="100"/>
      <c r="AL247" s="75"/>
      <c r="AM247" s="100"/>
      <c r="AN247" s="75"/>
      <c r="AO247" s="100"/>
      <c r="AP247" s="107"/>
      <c r="AQ247" s="100"/>
      <c r="AR247" s="75"/>
      <c r="AS247" s="111"/>
      <c r="AT247" s="75"/>
      <c r="AU247" s="431"/>
      <c r="AV247" s="111"/>
    </row>
    <row r="248" spans="1:48" ht="21.1">
      <c r="A248" s="82" t="s">
        <v>578</v>
      </c>
      <c r="B248" s="265"/>
      <c r="C248" s="214"/>
      <c r="D248" s="133"/>
      <c r="E248" s="134"/>
      <c r="F248" s="135"/>
      <c r="G248" s="136"/>
      <c r="H248" s="683"/>
      <c r="I248" s="676"/>
      <c r="J248" s="96" t="s">
        <v>439</v>
      </c>
      <c r="K248" s="96" t="s">
        <v>375</v>
      </c>
      <c r="L248" s="104" t="s">
        <v>371</v>
      </c>
      <c r="M248" s="75" t="s">
        <v>371</v>
      </c>
      <c r="N248" s="75"/>
      <c r="O248" s="102" t="s">
        <v>371</v>
      </c>
      <c r="P248" s="102" t="s">
        <v>371</v>
      </c>
      <c r="Q248" s="98"/>
      <c r="R248" s="98"/>
      <c r="S248" s="99"/>
      <c r="T248" s="99"/>
      <c r="U248" s="102" t="s">
        <v>371</v>
      </c>
      <c r="V248" s="138" t="s">
        <v>375</v>
      </c>
      <c r="W248" s="138" t="s">
        <v>375</v>
      </c>
      <c r="X248" s="102"/>
      <c r="Y248" s="102" t="s">
        <v>371</v>
      </c>
      <c r="Z248" s="102" t="s">
        <v>371</v>
      </c>
      <c r="AA248" s="138" t="s">
        <v>371</v>
      </c>
      <c r="AB248" s="138" t="s">
        <v>371</v>
      </c>
      <c r="AC248" s="102" t="s">
        <v>371</v>
      </c>
      <c r="AD248" s="99"/>
      <c r="AE248" s="99"/>
      <c r="AF248" s="99"/>
      <c r="AG248" s="99"/>
      <c r="AH248" s="98"/>
      <c r="AI248" s="99"/>
      <c r="AJ248" s="102"/>
      <c r="AK248" s="102"/>
      <c r="AL248" s="122"/>
      <c r="AM248" s="102"/>
      <c r="AN248" s="122"/>
      <c r="AO248" s="102"/>
      <c r="AP248" s="131"/>
      <c r="AQ248" s="102"/>
      <c r="AR248" s="122"/>
      <c r="AS248" s="103"/>
      <c r="AT248" s="122"/>
      <c r="AU248" s="430"/>
      <c r="AV248" s="103"/>
    </row>
    <row r="249" spans="1:48" ht="16.3">
      <c r="A249" s="246" t="s">
        <v>1</v>
      </c>
      <c r="B249" s="266">
        <f>SUM(L249+M249+N249+O249+P249+U249+X249+Y249+Z249+AC249+AK249+AL249+AK249+AO249+AR249+AS249+AU249+AV249+AW249+AX249)</f>
        <v>8</v>
      </c>
      <c r="C249" s="215">
        <f>SUM(L249+M249+N249+O249+P249+U249+Y249+Z249+X249+AC249+AL249+AK249+AL249+AP249+AS249+AO249+AV249+AW249+AX249+AY242+AR249+AU249)</f>
        <v>8</v>
      </c>
      <c r="D249" s="133"/>
      <c r="E249" s="134"/>
      <c r="F249" s="135"/>
      <c r="G249" s="136"/>
      <c r="H249" s="683"/>
      <c r="I249" s="676"/>
      <c r="J249" s="96">
        <v>1</v>
      </c>
      <c r="K249" s="96"/>
      <c r="L249" s="104">
        <v>1</v>
      </c>
      <c r="M249" s="75">
        <v>1</v>
      </c>
      <c r="N249" s="75"/>
      <c r="O249" s="100">
        <v>1</v>
      </c>
      <c r="P249" s="100">
        <v>1</v>
      </c>
      <c r="Q249" s="108"/>
      <c r="R249" s="108"/>
      <c r="S249" s="109"/>
      <c r="T249" s="109"/>
      <c r="U249" s="100">
        <v>1</v>
      </c>
      <c r="V249" s="142"/>
      <c r="W249" s="142"/>
      <c r="X249" s="100"/>
      <c r="Y249" s="100">
        <v>1</v>
      </c>
      <c r="Z249" s="100">
        <v>1</v>
      </c>
      <c r="AA249" s="142">
        <v>1</v>
      </c>
      <c r="AB249" s="142">
        <v>1</v>
      </c>
      <c r="AC249" s="100">
        <v>1</v>
      </c>
      <c r="AD249" s="109"/>
      <c r="AE249" s="109"/>
      <c r="AF249" s="109"/>
      <c r="AG249" s="109"/>
      <c r="AH249" s="108"/>
      <c r="AI249" s="109"/>
      <c r="AJ249" s="100"/>
      <c r="AK249" s="100"/>
      <c r="AL249" s="75"/>
      <c r="AM249" s="100"/>
      <c r="AN249" s="75"/>
      <c r="AO249" s="100"/>
      <c r="AP249" s="107"/>
      <c r="AQ249" s="100"/>
      <c r="AR249" s="75"/>
      <c r="AS249" s="111"/>
      <c r="AT249" s="75"/>
      <c r="AU249" s="431"/>
      <c r="AV249" s="111"/>
    </row>
    <row r="250" spans="1:48" ht="16.3">
      <c r="A250" s="246" t="s">
        <v>2</v>
      </c>
      <c r="B250" s="266">
        <f>SUM(L250+M250+N250+O250+P250+U250+X250+Y250+Z250+AC250+AK250+AL250+AK250+AO250+AR250+AS250+AU250+AV250+AW250+AX250)</f>
        <v>0</v>
      </c>
      <c r="C250" s="215">
        <f>SUM(L250+M250+N250+O250+P250+U250+Y250+Z250+X250+AC250+AL250+AK250+AL250+AP250+AS250+AO250+AV250+AW250+AX250+AY243+AR250+AU250)</f>
        <v>0</v>
      </c>
      <c r="D250" s="133"/>
      <c r="E250" s="134"/>
      <c r="F250" s="135"/>
      <c r="G250" s="136"/>
      <c r="H250" s="683"/>
      <c r="I250" s="676"/>
      <c r="J250" s="96"/>
      <c r="K250" s="96">
        <v>1</v>
      </c>
      <c r="L250" s="104"/>
      <c r="M250" s="75"/>
      <c r="N250" s="75"/>
      <c r="O250" s="100"/>
      <c r="P250" s="100"/>
      <c r="Q250" s="108"/>
      <c r="R250" s="108"/>
      <c r="S250" s="109"/>
      <c r="T250" s="109"/>
      <c r="U250" s="100"/>
      <c r="V250" s="142">
        <v>1</v>
      </c>
      <c r="W250" s="142">
        <v>1</v>
      </c>
      <c r="X250" s="100"/>
      <c r="Y250" s="100"/>
      <c r="Z250" s="100"/>
      <c r="AA250" s="142"/>
      <c r="AB250" s="142"/>
      <c r="AC250" s="100"/>
      <c r="AD250" s="109"/>
      <c r="AE250" s="109"/>
      <c r="AF250" s="109"/>
      <c r="AG250" s="109"/>
      <c r="AH250" s="108"/>
      <c r="AI250" s="109"/>
      <c r="AJ250" s="100"/>
      <c r="AK250" s="100"/>
      <c r="AL250" s="75"/>
      <c r="AM250" s="100"/>
      <c r="AN250" s="75"/>
      <c r="AO250" s="100"/>
      <c r="AP250" s="107"/>
      <c r="AQ250" s="100"/>
      <c r="AR250" s="75"/>
      <c r="AS250" s="111"/>
      <c r="AT250" s="75"/>
      <c r="AU250" s="431"/>
      <c r="AV250" s="111"/>
    </row>
    <row r="251" spans="1:48" ht="16.3">
      <c r="A251" s="83" t="s">
        <v>363</v>
      </c>
      <c r="B251" s="265">
        <f>SUM(B249+B250)</f>
        <v>8</v>
      </c>
      <c r="C251" s="214">
        <f>SUM(C249+C250)</f>
        <v>8</v>
      </c>
      <c r="D251" s="133"/>
      <c r="E251" s="134"/>
      <c r="F251" s="135"/>
      <c r="G251" s="136"/>
      <c r="H251" s="683"/>
      <c r="I251" s="676"/>
      <c r="J251" s="96"/>
      <c r="K251" s="96"/>
      <c r="L251" s="104"/>
      <c r="M251" s="75"/>
      <c r="N251" s="75"/>
      <c r="O251" s="100"/>
      <c r="P251" s="100"/>
      <c r="Q251" s="108"/>
      <c r="R251" s="108"/>
      <c r="S251" s="109"/>
      <c r="T251" s="109"/>
      <c r="U251" s="100"/>
      <c r="V251" s="142"/>
      <c r="W251" s="142"/>
      <c r="X251" s="100"/>
      <c r="Y251" s="100"/>
      <c r="Z251" s="100"/>
      <c r="AA251" s="142"/>
      <c r="AB251" s="142"/>
      <c r="AC251" s="100"/>
      <c r="AD251" s="109"/>
      <c r="AE251" s="109"/>
      <c r="AF251" s="109"/>
      <c r="AG251" s="109"/>
      <c r="AH251" s="108"/>
      <c r="AI251" s="109"/>
      <c r="AJ251" s="100"/>
      <c r="AK251" s="100"/>
      <c r="AL251" s="75"/>
      <c r="AM251" s="100"/>
      <c r="AN251" s="75"/>
      <c r="AO251" s="100"/>
      <c r="AP251" s="107"/>
      <c r="AQ251" s="100"/>
      <c r="AR251" s="75"/>
      <c r="AS251" s="111"/>
      <c r="AT251" s="75"/>
      <c r="AU251" s="431"/>
      <c r="AV251" s="111"/>
    </row>
    <row r="252" spans="1:48" ht="16.3">
      <c r="A252" s="83" t="s">
        <v>3</v>
      </c>
      <c r="B252" s="265">
        <f>SUM(L252+M252+N252+O252+P252+U252+X252+Y252+Z252+AC252+AK252+AL252+AK252+AO252+AR252+AS252+AU252+AV252+AW252+AX252)</f>
        <v>3</v>
      </c>
      <c r="C252" s="214">
        <f>SUM(L252+M252+N252+O252+P252+U252+Y252+Z252+X252+AC252+AL252+AK252+AL252+AP252+AS252+AO252+AV252+AW252+AX252+AY245+AR252+AU252)</f>
        <v>3</v>
      </c>
      <c r="D252" s="133"/>
      <c r="E252" s="134"/>
      <c r="F252" s="135"/>
      <c r="G252" s="136"/>
      <c r="H252" s="683"/>
      <c r="I252" s="676"/>
      <c r="J252" s="96"/>
      <c r="K252" s="96">
        <v>1</v>
      </c>
      <c r="L252" s="104"/>
      <c r="M252" s="75">
        <v>1</v>
      </c>
      <c r="N252" s="75"/>
      <c r="O252" s="100"/>
      <c r="P252" s="100">
        <v>1</v>
      </c>
      <c r="Q252" s="108"/>
      <c r="R252" s="108"/>
      <c r="S252" s="109"/>
      <c r="T252" s="109"/>
      <c r="U252" s="100"/>
      <c r="V252" s="142"/>
      <c r="W252" s="142"/>
      <c r="X252" s="100"/>
      <c r="Y252" s="100"/>
      <c r="Z252" s="100">
        <v>1</v>
      </c>
      <c r="AA252" s="142"/>
      <c r="AB252" s="142">
        <v>1</v>
      </c>
      <c r="AC252" s="100"/>
      <c r="AD252" s="109"/>
      <c r="AE252" s="109"/>
      <c r="AF252" s="109"/>
      <c r="AG252" s="109"/>
      <c r="AH252" s="108"/>
      <c r="AI252" s="109"/>
      <c r="AJ252" s="100"/>
      <c r="AK252" s="100"/>
      <c r="AL252" s="75"/>
      <c r="AM252" s="100"/>
      <c r="AN252" s="75"/>
      <c r="AO252" s="100"/>
      <c r="AP252" s="107"/>
      <c r="AQ252" s="100"/>
      <c r="AR252" s="75"/>
      <c r="AS252" s="111"/>
      <c r="AT252" s="75"/>
      <c r="AU252" s="431"/>
      <c r="AV252" s="111"/>
    </row>
    <row r="253" spans="1:48" ht="17" thickBot="1">
      <c r="A253" s="85" t="s">
        <v>4</v>
      </c>
      <c r="B253" s="265">
        <f>SUM(L253+M253+N253+O253+P253+U253+X253+Y253+Z253+AC253+AK253+AL253+AK253+AO253+AR253+AS253+AU253+AV253+AW253+AX253)</f>
        <v>15</v>
      </c>
      <c r="C253" s="214">
        <f>SUM(L253+M253+N253+O253+P253+U253+Y253+Z253+X253+AC253+AL253+AK253+AL253+AP253+AS253+AO253+AV253+AW253+AX253+AY246+AR253+AU253)</f>
        <v>15</v>
      </c>
      <c r="D253" s="133"/>
      <c r="E253" s="134"/>
      <c r="F253" s="135"/>
      <c r="G253" s="136"/>
      <c r="H253" s="146"/>
      <c r="I253" s="684"/>
      <c r="J253" s="114"/>
      <c r="K253" s="114">
        <v>5</v>
      </c>
      <c r="L253" s="113"/>
      <c r="M253" s="112">
        <v>5</v>
      </c>
      <c r="N253" s="112"/>
      <c r="O253" s="116"/>
      <c r="P253" s="116">
        <v>5</v>
      </c>
      <c r="Q253" s="117"/>
      <c r="R253" s="117"/>
      <c r="S253" s="118"/>
      <c r="T253" s="118"/>
      <c r="U253" s="116"/>
      <c r="V253" s="149"/>
      <c r="W253" s="149"/>
      <c r="X253" s="116"/>
      <c r="Y253" s="116"/>
      <c r="Z253" s="116">
        <v>5</v>
      </c>
      <c r="AA253" s="149"/>
      <c r="AB253" s="149">
        <v>5</v>
      </c>
      <c r="AC253" s="116"/>
      <c r="AD253" s="118"/>
      <c r="AE253" s="118"/>
      <c r="AF253" s="118"/>
      <c r="AG253" s="118"/>
      <c r="AH253" s="117"/>
      <c r="AI253" s="118"/>
      <c r="AJ253" s="116"/>
      <c r="AK253" s="116"/>
      <c r="AL253" s="112"/>
      <c r="AM253" s="116"/>
      <c r="AN253" s="112"/>
      <c r="AO253" s="116"/>
      <c r="AP253" s="130"/>
      <c r="AQ253" s="116"/>
      <c r="AR253" s="112"/>
      <c r="AS253" s="121"/>
      <c r="AT253" s="112"/>
      <c r="AU253" s="432"/>
      <c r="AV253" s="121"/>
    </row>
    <row r="254" spans="1:48" ht="21.1">
      <c r="A254" s="82" t="s">
        <v>579</v>
      </c>
      <c r="B254" s="270"/>
      <c r="C254" s="218"/>
      <c r="D254" s="153"/>
      <c r="E254" s="154"/>
      <c r="F254" s="155"/>
      <c r="G254" s="156"/>
      <c r="H254" s="683"/>
      <c r="I254" s="676"/>
      <c r="J254" s="96" t="s">
        <v>697</v>
      </c>
      <c r="K254" s="96" t="s">
        <v>697</v>
      </c>
      <c r="L254" s="104" t="s">
        <v>697</v>
      </c>
      <c r="M254" s="75" t="s">
        <v>697</v>
      </c>
      <c r="N254" s="104" t="s">
        <v>432</v>
      </c>
      <c r="O254" s="102"/>
      <c r="P254" s="102"/>
      <c r="Q254" s="98"/>
      <c r="R254" s="98"/>
      <c r="S254" s="99" t="s">
        <v>371</v>
      </c>
      <c r="T254" s="99" t="s">
        <v>375</v>
      </c>
      <c r="U254" s="102"/>
      <c r="V254" s="138"/>
      <c r="W254" s="138" t="s">
        <v>371</v>
      </c>
      <c r="X254" s="102" t="s">
        <v>375</v>
      </c>
      <c r="Y254" s="102"/>
      <c r="Z254" s="102"/>
      <c r="AA254" s="138"/>
      <c r="AB254" s="138" t="s">
        <v>375</v>
      </c>
      <c r="AC254" s="102"/>
      <c r="AD254" s="99" t="s">
        <v>371</v>
      </c>
      <c r="AE254" s="99"/>
      <c r="AF254" s="99" t="s">
        <v>375</v>
      </c>
      <c r="AG254" s="99" t="s">
        <v>375</v>
      </c>
      <c r="AH254" s="98"/>
      <c r="AI254" s="99" t="s">
        <v>375</v>
      </c>
      <c r="AJ254" s="102"/>
      <c r="AK254" s="102"/>
      <c r="AL254" s="122"/>
      <c r="AM254" s="102"/>
      <c r="AN254" s="122"/>
      <c r="AO254" s="102"/>
      <c r="AP254" s="131"/>
      <c r="AQ254" s="102"/>
      <c r="AR254" s="122"/>
      <c r="AS254" s="103"/>
      <c r="AT254" s="122"/>
      <c r="AU254" s="430"/>
      <c r="AV254" s="103"/>
    </row>
    <row r="255" spans="1:48" ht="16.3">
      <c r="A255" s="246" t="s">
        <v>1</v>
      </c>
      <c r="B255" s="266">
        <f>SUM(L255+M255+N255+O255+P255+U255+X255+Y255+Z255+AC255+AK255+AL255+AK255+AO255+AR255+AS255+AU255+AV255+AW255+AX255)</f>
        <v>0</v>
      </c>
      <c r="C255" s="215">
        <f>SUM(L255+M255+N255+O255+P255+U255+Y255+Z255+X255+AC255+AL255+AK255+AL255+AP255+AS255+AO255+AV255+AW255+AX255+AY248+AR255+AU255)</f>
        <v>0</v>
      </c>
      <c r="D255" s="133"/>
      <c r="E255" s="134"/>
      <c r="F255" s="135"/>
      <c r="G255" s="136"/>
      <c r="H255" s="683"/>
      <c r="I255" s="676"/>
      <c r="J255" s="96"/>
      <c r="K255" s="96"/>
      <c r="L255" s="104"/>
      <c r="M255" s="75"/>
      <c r="N255" s="104"/>
      <c r="O255" s="100"/>
      <c r="P255" s="100"/>
      <c r="Q255" s="108"/>
      <c r="R255" s="108"/>
      <c r="S255" s="109">
        <v>1</v>
      </c>
      <c r="T255" s="109"/>
      <c r="U255" s="100"/>
      <c r="V255" s="142"/>
      <c r="W255" s="142">
        <v>1</v>
      </c>
      <c r="X255" s="100"/>
      <c r="Y255" s="100"/>
      <c r="Z255" s="100"/>
      <c r="AA255" s="142"/>
      <c r="AB255" s="142"/>
      <c r="AC255" s="100"/>
      <c r="AD255" s="109">
        <v>1</v>
      </c>
      <c r="AE255" s="109"/>
      <c r="AF255" s="109"/>
      <c r="AG255" s="109"/>
      <c r="AH255" s="108"/>
      <c r="AI255" s="109"/>
      <c r="AJ255" s="100"/>
      <c r="AK255" s="100"/>
      <c r="AL255" s="75"/>
      <c r="AM255" s="100"/>
      <c r="AN255" s="75"/>
      <c r="AO255" s="100"/>
      <c r="AP255" s="107"/>
      <c r="AQ255" s="100"/>
      <c r="AR255" s="75"/>
      <c r="AS255" s="111"/>
      <c r="AT255" s="75"/>
      <c r="AU255" s="431"/>
      <c r="AV255" s="111"/>
    </row>
    <row r="256" spans="1:48" ht="16.3">
      <c r="A256" s="246" t="s">
        <v>2</v>
      </c>
      <c r="B256" s="266">
        <f>SUM(L256+M256+N256+O256+P256+U256+X256+Y256+Z256+AC256+AK256+AL256+AK256+AO256+AR256+AS256+AU256+AV256+AW256+AX256)</f>
        <v>2</v>
      </c>
      <c r="C256" s="215">
        <f>SUM(L256+M256+N256+O256+P256+U256+Y256+Z256+X256+AC256+AL256+AK256+AL256+AP256+AS256+AO256+AV256+AW256+AX256+AY249+AR256+AU256)</f>
        <v>2</v>
      </c>
      <c r="D256" s="133"/>
      <c r="E256" s="134"/>
      <c r="F256" s="135"/>
      <c r="G256" s="136"/>
      <c r="H256" s="683"/>
      <c r="I256" s="676"/>
      <c r="J256" s="96"/>
      <c r="K256" s="96"/>
      <c r="L256" s="104"/>
      <c r="M256" s="75"/>
      <c r="N256" s="75">
        <v>1</v>
      </c>
      <c r="O256" s="100"/>
      <c r="P256" s="100"/>
      <c r="Q256" s="108"/>
      <c r="R256" s="108"/>
      <c r="S256" s="109"/>
      <c r="T256" s="109">
        <v>1</v>
      </c>
      <c r="U256" s="100"/>
      <c r="V256" s="142"/>
      <c r="W256" s="142"/>
      <c r="X256" s="100">
        <v>1</v>
      </c>
      <c r="Y256" s="100"/>
      <c r="Z256" s="100"/>
      <c r="AA256" s="142"/>
      <c r="AB256" s="142">
        <v>1</v>
      </c>
      <c r="AC256" s="100"/>
      <c r="AD256" s="109"/>
      <c r="AE256" s="109"/>
      <c r="AF256" s="109">
        <v>1</v>
      </c>
      <c r="AG256" s="109">
        <v>1</v>
      </c>
      <c r="AH256" s="108"/>
      <c r="AI256" s="109">
        <v>1</v>
      </c>
      <c r="AJ256" s="100"/>
      <c r="AK256" s="100"/>
      <c r="AL256" s="75"/>
      <c r="AM256" s="100"/>
      <c r="AN256" s="75"/>
      <c r="AO256" s="100"/>
      <c r="AP256" s="107"/>
      <c r="AQ256" s="100"/>
      <c r="AR256" s="75"/>
      <c r="AS256" s="111"/>
      <c r="AT256" s="75"/>
      <c r="AU256" s="431"/>
      <c r="AV256" s="111"/>
    </row>
    <row r="257" spans="1:48" ht="16.3">
      <c r="A257" s="83" t="s">
        <v>363</v>
      </c>
      <c r="B257" s="265">
        <f>SUM(B255+B256)</f>
        <v>2</v>
      </c>
      <c r="C257" s="214">
        <f>SUM(C255+C256)</f>
        <v>2</v>
      </c>
      <c r="D257" s="133"/>
      <c r="E257" s="134"/>
      <c r="F257" s="135"/>
      <c r="G257" s="136"/>
      <c r="H257" s="683"/>
      <c r="I257" s="676"/>
      <c r="J257" s="96"/>
      <c r="K257" s="96"/>
      <c r="L257" s="104"/>
      <c r="M257" s="75"/>
      <c r="N257" s="75"/>
      <c r="O257" s="100"/>
      <c r="P257" s="100"/>
      <c r="Q257" s="108"/>
      <c r="R257" s="108"/>
      <c r="S257" s="109"/>
      <c r="T257" s="109"/>
      <c r="U257" s="100"/>
      <c r="V257" s="142"/>
      <c r="W257" s="142"/>
      <c r="X257" s="100"/>
      <c r="Y257" s="100"/>
      <c r="Z257" s="100"/>
      <c r="AA257" s="142"/>
      <c r="AB257" s="142"/>
      <c r="AC257" s="100"/>
      <c r="AD257" s="109"/>
      <c r="AE257" s="109"/>
      <c r="AF257" s="109"/>
      <c r="AG257" s="109"/>
      <c r="AH257" s="108"/>
      <c r="AI257" s="109"/>
      <c r="AJ257" s="100"/>
      <c r="AK257" s="100"/>
      <c r="AL257" s="75"/>
      <c r="AM257" s="100"/>
      <c r="AN257" s="75"/>
      <c r="AO257" s="100"/>
      <c r="AP257" s="107"/>
      <c r="AQ257" s="100"/>
      <c r="AR257" s="75"/>
      <c r="AS257" s="111"/>
      <c r="AT257" s="75"/>
      <c r="AU257" s="431"/>
      <c r="AV257" s="111"/>
    </row>
    <row r="258" spans="1:48" ht="16.3">
      <c r="A258" s="83" t="s">
        <v>3</v>
      </c>
      <c r="B258" s="265">
        <f>SUM(L258+M258+N258+O258+P258+U258+X258+Y258+Z258+AC258+AK258+AL258+AK258+AO258+AR258+AS258+AU258+AV258+AW258+AX258)</f>
        <v>0</v>
      </c>
      <c r="C258" s="214">
        <f>SUM(L258+M258+N258+O258+P258+U258+Y258+Z258+X258+AC258+AL258+AK258+AL258+AP258+AS258+AO258+AV258+AW258+AX258+AY251+AR258+AU258)</f>
        <v>0</v>
      </c>
      <c r="D258" s="133"/>
      <c r="E258" s="134"/>
      <c r="F258" s="135"/>
      <c r="G258" s="136"/>
      <c r="H258" s="683"/>
      <c r="I258" s="676"/>
      <c r="J258" s="96"/>
      <c r="K258" s="96"/>
      <c r="L258" s="104"/>
      <c r="M258" s="75"/>
      <c r="N258" s="75"/>
      <c r="O258" s="100"/>
      <c r="P258" s="100"/>
      <c r="Q258" s="108"/>
      <c r="R258" s="108"/>
      <c r="S258" s="109"/>
      <c r="T258" s="109"/>
      <c r="U258" s="100"/>
      <c r="V258" s="142"/>
      <c r="W258" s="142"/>
      <c r="X258" s="100"/>
      <c r="Y258" s="100"/>
      <c r="Z258" s="100"/>
      <c r="AA258" s="142"/>
      <c r="AB258" s="142">
        <v>1</v>
      </c>
      <c r="AC258" s="100"/>
      <c r="AD258" s="109">
        <v>1</v>
      </c>
      <c r="AE258" s="109"/>
      <c r="AF258" s="109"/>
      <c r="AG258" s="109"/>
      <c r="AH258" s="108"/>
      <c r="AI258" s="109"/>
      <c r="AJ258" s="100"/>
      <c r="AK258" s="100"/>
      <c r="AL258" s="75"/>
      <c r="AM258" s="100"/>
      <c r="AN258" s="75"/>
      <c r="AO258" s="100"/>
      <c r="AP258" s="107"/>
      <c r="AQ258" s="100"/>
      <c r="AR258" s="75"/>
      <c r="AS258" s="111"/>
      <c r="AT258" s="75"/>
      <c r="AU258" s="431"/>
      <c r="AV258" s="111"/>
    </row>
    <row r="259" spans="1:48" ht="17" thickBot="1">
      <c r="A259" s="85" t="s">
        <v>4</v>
      </c>
      <c r="B259" s="268">
        <f>SUM(L259+M259+N259+O259+P259+U259+X259+Y259+Z259+AC259+AK259+AL259+AK259+AO259+AR259+AS259+AU259+AV259+AW259+AX259)</f>
        <v>0</v>
      </c>
      <c r="C259" s="217">
        <f>SUM(L259+M259+N259+O259+P259+U259+Y259+Z259+X259+AC259+AL259+AK259+AL259+AP259+AS259+AO259+AV259+AW259+AX259+AY252+AR259+AU259)</f>
        <v>0</v>
      </c>
      <c r="D259" s="144"/>
      <c r="E259" s="145"/>
      <c r="F259" s="146"/>
      <c r="G259" s="147"/>
      <c r="H259" s="684"/>
      <c r="I259" s="677"/>
      <c r="J259" s="114"/>
      <c r="K259" s="114"/>
      <c r="L259" s="113"/>
      <c r="M259" s="112"/>
      <c r="N259" s="112"/>
      <c r="O259" s="116"/>
      <c r="P259" s="116"/>
      <c r="Q259" s="117"/>
      <c r="R259" s="117"/>
      <c r="S259" s="118"/>
      <c r="T259" s="118"/>
      <c r="U259" s="116"/>
      <c r="V259" s="149"/>
      <c r="W259" s="149"/>
      <c r="X259" s="116"/>
      <c r="Y259" s="116"/>
      <c r="Z259" s="116"/>
      <c r="AA259" s="149"/>
      <c r="AB259" s="149">
        <v>5</v>
      </c>
      <c r="AC259" s="116"/>
      <c r="AD259" s="118">
        <v>5</v>
      </c>
      <c r="AE259" s="118"/>
      <c r="AF259" s="118"/>
      <c r="AG259" s="118"/>
      <c r="AH259" s="117"/>
      <c r="AI259" s="118"/>
      <c r="AJ259" s="116"/>
      <c r="AK259" s="116"/>
      <c r="AL259" s="112"/>
      <c r="AM259" s="116"/>
      <c r="AN259" s="112"/>
      <c r="AO259" s="116"/>
      <c r="AP259" s="130"/>
      <c r="AQ259" s="116"/>
      <c r="AR259" s="112"/>
      <c r="AS259" s="121"/>
      <c r="AT259" s="112"/>
      <c r="AU259" s="432"/>
      <c r="AV259" s="121"/>
    </row>
    <row r="260" spans="1:48" ht="21.1">
      <c r="A260" s="82" t="s">
        <v>141</v>
      </c>
      <c r="B260" s="265"/>
      <c r="C260" s="214"/>
      <c r="D260" s="133"/>
      <c r="E260" s="134"/>
      <c r="F260" s="135"/>
      <c r="G260" s="136"/>
      <c r="H260" s="683"/>
      <c r="I260" s="676"/>
      <c r="J260" s="96" t="s">
        <v>339</v>
      </c>
      <c r="K260" s="96" t="s">
        <v>339</v>
      </c>
      <c r="L260" s="104" t="s">
        <v>339</v>
      </c>
      <c r="M260" s="75" t="s">
        <v>339</v>
      </c>
      <c r="N260" s="75" t="s">
        <v>339</v>
      </c>
      <c r="O260" s="102" t="s">
        <v>339</v>
      </c>
      <c r="P260" s="102" t="s">
        <v>339</v>
      </c>
      <c r="Q260" s="98"/>
      <c r="R260" s="98"/>
      <c r="S260" s="99" t="s">
        <v>339</v>
      </c>
      <c r="T260" s="99" t="s">
        <v>339</v>
      </c>
      <c r="U260" s="102" t="s">
        <v>339</v>
      </c>
      <c r="V260" s="138" t="s">
        <v>339</v>
      </c>
      <c r="W260" s="138" t="s">
        <v>339</v>
      </c>
      <c r="X260" s="102" t="s">
        <v>339</v>
      </c>
      <c r="Y260" s="102" t="s">
        <v>339</v>
      </c>
      <c r="Z260" s="102" t="s">
        <v>339</v>
      </c>
      <c r="AA260" s="138" t="s">
        <v>339</v>
      </c>
      <c r="AB260" s="138" t="s">
        <v>339</v>
      </c>
      <c r="AC260" s="102" t="s">
        <v>339</v>
      </c>
      <c r="AD260" s="99" t="s">
        <v>375</v>
      </c>
      <c r="AE260" s="99" t="s">
        <v>371</v>
      </c>
      <c r="AF260" s="99" t="s">
        <v>371</v>
      </c>
      <c r="AG260" s="99" t="s">
        <v>371</v>
      </c>
      <c r="AH260" s="98"/>
      <c r="AI260" s="99"/>
      <c r="AJ260" s="102"/>
      <c r="AK260" s="102"/>
      <c r="AL260" s="122"/>
      <c r="AM260" s="102"/>
      <c r="AN260" s="122"/>
      <c r="AO260" s="102"/>
      <c r="AP260" s="131"/>
      <c r="AQ260" s="102"/>
      <c r="AR260" s="122"/>
      <c r="AS260" s="103"/>
      <c r="AT260" s="122"/>
      <c r="AU260" s="430"/>
      <c r="AV260" s="103"/>
    </row>
    <row r="261" spans="1:48" ht="16.3">
      <c r="A261" s="246" t="s">
        <v>1</v>
      </c>
      <c r="B261" s="266">
        <f>SUM(L261+M261+N261+O261+P261+U261+X261+Y261+Z261+AC261+AK261+AL261+AK261+AO261+AR261+AS261+AU261+AV261+AW261+AX261)+2</f>
        <v>2</v>
      </c>
      <c r="C261" s="215">
        <f>SUM(L261+M261+N261+O261+P261+U261+Y261+Z261+X261+AC261+AL261+AK261+AL261+AP261+AS261+AO261+AV261+AW261+AX261+AY254+AR261+AU261)+2</f>
        <v>2</v>
      </c>
      <c r="D261" s="133"/>
      <c r="E261" s="134"/>
      <c r="F261" s="135"/>
      <c r="G261" s="136"/>
      <c r="H261" s="683"/>
      <c r="I261" s="676"/>
      <c r="J261" s="96"/>
      <c r="K261" s="96"/>
      <c r="L261" s="104"/>
      <c r="M261" s="75"/>
      <c r="N261" s="75"/>
      <c r="O261" s="100"/>
      <c r="P261" s="100"/>
      <c r="Q261" s="108"/>
      <c r="R261" s="108"/>
      <c r="S261" s="109"/>
      <c r="T261" s="109"/>
      <c r="U261" s="100"/>
      <c r="V261" s="142"/>
      <c r="W261" s="142"/>
      <c r="X261" s="100"/>
      <c r="Y261" s="100"/>
      <c r="Z261" s="100"/>
      <c r="AA261" s="142"/>
      <c r="AB261" s="142"/>
      <c r="AC261" s="100"/>
      <c r="AD261" s="109"/>
      <c r="AE261" s="109">
        <v>1</v>
      </c>
      <c r="AF261" s="109">
        <v>1</v>
      </c>
      <c r="AG261" s="109">
        <v>1</v>
      </c>
      <c r="AH261" s="108"/>
      <c r="AI261" s="109"/>
      <c r="AJ261" s="100"/>
      <c r="AK261" s="100"/>
      <c r="AL261" s="75"/>
      <c r="AM261" s="100"/>
      <c r="AN261" s="75"/>
      <c r="AO261" s="100"/>
      <c r="AP261" s="107"/>
      <c r="AQ261" s="100"/>
      <c r="AR261" s="75"/>
      <c r="AS261" s="111"/>
      <c r="AT261" s="75"/>
      <c r="AU261" s="431"/>
      <c r="AV261" s="111"/>
    </row>
    <row r="262" spans="1:48" ht="16.3">
      <c r="A262" s="246" t="s">
        <v>2</v>
      </c>
      <c r="B262" s="266">
        <f>SUM(L262+M262+N262+O262+P262+U262+X262+Y262+Z262+AC262+AK262+AL262+AK262+AO262+AR262+AS262+AU262+AV262+AW262+AX262)+13</f>
        <v>13</v>
      </c>
      <c r="C262" s="215">
        <f>SUM(L262+M262+N262+O262+P262+U262+Y262+Z262+X262+AC262+AL262+AK262+AL262+AP262+AS262+AO262+AV262+AW262+AX262+AY255+AR262+AU262)+13</f>
        <v>13</v>
      </c>
      <c r="D262" s="133"/>
      <c r="E262" s="134"/>
      <c r="F262" s="135"/>
      <c r="G262" s="136"/>
      <c r="H262" s="683"/>
      <c r="I262" s="676"/>
      <c r="J262" s="96"/>
      <c r="K262" s="96"/>
      <c r="L262" s="104"/>
      <c r="M262" s="75"/>
      <c r="N262" s="75"/>
      <c r="O262" s="100"/>
      <c r="P262" s="100"/>
      <c r="Q262" s="108"/>
      <c r="R262" s="108"/>
      <c r="S262" s="109"/>
      <c r="T262" s="109"/>
      <c r="U262" s="100"/>
      <c r="V262" s="142"/>
      <c r="W262" s="142"/>
      <c r="X262" s="100"/>
      <c r="Y262" s="100"/>
      <c r="Z262" s="100"/>
      <c r="AA262" s="142"/>
      <c r="AB262" s="142"/>
      <c r="AC262" s="100"/>
      <c r="AD262" s="109">
        <v>1</v>
      </c>
      <c r="AE262" s="109"/>
      <c r="AF262" s="109"/>
      <c r="AG262" s="109"/>
      <c r="AH262" s="108"/>
      <c r="AI262" s="109"/>
      <c r="AJ262" s="100"/>
      <c r="AK262" s="100"/>
      <c r="AL262" s="75"/>
      <c r="AM262" s="100"/>
      <c r="AN262" s="75"/>
      <c r="AO262" s="100"/>
      <c r="AP262" s="107"/>
      <c r="AQ262" s="100"/>
      <c r="AR262" s="75"/>
      <c r="AS262" s="111"/>
      <c r="AT262" s="75"/>
      <c r="AU262" s="431"/>
      <c r="AV262" s="111"/>
    </row>
    <row r="263" spans="1:48" ht="16.3">
      <c r="A263" s="83" t="s">
        <v>363</v>
      </c>
      <c r="B263" s="265">
        <f>SUM(B261+B262)</f>
        <v>15</v>
      </c>
      <c r="C263" s="214">
        <f>SUM(C261+C262)</f>
        <v>15</v>
      </c>
      <c r="D263" s="133"/>
      <c r="E263" s="134"/>
      <c r="F263" s="135"/>
      <c r="G263" s="136"/>
      <c r="H263" s="683"/>
      <c r="I263" s="676"/>
      <c r="J263" s="96"/>
      <c r="K263" s="96"/>
      <c r="L263" s="104"/>
      <c r="M263" s="75"/>
      <c r="N263" s="75"/>
      <c r="O263" s="100"/>
      <c r="P263" s="100"/>
      <c r="Q263" s="108"/>
      <c r="R263" s="108"/>
      <c r="S263" s="109"/>
      <c r="T263" s="109"/>
      <c r="U263" s="100"/>
      <c r="V263" s="142"/>
      <c r="W263" s="142"/>
      <c r="X263" s="100"/>
      <c r="Y263" s="100"/>
      <c r="Z263" s="100"/>
      <c r="AA263" s="142"/>
      <c r="AB263" s="142"/>
      <c r="AC263" s="100"/>
      <c r="AD263" s="109"/>
      <c r="AE263" s="109"/>
      <c r="AF263" s="109"/>
      <c r="AG263" s="109"/>
      <c r="AH263" s="108"/>
      <c r="AI263" s="109"/>
      <c r="AJ263" s="100"/>
      <c r="AK263" s="100"/>
      <c r="AL263" s="75"/>
      <c r="AM263" s="100"/>
      <c r="AN263" s="75"/>
      <c r="AO263" s="100"/>
      <c r="AP263" s="107"/>
      <c r="AQ263" s="100"/>
      <c r="AR263" s="75"/>
      <c r="AS263" s="111"/>
      <c r="AT263" s="75"/>
      <c r="AU263" s="431"/>
      <c r="AV263" s="111"/>
    </row>
    <row r="264" spans="1:48" ht="16.3">
      <c r="A264" s="83" t="s">
        <v>3</v>
      </c>
      <c r="B264" s="265">
        <f>SUM(L264+M264+N264+O264+P264+U264+X264+Y264+Z264+AC264+AK264+AL264+AK264+AO264+AR264+AS264+AU264+AV264+AW264+AX264)+1</f>
        <v>1</v>
      </c>
      <c r="C264" s="214">
        <f>SUM(L264+M264+N264+O264+P264+U264+Y264+Z264+X264+AC264+AL264+AK264+AL264+AP264+AS264+AO264+AV264+AW264+AX264+AY257+AR264+AU264)+1</f>
        <v>1</v>
      </c>
      <c r="D264" s="133"/>
      <c r="E264" s="134"/>
      <c r="F264" s="135"/>
      <c r="G264" s="136"/>
      <c r="H264" s="683"/>
      <c r="I264" s="676"/>
      <c r="J264" s="96"/>
      <c r="K264" s="96"/>
      <c r="L264" s="104"/>
      <c r="M264" s="75"/>
      <c r="N264" s="75"/>
      <c r="O264" s="100"/>
      <c r="P264" s="100"/>
      <c r="Q264" s="108"/>
      <c r="R264" s="108"/>
      <c r="S264" s="109"/>
      <c r="T264" s="109"/>
      <c r="U264" s="100"/>
      <c r="V264" s="142"/>
      <c r="W264" s="142"/>
      <c r="X264" s="100"/>
      <c r="Y264" s="100"/>
      <c r="Z264" s="100"/>
      <c r="AA264" s="142"/>
      <c r="AB264" s="142"/>
      <c r="AC264" s="100"/>
      <c r="AD264" s="109"/>
      <c r="AE264" s="109">
        <v>2</v>
      </c>
      <c r="AF264" s="109"/>
      <c r="AG264" s="109"/>
      <c r="AH264" s="108"/>
      <c r="AI264" s="109"/>
      <c r="AJ264" s="100"/>
      <c r="AK264" s="100"/>
      <c r="AL264" s="75"/>
      <c r="AM264" s="100"/>
      <c r="AN264" s="75"/>
      <c r="AO264" s="100"/>
      <c r="AP264" s="107"/>
      <c r="AQ264" s="100"/>
      <c r="AR264" s="75"/>
      <c r="AS264" s="111"/>
      <c r="AT264" s="75"/>
      <c r="AU264" s="431"/>
      <c r="AV264" s="111"/>
    </row>
    <row r="265" spans="1:48" ht="17" thickBot="1">
      <c r="A265" s="85" t="s">
        <v>4</v>
      </c>
      <c r="B265" s="268">
        <f>SUM(L265+M265+N265+O265+P265+U265+X265+Y265+Z265+AC265+AK265+AL265+AK265+AO265+AR265+AS265+AU265+AV265+AW265+AX265)+5</f>
        <v>5</v>
      </c>
      <c r="C265" s="217">
        <f>SUM(L265+M265+N265+O265+P265+U265+Y265+Z265+X265+AC265+AL265+AK265+AL265+AP265+AS265+AO265+AV265+AW265+AX265+AY258+AR265+AU265)+5</f>
        <v>5</v>
      </c>
      <c r="D265" s="144"/>
      <c r="E265" s="145"/>
      <c r="F265" s="146"/>
      <c r="G265" s="147"/>
      <c r="H265" s="684"/>
      <c r="I265" s="677"/>
      <c r="J265" s="114"/>
      <c r="K265" s="114"/>
      <c r="L265" s="113"/>
      <c r="M265" s="112"/>
      <c r="N265" s="112"/>
      <c r="O265" s="116"/>
      <c r="P265" s="116"/>
      <c r="Q265" s="117"/>
      <c r="R265" s="117"/>
      <c r="S265" s="118"/>
      <c r="T265" s="118"/>
      <c r="U265" s="116"/>
      <c r="V265" s="149"/>
      <c r="W265" s="149"/>
      <c r="X265" s="116"/>
      <c r="Y265" s="116"/>
      <c r="Z265" s="116"/>
      <c r="AA265" s="149"/>
      <c r="AB265" s="149"/>
      <c r="AC265" s="116"/>
      <c r="AD265" s="118"/>
      <c r="AE265" s="118">
        <v>10</v>
      </c>
      <c r="AF265" s="118"/>
      <c r="AG265" s="118"/>
      <c r="AH265" s="117"/>
      <c r="AI265" s="118"/>
      <c r="AJ265" s="116"/>
      <c r="AK265" s="116"/>
      <c r="AL265" s="112"/>
      <c r="AM265" s="116"/>
      <c r="AN265" s="112"/>
      <c r="AO265" s="116"/>
      <c r="AP265" s="130"/>
      <c r="AQ265" s="116"/>
      <c r="AR265" s="112"/>
      <c r="AS265" s="121"/>
      <c r="AT265" s="112"/>
      <c r="AU265" s="432"/>
      <c r="AV265" s="121"/>
    </row>
    <row r="266" spans="1:48" ht="21.1">
      <c r="A266" s="82" t="s">
        <v>810</v>
      </c>
      <c r="B266" s="265"/>
      <c r="C266" s="214"/>
      <c r="D266" s="133"/>
      <c r="E266" s="134"/>
      <c r="F266" s="135"/>
      <c r="G266" s="136"/>
      <c r="H266" s="683"/>
      <c r="I266" s="676"/>
      <c r="J266" s="96"/>
      <c r="K266" s="96"/>
      <c r="L266" s="104"/>
      <c r="M266" s="75"/>
      <c r="N266" s="75"/>
      <c r="O266" s="100"/>
      <c r="P266" s="100"/>
      <c r="Q266" s="108"/>
      <c r="R266" s="108"/>
      <c r="S266" s="109" t="s">
        <v>375</v>
      </c>
      <c r="T266" s="109" t="s">
        <v>654</v>
      </c>
      <c r="U266" s="100"/>
      <c r="V266" s="142"/>
      <c r="W266" s="142"/>
      <c r="X266" s="100"/>
      <c r="Y266" s="100"/>
      <c r="Z266" s="100"/>
      <c r="AA266" s="142"/>
      <c r="AB266" s="142"/>
      <c r="AC266" s="100"/>
      <c r="AD266" s="109"/>
      <c r="AE266" s="109" t="s">
        <v>375</v>
      </c>
      <c r="AF266" s="109"/>
      <c r="AG266" s="109"/>
      <c r="AH266" s="108"/>
      <c r="AI266" s="109"/>
      <c r="AJ266" s="100"/>
      <c r="AK266" s="100"/>
      <c r="AL266" s="75"/>
      <c r="AM266" s="100"/>
      <c r="AN266" s="75"/>
      <c r="AO266" s="100"/>
      <c r="AP266" s="107"/>
      <c r="AQ266" s="100"/>
      <c r="AR266" s="75"/>
      <c r="AS266" s="111"/>
      <c r="AT266" s="75"/>
      <c r="AU266" s="431"/>
      <c r="AV266" s="111"/>
    </row>
    <row r="267" spans="1:48" ht="16.3">
      <c r="A267" s="246" t="s">
        <v>1</v>
      </c>
      <c r="B267" s="266">
        <f>SUM(L267+M267+N267+O267+P267+U267+X267+Y267+Z267+AC267+AK267+AL267+AK267+AO267+AR267+AS267+AU267+AV267+AW267+AX267)</f>
        <v>0</v>
      </c>
      <c r="C267" s="215">
        <f>SUM(L267+M267+N267+O267+P267+U267+Y267+Z267+X267+AC267+AL267+AK267+AL267+AP267+AS267+AO267+AV267+AW267+AX267+AY260+AR267+AU267)</f>
        <v>0</v>
      </c>
      <c r="D267" s="133"/>
      <c r="E267" s="134"/>
      <c r="F267" s="135"/>
      <c r="G267" s="136"/>
      <c r="H267" s="683"/>
      <c r="I267" s="676"/>
      <c r="J267" s="96"/>
      <c r="K267" s="96"/>
      <c r="L267" s="104"/>
      <c r="M267" s="75"/>
      <c r="N267" s="75"/>
      <c r="O267" s="100"/>
      <c r="P267" s="100"/>
      <c r="Q267" s="108"/>
      <c r="R267" s="108"/>
      <c r="S267" s="109"/>
      <c r="T267" s="109">
        <v>1</v>
      </c>
      <c r="U267" s="100"/>
      <c r="V267" s="142"/>
      <c r="W267" s="142"/>
      <c r="X267" s="100"/>
      <c r="Y267" s="100"/>
      <c r="Z267" s="100"/>
      <c r="AA267" s="142"/>
      <c r="AB267" s="142"/>
      <c r="AC267" s="100"/>
      <c r="AD267" s="109"/>
      <c r="AE267" s="109"/>
      <c r="AF267" s="109"/>
      <c r="AG267" s="109"/>
      <c r="AH267" s="108"/>
      <c r="AI267" s="109"/>
      <c r="AJ267" s="100"/>
      <c r="AK267" s="100"/>
      <c r="AL267" s="75"/>
      <c r="AM267" s="100"/>
      <c r="AN267" s="75"/>
      <c r="AO267" s="100"/>
      <c r="AP267" s="107"/>
      <c r="AQ267" s="100"/>
      <c r="AR267" s="75"/>
      <c r="AS267" s="111"/>
      <c r="AT267" s="75"/>
      <c r="AU267" s="431"/>
      <c r="AV267" s="111"/>
    </row>
    <row r="268" spans="1:48" ht="16.3">
      <c r="A268" s="246" t="s">
        <v>2</v>
      </c>
      <c r="B268" s="266">
        <f>SUM(L268+M268+N268+O268+P268+U268+X268+Y268+Z268+AC268+AK268+AL268+AK268+AO268+AR268+AS268+AU268+AV268+AW268+AX268)</f>
        <v>0</v>
      </c>
      <c r="C268" s="215">
        <f>SUM(L268+M268+N268+O268+P268+U268+Y268+Z268+X268+AC268+AL268+AK268+AL268+AP268+AS268+AO268+AV268+AW268+AX268+AY261+AR268+AU268)</f>
        <v>0</v>
      </c>
      <c r="D268" s="133"/>
      <c r="E268" s="134"/>
      <c r="F268" s="135"/>
      <c r="G268" s="136"/>
      <c r="H268" s="683"/>
      <c r="I268" s="676"/>
      <c r="J268" s="96"/>
      <c r="K268" s="96"/>
      <c r="L268" s="104"/>
      <c r="M268" s="75"/>
      <c r="N268" s="75"/>
      <c r="O268" s="100"/>
      <c r="P268" s="100"/>
      <c r="Q268" s="108"/>
      <c r="R268" s="108"/>
      <c r="S268" s="109">
        <v>1</v>
      </c>
      <c r="T268" s="109"/>
      <c r="U268" s="100"/>
      <c r="V268" s="142"/>
      <c r="W268" s="142"/>
      <c r="X268" s="100"/>
      <c r="Y268" s="100"/>
      <c r="Z268" s="100"/>
      <c r="AA268" s="142"/>
      <c r="AB268" s="142"/>
      <c r="AC268" s="100"/>
      <c r="AD268" s="109"/>
      <c r="AE268" s="109">
        <v>1</v>
      </c>
      <c r="AF268" s="109"/>
      <c r="AG268" s="109"/>
      <c r="AH268" s="108"/>
      <c r="AI268" s="109"/>
      <c r="AJ268" s="100"/>
      <c r="AK268" s="100"/>
      <c r="AL268" s="75"/>
      <c r="AM268" s="100"/>
      <c r="AN268" s="75"/>
      <c r="AO268" s="100"/>
      <c r="AP268" s="107"/>
      <c r="AQ268" s="100"/>
      <c r="AR268" s="75"/>
      <c r="AS268" s="111"/>
      <c r="AT268" s="75"/>
      <c r="AU268" s="431"/>
      <c r="AV268" s="111"/>
    </row>
    <row r="269" spans="1:48" ht="16.3">
      <c r="A269" s="83" t="s">
        <v>363</v>
      </c>
      <c r="B269" s="265">
        <f>SUM(B267+B268)</f>
        <v>0</v>
      </c>
      <c r="C269" s="214">
        <f>SUM(C267+C268)</f>
        <v>0</v>
      </c>
      <c r="D269" s="133"/>
      <c r="E269" s="134"/>
      <c r="F269" s="135"/>
      <c r="G269" s="136"/>
      <c r="H269" s="683"/>
      <c r="I269" s="676"/>
      <c r="J269" s="96"/>
      <c r="K269" s="96"/>
      <c r="L269" s="104"/>
      <c r="M269" s="75"/>
      <c r="N269" s="75"/>
      <c r="O269" s="100"/>
      <c r="P269" s="100"/>
      <c r="Q269" s="108"/>
      <c r="R269" s="108"/>
      <c r="S269" s="109"/>
      <c r="T269" s="109"/>
      <c r="U269" s="100"/>
      <c r="V269" s="142"/>
      <c r="W269" s="142"/>
      <c r="X269" s="100"/>
      <c r="Y269" s="100"/>
      <c r="Z269" s="100"/>
      <c r="AA269" s="142"/>
      <c r="AB269" s="142"/>
      <c r="AC269" s="100"/>
      <c r="AD269" s="109"/>
      <c r="AE269" s="109"/>
      <c r="AF269" s="109"/>
      <c r="AG269" s="109"/>
      <c r="AH269" s="108"/>
      <c r="AI269" s="109"/>
      <c r="AJ269" s="100"/>
      <c r="AK269" s="100"/>
      <c r="AL269" s="75"/>
      <c r="AM269" s="100"/>
      <c r="AN269" s="75"/>
      <c r="AO269" s="100"/>
      <c r="AP269" s="107"/>
      <c r="AQ269" s="100"/>
      <c r="AR269" s="75"/>
      <c r="AS269" s="111"/>
      <c r="AT269" s="75"/>
      <c r="AU269" s="431"/>
      <c r="AV269" s="111"/>
    </row>
    <row r="270" spans="1:48" ht="16.3">
      <c r="A270" s="246" t="s">
        <v>366</v>
      </c>
      <c r="B270" s="266">
        <f>SUM(L270+M270+N270+O270+P270+U270+X270+Y270+Z270+AC270+AK270+AL270+AK270+AO270+AR270+AS270+AU270+AV270+AW270+AX270)</f>
        <v>0</v>
      </c>
      <c r="C270" s="215">
        <f>SUM(L270+M270+N270+O270+P270+U270+Y270+Z270+X270+AC270+AL270+AK270+AL270+AP270+AS270+AO270+AV270+AW270+AX270+AY263+AR270+AU270)</f>
        <v>0</v>
      </c>
      <c r="D270" s="133"/>
      <c r="E270" s="134"/>
      <c r="F270" s="135"/>
      <c r="G270" s="136"/>
      <c r="H270" s="683"/>
      <c r="I270" s="676"/>
      <c r="J270" s="96"/>
      <c r="K270" s="96"/>
      <c r="L270" s="104"/>
      <c r="M270" s="75"/>
      <c r="N270" s="75"/>
      <c r="O270" s="100"/>
      <c r="P270" s="100"/>
      <c r="Q270" s="108"/>
      <c r="R270" s="108"/>
      <c r="S270" s="109"/>
      <c r="T270" s="109">
        <v>1</v>
      </c>
      <c r="U270" s="100"/>
      <c r="V270" s="142"/>
      <c r="W270" s="142"/>
      <c r="X270" s="100"/>
      <c r="Y270" s="100"/>
      <c r="Z270" s="100"/>
      <c r="AA270" s="142"/>
      <c r="AB270" s="142"/>
      <c r="AC270" s="100"/>
      <c r="AD270" s="109"/>
      <c r="AE270" s="109"/>
      <c r="AF270" s="109"/>
      <c r="AG270" s="109"/>
      <c r="AH270" s="108"/>
      <c r="AI270" s="109"/>
      <c r="AJ270" s="100"/>
      <c r="AK270" s="100"/>
      <c r="AL270" s="75"/>
      <c r="AM270" s="100"/>
      <c r="AN270" s="75"/>
      <c r="AO270" s="100"/>
      <c r="AP270" s="107"/>
      <c r="AQ270" s="100"/>
      <c r="AR270" s="75"/>
      <c r="AS270" s="111"/>
      <c r="AT270" s="75"/>
      <c r="AU270" s="431"/>
      <c r="AV270" s="111"/>
    </row>
    <row r="271" spans="1:48" ht="16.3">
      <c r="A271" s="83" t="s">
        <v>3</v>
      </c>
      <c r="B271" s="265">
        <f>SUM(L271+M271+N271+O271+P271+U271+X271+Y271+Z271+AC271+AK271+AL271+AK271+AO271+AR271+AS271+AU271+AV271+AW271+AX271)</f>
        <v>0</v>
      </c>
      <c r="C271" s="214">
        <f>SUM(L271+M271+N271+O271+P271+U271+Y271+Z271+X271+AC271+AL271+AK271+AL271+AP271+AS271+AO271+AV271+AW271+AX271+AY264+AR271+AU271)</f>
        <v>0</v>
      </c>
      <c r="D271" s="133"/>
      <c r="E271" s="134"/>
      <c r="F271" s="135"/>
      <c r="G271" s="136"/>
      <c r="H271" s="683"/>
      <c r="I271" s="676"/>
      <c r="J271" s="96"/>
      <c r="K271" s="96"/>
      <c r="L271" s="104"/>
      <c r="M271" s="75"/>
      <c r="N271" s="75"/>
      <c r="O271" s="100"/>
      <c r="P271" s="100"/>
      <c r="Q271" s="108"/>
      <c r="R271" s="108"/>
      <c r="S271" s="109"/>
      <c r="T271" s="109">
        <v>1</v>
      </c>
      <c r="U271" s="100"/>
      <c r="V271" s="142"/>
      <c r="W271" s="142"/>
      <c r="X271" s="100"/>
      <c r="Y271" s="100"/>
      <c r="Z271" s="100"/>
      <c r="AA271" s="142"/>
      <c r="AB271" s="142"/>
      <c r="AC271" s="100"/>
      <c r="AD271" s="109"/>
      <c r="AE271" s="109"/>
      <c r="AF271" s="109"/>
      <c r="AG271" s="109"/>
      <c r="AH271" s="108"/>
      <c r="AI271" s="109"/>
      <c r="AJ271" s="100"/>
      <c r="AK271" s="100"/>
      <c r="AL271" s="75"/>
      <c r="AM271" s="100"/>
      <c r="AN271" s="75"/>
      <c r="AO271" s="100"/>
      <c r="AP271" s="107"/>
      <c r="AQ271" s="100"/>
      <c r="AR271" s="75"/>
      <c r="AS271" s="111"/>
      <c r="AT271" s="75"/>
      <c r="AU271" s="431"/>
      <c r="AV271" s="111"/>
    </row>
    <row r="272" spans="1:48" ht="17" thickBot="1">
      <c r="A272" s="85" t="s">
        <v>4</v>
      </c>
      <c r="B272" s="268">
        <f>SUM(L272+M272+N272+O272+P272+U272+X272+Y272+Z272+AC272+AK272+AL272+AK272+AO272+AR272+AS272+AU272+AV272+AW272+AX272)</f>
        <v>0</v>
      </c>
      <c r="C272" s="217">
        <f>SUM(L272+M272+N272+O272+P272+U272+Y272+Z272+X272+AC272+AL272+AK272+AL272+AP272+AS272+AO272+AV272+AW272+AX272+AY265+AR272+AU272)</f>
        <v>0</v>
      </c>
      <c r="D272" s="144"/>
      <c r="E272" s="145"/>
      <c r="F272" s="146"/>
      <c r="G272" s="147"/>
      <c r="H272" s="684"/>
      <c r="I272" s="677"/>
      <c r="J272" s="114"/>
      <c r="K272" s="114"/>
      <c r="L272" s="113"/>
      <c r="M272" s="112"/>
      <c r="N272" s="112"/>
      <c r="O272" s="116"/>
      <c r="P272" s="112"/>
      <c r="Q272" s="108"/>
      <c r="R272" s="108"/>
      <c r="S272" s="109"/>
      <c r="T272" s="109">
        <v>5</v>
      </c>
      <c r="U272" s="100"/>
      <c r="V272" s="142"/>
      <c r="W272" s="142"/>
      <c r="X272" s="100"/>
      <c r="Y272" s="100"/>
      <c r="Z272" s="100"/>
      <c r="AA272" s="142"/>
      <c r="AB272" s="142"/>
      <c r="AC272" s="100"/>
      <c r="AD272" s="109"/>
      <c r="AE272" s="109"/>
      <c r="AF272" s="109"/>
      <c r="AG272" s="109"/>
      <c r="AH272" s="108"/>
      <c r="AI272" s="109"/>
      <c r="AJ272" s="100"/>
      <c r="AK272" s="100"/>
      <c r="AL272" s="75"/>
      <c r="AM272" s="100"/>
      <c r="AN272" s="75"/>
      <c r="AO272" s="100"/>
      <c r="AP272" s="107"/>
      <c r="AQ272" s="100"/>
      <c r="AR272" s="75"/>
      <c r="AS272" s="111"/>
      <c r="AT272" s="75"/>
      <c r="AU272" s="431"/>
      <c r="AV272" s="111"/>
    </row>
    <row r="273" spans="1:48" ht="21.1">
      <c r="A273" s="82" t="s">
        <v>406</v>
      </c>
      <c r="B273" s="265"/>
      <c r="C273" s="214"/>
      <c r="D273" s="133"/>
      <c r="E273" s="134"/>
      <c r="F273" s="135"/>
      <c r="G273" s="136"/>
      <c r="H273" s="683"/>
      <c r="I273" s="676"/>
      <c r="J273" s="96"/>
      <c r="K273" s="96"/>
      <c r="L273" s="104"/>
      <c r="M273" s="75"/>
      <c r="N273" s="75"/>
      <c r="O273" s="100"/>
      <c r="P273" s="100"/>
      <c r="Q273" s="98"/>
      <c r="R273" s="98"/>
      <c r="S273" s="99" t="s">
        <v>375</v>
      </c>
      <c r="T273" s="99">
        <v>6</v>
      </c>
      <c r="U273" s="102"/>
      <c r="V273" s="138"/>
      <c r="W273" s="138"/>
      <c r="X273" s="102"/>
      <c r="Y273" s="102"/>
      <c r="Z273" s="102"/>
      <c r="AA273" s="138"/>
      <c r="AB273" s="138"/>
      <c r="AC273" s="102"/>
      <c r="AD273" s="99"/>
      <c r="AE273" s="99" t="s">
        <v>375</v>
      </c>
      <c r="AF273" s="99" t="s">
        <v>375</v>
      </c>
      <c r="AG273" s="99" t="s">
        <v>375</v>
      </c>
      <c r="AH273" s="98"/>
      <c r="AI273" s="99" t="s">
        <v>375</v>
      </c>
      <c r="AJ273" s="102"/>
      <c r="AK273" s="102"/>
      <c r="AL273" s="122"/>
      <c r="AM273" s="102"/>
      <c r="AN273" s="122"/>
      <c r="AO273" s="102"/>
      <c r="AP273" s="131"/>
      <c r="AQ273" s="102"/>
      <c r="AR273" s="122"/>
      <c r="AS273" s="103"/>
      <c r="AT273" s="122"/>
      <c r="AU273" s="430"/>
      <c r="AV273" s="103"/>
    </row>
    <row r="274" spans="1:48" ht="16.3">
      <c r="A274" s="246" t="s">
        <v>1</v>
      </c>
      <c r="B274" s="266">
        <f>SUM(L274+M274+N274+O274+P274+U274+X274+Y274+Z274+AC274+AK274+AL274+AK274+AO274+AR274+AS274+AU274+AV274+AW274+AX274)</f>
        <v>0</v>
      </c>
      <c r="C274" s="215">
        <f>SUM(L274+M274+N274+O274+P274+U274+Y274+Z274+X274+AC274+AL274+AK274+AL274+AP274+AS274+AO274+AV274+AW274+AX274+AY267+AR274+AU274)</f>
        <v>0</v>
      </c>
      <c r="D274" s="133"/>
      <c r="E274" s="134"/>
      <c r="F274" s="135"/>
      <c r="G274" s="136"/>
      <c r="H274" s="683"/>
      <c r="I274" s="676"/>
      <c r="J274" s="96"/>
      <c r="K274" s="96"/>
      <c r="L274" s="104"/>
      <c r="M274" s="75"/>
      <c r="N274" s="75"/>
      <c r="O274" s="100"/>
      <c r="P274" s="100"/>
      <c r="Q274" s="108"/>
      <c r="R274" s="108"/>
      <c r="S274" s="109"/>
      <c r="T274" s="109">
        <v>1</v>
      </c>
      <c r="U274" s="100"/>
      <c r="V274" s="142"/>
      <c r="W274" s="142"/>
      <c r="X274" s="100"/>
      <c r="Y274" s="100"/>
      <c r="Z274" s="100"/>
      <c r="AA274" s="142"/>
      <c r="AB274" s="142"/>
      <c r="AC274" s="100"/>
      <c r="AD274" s="109"/>
      <c r="AE274" s="109"/>
      <c r="AF274" s="109"/>
      <c r="AG274" s="109"/>
      <c r="AH274" s="108"/>
      <c r="AI274" s="109"/>
      <c r="AJ274" s="100"/>
      <c r="AK274" s="100"/>
      <c r="AL274" s="75"/>
      <c r="AM274" s="100"/>
      <c r="AN274" s="75"/>
      <c r="AO274" s="100"/>
      <c r="AP274" s="107"/>
      <c r="AQ274" s="100"/>
      <c r="AR274" s="75"/>
      <c r="AS274" s="111"/>
      <c r="AT274" s="75"/>
      <c r="AU274" s="431"/>
      <c r="AV274" s="111"/>
    </row>
    <row r="275" spans="1:48" ht="16.3">
      <c r="A275" s="246" t="s">
        <v>2</v>
      </c>
      <c r="B275" s="266">
        <f>SUM(L275+M275+N275+O275+P275+U275+X275+Y275+Z275+AC275+AK275+AL275+AK275+AO275+AR275+AS275+AU275+AV275+AW275+AX275)</f>
        <v>0</v>
      </c>
      <c r="C275" s="215">
        <f>SUM(L275+M275+N275+O275+P275+U275+Y275+Z275+X275+AC275+AL275+AK275+AL275+AP275+AS275+AO275+AV275+AW275+AX275+AY268+AR275+AU275)</f>
        <v>0</v>
      </c>
      <c r="D275" s="133"/>
      <c r="E275" s="134"/>
      <c r="F275" s="135"/>
      <c r="G275" s="136"/>
      <c r="H275" s="683"/>
      <c r="I275" s="676"/>
      <c r="J275" s="96"/>
      <c r="K275" s="96"/>
      <c r="L275" s="104"/>
      <c r="M275" s="75"/>
      <c r="N275" s="75"/>
      <c r="O275" s="100"/>
      <c r="P275" s="100"/>
      <c r="Q275" s="108"/>
      <c r="R275" s="108"/>
      <c r="S275" s="109">
        <v>1</v>
      </c>
      <c r="T275" s="109"/>
      <c r="U275" s="100"/>
      <c r="V275" s="142"/>
      <c r="W275" s="142"/>
      <c r="X275" s="100"/>
      <c r="Y275" s="100"/>
      <c r="Z275" s="100"/>
      <c r="AA275" s="142"/>
      <c r="AB275" s="142"/>
      <c r="AC275" s="100"/>
      <c r="AD275" s="109"/>
      <c r="AE275" s="109">
        <v>1</v>
      </c>
      <c r="AF275" s="109">
        <v>1</v>
      </c>
      <c r="AG275" s="109">
        <v>1</v>
      </c>
      <c r="AH275" s="108"/>
      <c r="AI275" s="109">
        <v>1</v>
      </c>
      <c r="AJ275" s="100"/>
      <c r="AK275" s="100"/>
      <c r="AL275" s="75"/>
      <c r="AM275" s="100"/>
      <c r="AN275" s="75"/>
      <c r="AO275" s="100"/>
      <c r="AP275" s="107"/>
      <c r="AQ275" s="100"/>
      <c r="AR275" s="75"/>
      <c r="AS275" s="111"/>
      <c r="AT275" s="75"/>
      <c r="AU275" s="431"/>
      <c r="AV275" s="111"/>
    </row>
    <row r="276" spans="1:48" ht="16.3">
      <c r="A276" s="83" t="s">
        <v>363</v>
      </c>
      <c r="B276" s="265">
        <f>SUM(B274+B275)</f>
        <v>0</v>
      </c>
      <c r="C276" s="214">
        <f>SUM(C274+C275)</f>
        <v>0</v>
      </c>
      <c r="D276" s="133"/>
      <c r="E276" s="134"/>
      <c r="F276" s="135"/>
      <c r="G276" s="136"/>
      <c r="H276" s="683"/>
      <c r="I276" s="676"/>
      <c r="J276" s="96"/>
      <c r="K276" s="96"/>
      <c r="L276" s="104"/>
      <c r="M276" s="75"/>
      <c r="N276" s="75"/>
      <c r="O276" s="100"/>
      <c r="P276" s="100"/>
      <c r="Q276" s="108"/>
      <c r="R276" s="108"/>
      <c r="S276" s="109"/>
      <c r="T276" s="109"/>
      <c r="U276" s="100"/>
      <c r="V276" s="142"/>
      <c r="W276" s="142"/>
      <c r="X276" s="100"/>
      <c r="Y276" s="100"/>
      <c r="Z276" s="100"/>
      <c r="AA276" s="142"/>
      <c r="AB276" s="142"/>
      <c r="AC276" s="100"/>
      <c r="AD276" s="109"/>
      <c r="AE276" s="109"/>
      <c r="AF276" s="109"/>
      <c r="AG276" s="109"/>
      <c r="AH276" s="108"/>
      <c r="AI276" s="109"/>
      <c r="AJ276" s="100"/>
      <c r="AK276" s="100"/>
      <c r="AL276" s="75"/>
      <c r="AM276" s="100"/>
      <c r="AN276" s="75"/>
      <c r="AO276" s="100"/>
      <c r="AP276" s="107"/>
      <c r="AQ276" s="100"/>
      <c r="AR276" s="75"/>
      <c r="AS276" s="111"/>
      <c r="AT276" s="75"/>
      <c r="AU276" s="431"/>
      <c r="AV276" s="111"/>
    </row>
    <row r="277" spans="1:48" ht="16.3">
      <c r="A277" s="83" t="s">
        <v>3</v>
      </c>
      <c r="B277" s="265">
        <f>SUM(L277+M277+N277+O277+P277+U277+X277+Y277+Z277+AC277+AK277+AL277+AK277+AO277+AR277+AS277+AU277+AV277+AW277+AX277)</f>
        <v>0</v>
      </c>
      <c r="C277" s="214">
        <f>SUM(L277+M277+N277+O277+P277+U277+Y277+Z277+X277+AC277+AL277+AK277+AL277+AP277+AS277+AO277+AV277+AW277+AX277+AY270+AR277+AU277)</f>
        <v>0</v>
      </c>
      <c r="D277" s="133"/>
      <c r="E277" s="134"/>
      <c r="F277" s="135"/>
      <c r="G277" s="136"/>
      <c r="H277" s="683"/>
      <c r="I277" s="676"/>
      <c r="J277" s="96"/>
      <c r="K277" s="96"/>
      <c r="L277" s="104"/>
      <c r="M277" s="75"/>
      <c r="N277" s="75"/>
      <c r="O277" s="100"/>
      <c r="P277" s="100"/>
      <c r="Q277" s="108"/>
      <c r="R277" s="108"/>
      <c r="S277" s="109"/>
      <c r="T277" s="109"/>
      <c r="U277" s="100"/>
      <c r="V277" s="142"/>
      <c r="W277" s="142"/>
      <c r="X277" s="100"/>
      <c r="Y277" s="100"/>
      <c r="Z277" s="100"/>
      <c r="AA277" s="142"/>
      <c r="AB277" s="142"/>
      <c r="AC277" s="100"/>
      <c r="AD277" s="109"/>
      <c r="AE277" s="109"/>
      <c r="AF277" s="109"/>
      <c r="AG277" s="109"/>
      <c r="AH277" s="108"/>
      <c r="AI277" s="109"/>
      <c r="AJ277" s="100"/>
      <c r="AK277" s="100"/>
      <c r="AL277" s="75"/>
      <c r="AM277" s="100"/>
      <c r="AN277" s="75"/>
      <c r="AO277" s="100"/>
      <c r="AP277" s="107"/>
      <c r="AQ277" s="100"/>
      <c r="AR277" s="75"/>
      <c r="AS277" s="111"/>
      <c r="AT277" s="75"/>
      <c r="AU277" s="431"/>
      <c r="AV277" s="111"/>
    </row>
    <row r="278" spans="1:48" ht="17" thickBot="1">
      <c r="A278" s="85" t="s">
        <v>4</v>
      </c>
      <c r="B278" s="268">
        <f>SUM(L278+M278+N278+O278+P278+U278+X278+Y278+Z278+AC278+AK278+AL278+AK278+AO278+AR278+AS278+AU278+AV278+AW278+AX278)</f>
        <v>0</v>
      </c>
      <c r="C278" s="217">
        <f>SUM(L278+M278+N278+O278+P278+U278+Y278+Z278+X278+AC278+AL278+AK278+AL278+AP278+AS278+AO278+AV278+AW278+AX278+AY271+AR278+AU278)</f>
        <v>0</v>
      </c>
      <c r="D278" s="144"/>
      <c r="E278" s="145"/>
      <c r="F278" s="146"/>
      <c r="G278" s="147"/>
      <c r="H278" s="684"/>
      <c r="I278" s="677"/>
      <c r="J278" s="114"/>
      <c r="K278" s="114"/>
      <c r="L278" s="113"/>
      <c r="M278" s="112"/>
      <c r="N278" s="112"/>
      <c r="O278" s="116"/>
      <c r="P278" s="116"/>
      <c r="Q278" s="117"/>
      <c r="R278" s="117"/>
      <c r="S278" s="118"/>
      <c r="T278" s="118"/>
      <c r="U278" s="116"/>
      <c r="V278" s="149"/>
      <c r="W278" s="149"/>
      <c r="X278" s="116"/>
      <c r="Y278" s="116"/>
      <c r="Z278" s="116"/>
      <c r="AA278" s="149"/>
      <c r="AB278" s="149"/>
      <c r="AC278" s="116"/>
      <c r="AD278" s="118"/>
      <c r="AE278" s="118"/>
      <c r="AF278" s="118"/>
      <c r="AG278" s="118"/>
      <c r="AH278" s="117"/>
      <c r="AI278" s="118"/>
      <c r="AJ278" s="116"/>
      <c r="AK278" s="116"/>
      <c r="AL278" s="112"/>
      <c r="AM278" s="116"/>
      <c r="AN278" s="112"/>
      <c r="AO278" s="116"/>
      <c r="AP278" s="130"/>
      <c r="AQ278" s="116"/>
      <c r="AR278" s="112"/>
      <c r="AS278" s="121"/>
      <c r="AT278" s="112"/>
      <c r="AU278" s="432"/>
      <c r="AV278" s="121"/>
    </row>
    <row r="279" spans="1:48" ht="21.1">
      <c r="A279" s="86" t="s">
        <v>270</v>
      </c>
      <c r="B279" s="265"/>
      <c r="C279" s="214"/>
      <c r="D279" s="133"/>
      <c r="E279" s="134"/>
      <c r="F279" s="135"/>
      <c r="G279" s="136"/>
      <c r="H279" s="683"/>
      <c r="I279" s="676"/>
      <c r="J279" s="96" t="s">
        <v>387</v>
      </c>
      <c r="K279" s="96" t="s">
        <v>437</v>
      </c>
      <c r="L279" s="104" t="s">
        <v>372</v>
      </c>
      <c r="M279" s="75" t="s">
        <v>375</v>
      </c>
      <c r="N279" s="75" t="s">
        <v>375</v>
      </c>
      <c r="O279" s="102" t="s">
        <v>387</v>
      </c>
      <c r="P279" s="102" t="s">
        <v>387</v>
      </c>
      <c r="Q279" s="98"/>
      <c r="R279" s="98"/>
      <c r="S279" s="99">
        <v>5</v>
      </c>
      <c r="T279" s="99" t="s">
        <v>387</v>
      </c>
      <c r="U279" s="102"/>
      <c r="V279" s="138"/>
      <c r="W279" s="138" t="s">
        <v>437</v>
      </c>
      <c r="X279" s="102"/>
      <c r="Y279" s="102" t="s">
        <v>375</v>
      </c>
      <c r="Z279" s="102" t="s">
        <v>375</v>
      </c>
      <c r="AA279" s="138" t="s">
        <v>375</v>
      </c>
      <c r="AB279" s="138" t="s">
        <v>375</v>
      </c>
      <c r="AC279" s="102"/>
      <c r="AD279" s="99" t="s">
        <v>372</v>
      </c>
      <c r="AE279" s="99" t="s">
        <v>372</v>
      </c>
      <c r="AF279" s="99">
        <v>5</v>
      </c>
      <c r="AG279" s="99" t="s">
        <v>387</v>
      </c>
      <c r="AH279" s="98"/>
      <c r="AI279" s="99" t="s">
        <v>387</v>
      </c>
      <c r="AJ279" s="102"/>
      <c r="AK279" s="102"/>
      <c r="AL279" s="122"/>
      <c r="AM279" s="102"/>
      <c r="AN279" s="122"/>
      <c r="AO279" s="102"/>
      <c r="AP279" s="131"/>
      <c r="AQ279" s="102"/>
      <c r="AR279" s="122"/>
      <c r="AS279" s="103"/>
      <c r="AT279" s="122"/>
      <c r="AU279" s="430"/>
      <c r="AV279" s="103"/>
    </row>
    <row r="280" spans="1:48" ht="16.3">
      <c r="A280" s="246" t="s">
        <v>1</v>
      </c>
      <c r="B280" s="266">
        <f>SUM(L280+M280+N280+O280+P280+U280+X280+Y280+Z280+AC280+AK280+AL280+AK280+AO280+AR280+AS280+AU280+AV280+AW280+AX280)+22</f>
        <v>25</v>
      </c>
      <c r="C280" s="215">
        <f>SUM(L280+M280+N280+O280+P280+U280+Y280+Z280+X280+AC280+AL280+AK280+AL280+AP280+AS280+AO280+AV280+AW280+AX280+AY273+AR280+AU280)+22</f>
        <v>25</v>
      </c>
      <c r="D280" s="133"/>
      <c r="E280" s="134"/>
      <c r="F280" s="135"/>
      <c r="G280" s="136"/>
      <c r="H280" s="683"/>
      <c r="I280" s="676"/>
      <c r="J280" s="96">
        <v>1</v>
      </c>
      <c r="K280" s="96">
        <v>1</v>
      </c>
      <c r="L280" s="104">
        <v>1</v>
      </c>
      <c r="M280" s="75"/>
      <c r="N280" s="75"/>
      <c r="O280" s="100">
        <v>1</v>
      </c>
      <c r="P280" s="100">
        <v>1</v>
      </c>
      <c r="Q280" s="108"/>
      <c r="R280" s="108"/>
      <c r="S280" s="109">
        <v>1</v>
      </c>
      <c r="T280" s="109">
        <v>1</v>
      </c>
      <c r="U280" s="100"/>
      <c r="V280" s="142"/>
      <c r="W280" s="142">
        <v>1</v>
      </c>
      <c r="X280" s="100"/>
      <c r="Y280" s="100"/>
      <c r="Z280" s="100"/>
      <c r="AA280" s="142"/>
      <c r="AB280" s="142"/>
      <c r="AC280" s="100"/>
      <c r="AD280" s="109">
        <v>1</v>
      </c>
      <c r="AE280" s="109">
        <v>1</v>
      </c>
      <c r="AF280" s="109">
        <v>1</v>
      </c>
      <c r="AG280" s="109">
        <v>1</v>
      </c>
      <c r="AH280" s="108"/>
      <c r="AI280" s="109">
        <v>1</v>
      </c>
      <c r="AJ280" s="100"/>
      <c r="AK280" s="100"/>
      <c r="AL280" s="75"/>
      <c r="AM280" s="100"/>
      <c r="AN280" s="75"/>
      <c r="AO280" s="100"/>
      <c r="AP280" s="107"/>
      <c r="AQ280" s="100"/>
      <c r="AR280" s="75"/>
      <c r="AS280" s="111"/>
      <c r="AT280" s="75"/>
      <c r="AU280" s="431"/>
      <c r="AV280" s="111"/>
    </row>
    <row r="281" spans="1:48" ht="16.3">
      <c r="A281" s="246" t="s">
        <v>2</v>
      </c>
      <c r="B281" s="266">
        <f>SUM(L281+M281+N281+O281+P281+U281+X281+Y281+Z281+AC281+AK281+AL281+AK281+AO281+AR281+AS281+AU281+AV281+AW281+AX281)+14</f>
        <v>18</v>
      </c>
      <c r="C281" s="215">
        <f>SUM(L281+M281+N281+O281+P281+U281+Y281+Z281+X281+AC281+AL281+AK281+AL281+AP281+AS281+AO281+AV281+AW281+AX281+AY274+AR281+AU281)+14</f>
        <v>18</v>
      </c>
      <c r="D281" s="133"/>
      <c r="E281" s="134"/>
      <c r="F281" s="135"/>
      <c r="G281" s="136"/>
      <c r="H281" s="683"/>
      <c r="I281" s="676"/>
      <c r="J281" s="96"/>
      <c r="K281" s="96"/>
      <c r="L281" s="104"/>
      <c r="M281" s="75">
        <v>1</v>
      </c>
      <c r="N281" s="75">
        <v>1</v>
      </c>
      <c r="O281" s="100"/>
      <c r="P281" s="100"/>
      <c r="Q281" s="108"/>
      <c r="R281" s="105"/>
      <c r="S281" s="96"/>
      <c r="T281" s="96"/>
      <c r="U281" s="75"/>
      <c r="V281" s="141"/>
      <c r="W281" s="141"/>
      <c r="X281" s="75"/>
      <c r="Y281" s="75">
        <v>1</v>
      </c>
      <c r="Z281" s="75">
        <v>1</v>
      </c>
      <c r="AA281" s="141">
        <v>1</v>
      </c>
      <c r="AB281" s="141">
        <v>1</v>
      </c>
      <c r="AC281" s="75"/>
      <c r="AD281" s="96"/>
      <c r="AE281" s="96"/>
      <c r="AF281" s="96"/>
      <c r="AG281" s="96"/>
      <c r="AH281" s="105"/>
      <c r="AI281" s="96"/>
      <c r="AJ281" s="75"/>
      <c r="AK281" s="75"/>
      <c r="AL281" s="75"/>
      <c r="AM281" s="75"/>
      <c r="AN281" s="75"/>
      <c r="AO281" s="75"/>
      <c r="AP281" s="107"/>
      <c r="AQ281" s="75"/>
      <c r="AR281" s="75"/>
      <c r="AS281" s="107"/>
      <c r="AT281" s="75"/>
      <c r="AU281" s="431"/>
      <c r="AV281" s="107"/>
    </row>
    <row r="282" spans="1:48" ht="16.3">
      <c r="A282" s="83" t="s">
        <v>363</v>
      </c>
      <c r="B282" s="265">
        <f>SUM(B280+B281)</f>
        <v>43</v>
      </c>
      <c r="C282" s="214">
        <f>SUM(C280+C281)</f>
        <v>43</v>
      </c>
      <c r="D282" s="133"/>
      <c r="E282" s="134"/>
      <c r="F282" s="135"/>
      <c r="G282" s="136"/>
      <c r="H282" s="683"/>
      <c r="I282" s="676"/>
      <c r="J282" s="96"/>
      <c r="K282" s="96"/>
      <c r="L282" s="104"/>
      <c r="M282" s="75"/>
      <c r="N282" s="75"/>
      <c r="O282" s="100"/>
      <c r="P282" s="100"/>
      <c r="Q282" s="108"/>
      <c r="R282" s="108"/>
      <c r="S282" s="109"/>
      <c r="T282" s="109"/>
      <c r="U282" s="100"/>
      <c r="V282" s="142"/>
      <c r="W282" s="142"/>
      <c r="X282" s="100"/>
      <c r="Y282" s="100"/>
      <c r="Z282" s="100"/>
      <c r="AA282" s="142"/>
      <c r="AB282" s="142"/>
      <c r="AC282" s="100"/>
      <c r="AD282" s="109"/>
      <c r="AE282" s="109"/>
      <c r="AF282" s="109"/>
      <c r="AG282" s="109"/>
      <c r="AH282" s="108"/>
      <c r="AI282" s="109"/>
      <c r="AJ282" s="100"/>
      <c r="AK282" s="100"/>
      <c r="AL282" s="75"/>
      <c r="AM282" s="100"/>
      <c r="AN282" s="75"/>
      <c r="AO282" s="100"/>
      <c r="AP282" s="107"/>
      <c r="AQ282" s="100"/>
      <c r="AR282" s="75"/>
      <c r="AS282" s="111"/>
      <c r="AT282" s="75"/>
      <c r="AU282" s="431"/>
      <c r="AV282" s="111"/>
    </row>
    <row r="283" spans="1:48" ht="16.3">
      <c r="A283" s="246" t="s">
        <v>362</v>
      </c>
      <c r="B283" s="266">
        <f>SUM(L283+M283+N283+O283+P283+U283+X283+Y283+Z283+AC283+AK283+AL283+AK283+AO283+AR283+AS283+AU283+AV283+AW283+AX283)+1</f>
        <v>1</v>
      </c>
      <c r="C283" s="215">
        <f>SUM(L283+M283+N283+O283+P283+U283+Y283+Z283+X283+AC283+AL283+AK283+AL283+AP283+AS283+AO283+AV283+AW283+AX283+AY276+AR283+AU283)+1</f>
        <v>1</v>
      </c>
      <c r="D283" s="133"/>
      <c r="E283" s="134"/>
      <c r="F283" s="135"/>
      <c r="G283" s="136"/>
      <c r="H283" s="683"/>
      <c r="I283" s="676"/>
      <c r="J283" s="96"/>
      <c r="K283" s="96">
        <v>1</v>
      </c>
      <c r="L283" s="104"/>
      <c r="M283" s="75"/>
      <c r="N283" s="75"/>
      <c r="O283" s="100"/>
      <c r="P283" s="100"/>
      <c r="Q283" s="108"/>
      <c r="R283" s="108"/>
      <c r="S283" s="109"/>
      <c r="T283" s="109"/>
      <c r="U283" s="100"/>
      <c r="V283" s="142"/>
      <c r="W283" s="142">
        <v>1</v>
      </c>
      <c r="X283" s="100"/>
      <c r="Y283" s="100"/>
      <c r="Z283" s="100"/>
      <c r="AA283" s="142"/>
      <c r="AB283" s="142"/>
      <c r="AC283" s="100"/>
      <c r="AD283" s="109"/>
      <c r="AE283" s="109"/>
      <c r="AF283" s="109"/>
      <c r="AG283" s="109"/>
      <c r="AH283" s="108"/>
      <c r="AI283" s="109"/>
      <c r="AJ283" s="100"/>
      <c r="AK283" s="100"/>
      <c r="AL283" s="75"/>
      <c r="AM283" s="100"/>
      <c r="AN283" s="75"/>
      <c r="AO283" s="100"/>
      <c r="AP283" s="107"/>
      <c r="AQ283" s="100"/>
      <c r="AR283" s="75"/>
      <c r="AS283" s="111"/>
      <c r="AT283" s="75"/>
      <c r="AU283" s="431"/>
      <c r="AV283" s="111"/>
    </row>
    <row r="284" spans="1:48" ht="16.3">
      <c r="A284" s="83" t="s">
        <v>3</v>
      </c>
      <c r="B284" s="265">
        <f>SUM(L284+M284+N284+O284+P284+U284+X284+Y284+Z284+AC284+AK284+AL284+AK284+AO284+AR284+AS284+AU284+AV284+AW284+AX284)+10</f>
        <v>10</v>
      </c>
      <c r="C284" s="214">
        <f>SUM(L284+M284+N284+O284+P284+U284+Y284+Z284+X284+AC284+AL284+AK284+AL284+AP284+AS284+AO284+AV284+AW284+AX284+AY277+AR284+AU284)+10</f>
        <v>10</v>
      </c>
      <c r="D284" s="133"/>
      <c r="E284" s="134"/>
      <c r="F284" s="135"/>
      <c r="G284" s="136"/>
      <c r="H284" s="683"/>
      <c r="I284" s="676"/>
      <c r="J284" s="96">
        <v>1</v>
      </c>
      <c r="K284" s="96"/>
      <c r="L284" s="104"/>
      <c r="M284" s="75"/>
      <c r="N284" s="75"/>
      <c r="O284" s="100"/>
      <c r="P284" s="100"/>
      <c r="Q284" s="108"/>
      <c r="R284" s="108"/>
      <c r="S284" s="109"/>
      <c r="T284" s="109"/>
      <c r="U284" s="100"/>
      <c r="V284" s="142"/>
      <c r="W284" s="142">
        <v>1</v>
      </c>
      <c r="X284" s="100"/>
      <c r="Y284" s="100"/>
      <c r="Z284" s="100"/>
      <c r="AA284" s="142"/>
      <c r="AB284" s="142"/>
      <c r="AC284" s="100"/>
      <c r="AD284" s="109">
        <v>2</v>
      </c>
      <c r="AE284" s="109"/>
      <c r="AF284" s="109"/>
      <c r="AG284" s="109"/>
      <c r="AH284" s="108"/>
      <c r="AI284" s="109"/>
      <c r="AJ284" s="100"/>
      <c r="AK284" s="100"/>
      <c r="AL284" s="75"/>
      <c r="AM284" s="100"/>
      <c r="AN284" s="75"/>
      <c r="AO284" s="100"/>
      <c r="AP284" s="107"/>
      <c r="AQ284" s="100"/>
      <c r="AR284" s="75"/>
      <c r="AS284" s="111"/>
      <c r="AT284" s="75"/>
      <c r="AU284" s="431"/>
      <c r="AV284" s="111"/>
    </row>
    <row r="285" spans="1:48" ht="17" thickBot="1">
      <c r="A285" s="85" t="s">
        <v>4</v>
      </c>
      <c r="B285" s="268">
        <f>SUM(L285+M285+N285+O285+P285+U285+X285+Y285+Z285+AC285+AK285+AL285+AK285+AO285+AR285+AS285+AU285+AV285+AW285+AX285)+50</f>
        <v>50</v>
      </c>
      <c r="C285" s="217">
        <f>SUM(L285+M285+N285+O285+P285+U285+Y285+Z285+X285+AC285+AL285+AK285+AL285+AP285+AS285+AO285+AV285+AW285+AX285+AY278+AR285+AU285)+50</f>
        <v>50</v>
      </c>
      <c r="D285" s="144"/>
      <c r="E285" s="145"/>
      <c r="F285" s="146"/>
      <c r="G285" s="147"/>
      <c r="H285" s="684"/>
      <c r="I285" s="677"/>
      <c r="J285" s="114">
        <v>5</v>
      </c>
      <c r="K285" s="114"/>
      <c r="L285" s="113"/>
      <c r="M285" s="112"/>
      <c r="N285" s="112"/>
      <c r="O285" s="116"/>
      <c r="P285" s="116"/>
      <c r="Q285" s="117"/>
      <c r="R285" s="108"/>
      <c r="S285" s="109"/>
      <c r="T285" s="109"/>
      <c r="U285" s="112"/>
      <c r="V285" s="142"/>
      <c r="W285" s="142">
        <v>5</v>
      </c>
      <c r="X285" s="112"/>
      <c r="Y285" s="112"/>
      <c r="Z285" s="112"/>
      <c r="AA285" s="142"/>
      <c r="AB285" s="142"/>
      <c r="AC285" s="112"/>
      <c r="AD285" s="109">
        <v>10</v>
      </c>
      <c r="AE285" s="109"/>
      <c r="AF285" s="109"/>
      <c r="AG285" s="109"/>
      <c r="AH285" s="108"/>
      <c r="AI285" s="109"/>
      <c r="AJ285" s="100"/>
      <c r="AK285" s="100"/>
      <c r="AL285" s="112"/>
      <c r="AM285" s="100"/>
      <c r="AN285" s="112"/>
      <c r="AO285" s="112"/>
      <c r="AP285" s="130"/>
      <c r="AQ285" s="112"/>
      <c r="AR285" s="112"/>
      <c r="AS285" s="111"/>
      <c r="AT285" s="112"/>
      <c r="AU285" s="432"/>
      <c r="AV285" s="111"/>
    </row>
    <row r="286" spans="1:48" ht="21.1">
      <c r="A286" s="82" t="s">
        <v>120</v>
      </c>
      <c r="B286" s="265"/>
      <c r="C286" s="214"/>
      <c r="D286" s="133"/>
      <c r="E286" s="134"/>
      <c r="F286" s="135"/>
      <c r="G286" s="136"/>
      <c r="H286" s="683"/>
      <c r="I286" s="676"/>
      <c r="J286" s="96" t="s">
        <v>339</v>
      </c>
      <c r="K286" s="96" t="s">
        <v>339</v>
      </c>
      <c r="L286" s="75" t="s">
        <v>375</v>
      </c>
      <c r="M286" s="75" t="s">
        <v>681</v>
      </c>
      <c r="N286" s="75" t="s">
        <v>736</v>
      </c>
      <c r="O286" s="75" t="s">
        <v>681</v>
      </c>
      <c r="P286" s="75" t="s">
        <v>681</v>
      </c>
      <c r="Q286" s="98"/>
      <c r="R286" s="98"/>
      <c r="S286" s="99" t="s">
        <v>803</v>
      </c>
      <c r="T286" s="99" t="s">
        <v>803</v>
      </c>
      <c r="U286" s="75" t="s">
        <v>895</v>
      </c>
      <c r="V286" s="138" t="s">
        <v>681</v>
      </c>
      <c r="W286" s="138"/>
      <c r="X286" s="75" t="s">
        <v>681</v>
      </c>
      <c r="Y286" s="75" t="s">
        <v>681</v>
      </c>
      <c r="Z286" s="75" t="s">
        <v>681</v>
      </c>
      <c r="AA286" s="138" t="s">
        <v>946</v>
      </c>
      <c r="AB286" s="138" t="s">
        <v>946</v>
      </c>
      <c r="AC286" s="75" t="s">
        <v>681</v>
      </c>
      <c r="AD286" s="99"/>
      <c r="AE286" s="99" t="s">
        <v>803</v>
      </c>
      <c r="AF286" s="99" t="s">
        <v>803</v>
      </c>
      <c r="AG286" s="99" t="s">
        <v>803</v>
      </c>
      <c r="AH286" s="98"/>
      <c r="AI286" s="99" t="s">
        <v>803</v>
      </c>
      <c r="AJ286" s="102"/>
      <c r="AK286" s="102"/>
      <c r="AL286" s="75"/>
      <c r="AM286" s="102"/>
      <c r="AN286" s="75"/>
      <c r="AO286" s="75"/>
      <c r="AP286" s="103"/>
      <c r="AQ286" s="75"/>
      <c r="AR286" s="75"/>
      <c r="AS286" s="103"/>
      <c r="AT286" s="102"/>
      <c r="AU286" s="431"/>
      <c r="AV286" s="103"/>
    </row>
    <row r="287" spans="1:48" ht="16.3">
      <c r="A287" s="246" t="s">
        <v>1</v>
      </c>
      <c r="B287" s="266">
        <f>SUM(L287+M287+N287+O287+P287+U287+X287+Y287+Z287+AC287+AK287+AL287+AK287+AO287+AR287+AS287+AU287+AV287+AW287+AX287)+37</f>
        <v>46</v>
      </c>
      <c r="C287" s="215">
        <f>SUM(L287+M287+N287+O287+P287+U287+Y287+Z287+X287+AC287+AL287+AK287+AL287+AP287+AS287+AO287+AV287+AW287+AX287+AY280+AR287+AU287)+37</f>
        <v>46</v>
      </c>
      <c r="D287" s="133"/>
      <c r="E287" s="134"/>
      <c r="F287" s="135"/>
      <c r="G287" s="136"/>
      <c r="H287" s="683"/>
      <c r="I287" s="676"/>
      <c r="J287" s="96"/>
      <c r="K287" s="96"/>
      <c r="L287" s="104"/>
      <c r="M287" s="75">
        <v>1</v>
      </c>
      <c r="N287" s="75">
        <v>1</v>
      </c>
      <c r="O287" s="75">
        <v>1</v>
      </c>
      <c r="P287" s="75">
        <v>1</v>
      </c>
      <c r="Q287" s="108"/>
      <c r="R287" s="108"/>
      <c r="S287" s="109"/>
      <c r="T287" s="109"/>
      <c r="U287" s="75">
        <v>1</v>
      </c>
      <c r="V287" s="142">
        <v>1</v>
      </c>
      <c r="W287" s="142"/>
      <c r="X287" s="75">
        <v>1</v>
      </c>
      <c r="Y287" s="75">
        <v>1</v>
      </c>
      <c r="Z287" s="75">
        <v>1</v>
      </c>
      <c r="AA287" s="142">
        <v>1</v>
      </c>
      <c r="AB287" s="142">
        <v>1</v>
      </c>
      <c r="AC287" s="75">
        <v>1</v>
      </c>
      <c r="AD287" s="109"/>
      <c r="AE287" s="109"/>
      <c r="AF287" s="109"/>
      <c r="AG287" s="109"/>
      <c r="AH287" s="108"/>
      <c r="AI287" s="109"/>
      <c r="AJ287" s="100"/>
      <c r="AK287" s="100"/>
      <c r="AL287" s="75"/>
      <c r="AM287" s="100"/>
      <c r="AN287" s="75"/>
      <c r="AO287" s="75"/>
      <c r="AP287" s="111"/>
      <c r="AQ287" s="75"/>
      <c r="AR287" s="75"/>
      <c r="AS287" s="111"/>
      <c r="AT287" s="100"/>
      <c r="AU287" s="431"/>
      <c r="AV287" s="111"/>
    </row>
    <row r="288" spans="1:48" ht="16.3">
      <c r="A288" s="246" t="s">
        <v>2</v>
      </c>
      <c r="B288" s="266">
        <f>SUM(L288+M288+N288+O288+P288+U288+X288+Y288+Z288+AC288+AK288+AL288+AK288+AO288+AR288+AS288+AU288+AV288+AW288+AX288)+6</f>
        <v>7</v>
      </c>
      <c r="C288" s="215">
        <f>SUM(L288+M288+N288+O288+P288+U288+Y288+Z288+X288+AC288+AL288+AK288+AL288+AP288+AS288+AO288+AV288+AW288+AX288+AY281+AR288+AU288)+6</f>
        <v>7</v>
      </c>
      <c r="D288" s="133"/>
      <c r="E288" s="134"/>
      <c r="F288" s="135"/>
      <c r="G288" s="136"/>
      <c r="H288" s="683"/>
      <c r="I288" s="676"/>
      <c r="J288" s="96"/>
      <c r="K288" s="96"/>
      <c r="L288" s="104">
        <v>1</v>
      </c>
      <c r="M288" s="75"/>
      <c r="N288" s="75"/>
      <c r="O288" s="75"/>
      <c r="P288" s="100"/>
      <c r="Q288" s="108"/>
      <c r="R288" s="108"/>
      <c r="S288" s="109"/>
      <c r="T288" s="109"/>
      <c r="U288" s="100"/>
      <c r="V288" s="142"/>
      <c r="W288" s="142"/>
      <c r="X288" s="100"/>
      <c r="Y288" s="100"/>
      <c r="Z288" s="100"/>
      <c r="AA288" s="142"/>
      <c r="AB288" s="142"/>
      <c r="AC288" s="100"/>
      <c r="AD288" s="109"/>
      <c r="AE288" s="109"/>
      <c r="AF288" s="109"/>
      <c r="AG288" s="109"/>
      <c r="AH288" s="108"/>
      <c r="AI288" s="109"/>
      <c r="AJ288" s="100"/>
      <c r="AK288" s="100"/>
      <c r="AL288" s="75"/>
      <c r="AM288" s="100"/>
      <c r="AN288" s="75"/>
      <c r="AO288" s="100"/>
      <c r="AP288" s="107"/>
      <c r="AQ288" s="100"/>
      <c r="AR288" s="100"/>
      <c r="AS288" s="111"/>
      <c r="AT288" s="75"/>
      <c r="AU288" s="431"/>
      <c r="AV288" s="111"/>
    </row>
    <row r="289" spans="1:48" ht="16.3">
      <c r="A289" s="83" t="s">
        <v>363</v>
      </c>
      <c r="B289" s="265">
        <f>SUM(B287+B288)</f>
        <v>53</v>
      </c>
      <c r="C289" s="214">
        <f>SUM(C287+C288)</f>
        <v>53</v>
      </c>
      <c r="D289" s="133"/>
      <c r="E289" s="134"/>
      <c r="F289" s="135"/>
      <c r="G289" s="136"/>
      <c r="H289" s="683"/>
      <c r="I289" s="676"/>
      <c r="J289" s="96"/>
      <c r="K289" s="96"/>
      <c r="L289" s="104"/>
      <c r="M289" s="75"/>
      <c r="N289" s="75"/>
      <c r="O289" s="75"/>
      <c r="P289" s="100"/>
      <c r="Q289" s="108"/>
      <c r="R289" s="108"/>
      <c r="S289" s="109"/>
      <c r="T289" s="109"/>
      <c r="U289" s="100"/>
      <c r="V289" s="142"/>
      <c r="W289" s="142"/>
      <c r="X289" s="100"/>
      <c r="Y289" s="100"/>
      <c r="Z289" s="100"/>
      <c r="AA289" s="142"/>
      <c r="AB289" s="142"/>
      <c r="AC289" s="100"/>
      <c r="AD289" s="109"/>
      <c r="AE289" s="109"/>
      <c r="AF289" s="109"/>
      <c r="AG289" s="109"/>
      <c r="AH289" s="108"/>
      <c r="AI289" s="109"/>
      <c r="AJ289" s="100"/>
      <c r="AK289" s="100"/>
      <c r="AL289" s="75"/>
      <c r="AM289" s="100"/>
      <c r="AN289" s="75"/>
      <c r="AO289" s="100"/>
      <c r="AP289" s="107"/>
      <c r="AQ289" s="100"/>
      <c r="AR289" s="100"/>
      <c r="AS289" s="111"/>
      <c r="AT289" s="75"/>
      <c r="AU289" s="431"/>
      <c r="AV289" s="111"/>
    </row>
    <row r="290" spans="1:48" ht="16.3">
      <c r="A290" s="246" t="s">
        <v>362</v>
      </c>
      <c r="B290" s="266">
        <f>SUM(L290+M290+N290+O290+P290+U290+X290+Y290+Z290+AC290+AK290+AL290+AK290+AO290+AR290+AS290+AU290+AV290+AW290+AX290)+4</f>
        <v>4</v>
      </c>
      <c r="C290" s="215">
        <f>SUM(L290+M290+N290+O290+P290+U290+Y290+Z290+X290+AC290+AL290+AK290+AL290+AP290+AS290+AO290+AV290+AW290+AX290+AY283+AR290+AU290)+4</f>
        <v>4</v>
      </c>
      <c r="D290" s="133"/>
      <c r="E290" s="134"/>
      <c r="F290" s="135"/>
      <c r="G290" s="136"/>
      <c r="H290" s="683"/>
      <c r="I290" s="676"/>
      <c r="J290" s="96"/>
      <c r="K290" s="96"/>
      <c r="L290" s="104"/>
      <c r="M290" s="75"/>
      <c r="N290" s="75"/>
      <c r="O290" s="75"/>
      <c r="P290" s="100"/>
      <c r="Q290" s="108"/>
      <c r="R290" s="108"/>
      <c r="S290" s="109"/>
      <c r="T290" s="109"/>
      <c r="U290" s="100"/>
      <c r="V290" s="142"/>
      <c r="W290" s="142"/>
      <c r="X290" s="100"/>
      <c r="Y290" s="100"/>
      <c r="Z290" s="100"/>
      <c r="AA290" s="142"/>
      <c r="AB290" s="142"/>
      <c r="AC290" s="100"/>
      <c r="AD290" s="109"/>
      <c r="AE290" s="109"/>
      <c r="AF290" s="109"/>
      <c r="AG290" s="109"/>
      <c r="AH290" s="108"/>
      <c r="AI290" s="109"/>
      <c r="AJ290" s="100"/>
      <c r="AK290" s="100"/>
      <c r="AL290" s="75"/>
      <c r="AM290" s="100"/>
      <c r="AN290" s="75"/>
      <c r="AO290" s="100"/>
      <c r="AP290" s="107"/>
      <c r="AQ290" s="100"/>
      <c r="AR290" s="100"/>
      <c r="AS290" s="111"/>
      <c r="AT290" s="75"/>
      <c r="AU290" s="431"/>
      <c r="AV290" s="111"/>
    </row>
    <row r="291" spans="1:48" ht="16.3">
      <c r="A291" s="246" t="s">
        <v>364</v>
      </c>
      <c r="B291" s="266">
        <f t="shared" ref="B291" si="6">SUM(L291+M291+N291+O291+P291+U291+X291+Y291+Z291+AC291+AK291+AL291+AK291+AO291+AR291+AS291+AU291+AV291+AW291+AX291)+1</f>
        <v>1</v>
      </c>
      <c r="C291" s="215">
        <f>SUM(L291+M291+N291+O291+P291+U291+Y291+Z291+X291+AC291+AL291+AK291+AL291+AP291+AS291+AO291+AV291+AW291+AX291+AY284+AR291+AU291)+1</f>
        <v>1</v>
      </c>
      <c r="D291" s="133"/>
      <c r="E291" s="134"/>
      <c r="F291" s="135"/>
      <c r="G291" s="136"/>
      <c r="H291" s="683"/>
      <c r="I291" s="676"/>
      <c r="J291" s="96"/>
      <c r="K291" s="96"/>
      <c r="L291" s="104"/>
      <c r="M291" s="75"/>
      <c r="N291" s="75"/>
      <c r="O291" s="75"/>
      <c r="P291" s="100"/>
      <c r="Q291" s="108"/>
      <c r="R291" s="108"/>
      <c r="S291" s="109"/>
      <c r="T291" s="109"/>
      <c r="U291" s="100"/>
      <c r="V291" s="142"/>
      <c r="W291" s="142"/>
      <c r="X291" s="100"/>
      <c r="Y291" s="100"/>
      <c r="Z291" s="100"/>
      <c r="AA291" s="142"/>
      <c r="AB291" s="142"/>
      <c r="AC291" s="100"/>
      <c r="AD291" s="109"/>
      <c r="AE291" s="109"/>
      <c r="AF291" s="109"/>
      <c r="AG291" s="109"/>
      <c r="AH291" s="108"/>
      <c r="AI291" s="109"/>
      <c r="AJ291" s="100"/>
      <c r="AK291" s="100"/>
      <c r="AL291" s="75"/>
      <c r="AM291" s="100"/>
      <c r="AN291" s="75"/>
      <c r="AO291" s="100"/>
      <c r="AP291" s="107"/>
      <c r="AQ291" s="100"/>
      <c r="AR291" s="100"/>
      <c r="AS291" s="111"/>
      <c r="AT291" s="75"/>
      <c r="AU291" s="431"/>
      <c r="AV291" s="111"/>
    </row>
    <row r="292" spans="1:48" ht="16.3">
      <c r="A292" s="246" t="s">
        <v>366</v>
      </c>
      <c r="B292" s="266">
        <f>SUM(L292+M292+N292+O292+P292+U292+X292+Y292+Z292+AC292+AK292+AL292+AK292+AO292+AR292+AS292+AU292+AV292+AW292+AX292)+25</f>
        <v>34</v>
      </c>
      <c r="C292" s="215">
        <f>SUM(L292+M292+N292+O292+P292+U292+Y292+Z292+X292+AC292+AL292+AK292+AL292+AP292+AS292+AO292+AV292+AW292+AX292+AY285+AR292+AU292)+25</f>
        <v>34</v>
      </c>
      <c r="D292" s="133"/>
      <c r="E292" s="134"/>
      <c r="F292" s="135"/>
      <c r="G292" s="136"/>
      <c r="H292" s="683"/>
      <c r="I292" s="676"/>
      <c r="J292" s="96"/>
      <c r="K292" s="96"/>
      <c r="L292" s="104"/>
      <c r="M292" s="75">
        <v>1</v>
      </c>
      <c r="N292" s="75">
        <v>1</v>
      </c>
      <c r="O292" s="75">
        <v>1</v>
      </c>
      <c r="P292" s="100">
        <v>1</v>
      </c>
      <c r="Q292" s="108"/>
      <c r="R292" s="108"/>
      <c r="S292" s="109"/>
      <c r="T292" s="109"/>
      <c r="U292" s="100">
        <v>1</v>
      </c>
      <c r="V292" s="142">
        <v>1</v>
      </c>
      <c r="W292" s="142"/>
      <c r="X292" s="100">
        <v>1</v>
      </c>
      <c r="Y292" s="100">
        <v>1</v>
      </c>
      <c r="Z292" s="100">
        <v>1</v>
      </c>
      <c r="AA292" s="142">
        <v>1</v>
      </c>
      <c r="AB292" s="142">
        <v>1</v>
      </c>
      <c r="AC292" s="100">
        <v>1</v>
      </c>
      <c r="AD292" s="109"/>
      <c r="AE292" s="109"/>
      <c r="AF292" s="109"/>
      <c r="AG292" s="109"/>
      <c r="AH292" s="108"/>
      <c r="AI292" s="109"/>
      <c r="AJ292" s="100"/>
      <c r="AK292" s="100"/>
      <c r="AL292" s="75"/>
      <c r="AM292" s="100"/>
      <c r="AN292" s="75"/>
      <c r="AO292" s="100"/>
      <c r="AP292" s="107"/>
      <c r="AQ292" s="100"/>
      <c r="AR292" s="100"/>
      <c r="AS292" s="111"/>
      <c r="AT292" s="75"/>
      <c r="AU292" s="431"/>
      <c r="AV292" s="111"/>
    </row>
    <row r="293" spans="1:48" ht="16.3">
      <c r="A293" s="83" t="s">
        <v>3</v>
      </c>
      <c r="B293" s="265">
        <f>SUM(L293+M293+N293+O293+P293+U293+X293+Y293+Z293+AC293+AK293+AL293+AK293+AO293+AR293+AS293+AU293+AV293+AW293+AX293)+3</f>
        <v>3</v>
      </c>
      <c r="C293" s="214">
        <f>SUM(L293+M293+N293+O293+P293+U293+Y293+Z293+X293+AC293+AL293+AK293+AL293+AP293+AS293+AO293+AV293+AW293+AX293+AY286+AR293+AU293)+3</f>
        <v>3</v>
      </c>
      <c r="D293" s="133"/>
      <c r="E293" s="134"/>
      <c r="F293" s="135"/>
      <c r="G293" s="136"/>
      <c r="H293" s="683"/>
      <c r="I293" s="676"/>
      <c r="J293" s="96"/>
      <c r="K293" s="96"/>
      <c r="L293" s="104"/>
      <c r="M293" s="75"/>
      <c r="N293" s="75"/>
      <c r="O293" s="100"/>
      <c r="P293" s="100"/>
      <c r="Q293" s="108"/>
      <c r="R293" s="108"/>
      <c r="S293" s="109"/>
      <c r="T293" s="109"/>
      <c r="U293" s="100"/>
      <c r="V293" s="142"/>
      <c r="W293" s="142"/>
      <c r="X293" s="100"/>
      <c r="Y293" s="100"/>
      <c r="Z293" s="100"/>
      <c r="AA293" s="142"/>
      <c r="AB293" s="142"/>
      <c r="AC293" s="100"/>
      <c r="AD293" s="109"/>
      <c r="AE293" s="109"/>
      <c r="AF293" s="109"/>
      <c r="AG293" s="109"/>
      <c r="AH293" s="108"/>
      <c r="AI293" s="109"/>
      <c r="AJ293" s="100"/>
      <c r="AK293" s="100"/>
      <c r="AL293" s="75"/>
      <c r="AM293" s="100"/>
      <c r="AN293" s="75"/>
      <c r="AO293" s="100"/>
      <c r="AP293" s="107"/>
      <c r="AQ293" s="100"/>
      <c r="AR293" s="75"/>
      <c r="AS293" s="111"/>
      <c r="AT293" s="75"/>
      <c r="AU293" s="431"/>
      <c r="AV293" s="111"/>
    </row>
    <row r="294" spans="1:48" ht="17" thickBot="1">
      <c r="A294" s="85" t="s">
        <v>4</v>
      </c>
      <c r="B294" s="268">
        <f>SUM(L294+M294+N294+O294+P294+U294+X294+Y294+Z294+AC294+AK294+AL294+AK294+AO294+AR294+AS294+AU294+AV294+AW294+AX294)+15</f>
        <v>15</v>
      </c>
      <c r="C294" s="217">
        <f>SUM(L294+M294+N294+O294+P294+U294+Y294+Z294+X294+AC294+AL294+AK294+AL294+AP294+AS294+AO294+AV294+AW294+AX294+AY287+AR294+AU294)+15</f>
        <v>15</v>
      </c>
      <c r="D294" s="144"/>
      <c r="E294" s="145"/>
      <c r="F294" s="146"/>
      <c r="G294" s="147"/>
      <c r="H294" s="684"/>
      <c r="I294" s="677"/>
      <c r="J294" s="114"/>
      <c r="K294" s="114"/>
      <c r="L294" s="113"/>
      <c r="M294" s="112"/>
      <c r="N294" s="112"/>
      <c r="O294" s="116"/>
      <c r="P294" s="116"/>
      <c r="Q294" s="117"/>
      <c r="R294" s="117"/>
      <c r="S294" s="118"/>
      <c r="T294" s="118"/>
      <c r="U294" s="116"/>
      <c r="V294" s="149"/>
      <c r="W294" s="149"/>
      <c r="X294" s="116"/>
      <c r="Y294" s="116"/>
      <c r="Z294" s="116"/>
      <c r="AA294" s="149"/>
      <c r="AB294" s="149"/>
      <c r="AC294" s="116"/>
      <c r="AD294" s="118"/>
      <c r="AE294" s="118"/>
      <c r="AF294" s="118"/>
      <c r="AG294" s="118"/>
      <c r="AH294" s="117"/>
      <c r="AI294" s="118"/>
      <c r="AJ294" s="116"/>
      <c r="AK294" s="116"/>
      <c r="AL294" s="112"/>
      <c r="AM294" s="116"/>
      <c r="AN294" s="112"/>
      <c r="AO294" s="116"/>
      <c r="AP294" s="130"/>
      <c r="AQ294" s="116"/>
      <c r="AR294" s="112"/>
      <c r="AS294" s="121"/>
      <c r="AT294" s="112"/>
      <c r="AU294" s="432"/>
      <c r="AV294" s="121"/>
    </row>
    <row r="295" spans="1:48" ht="21.1">
      <c r="A295" s="82" t="s">
        <v>580</v>
      </c>
      <c r="B295" s="265"/>
      <c r="C295" s="214"/>
      <c r="D295" s="133"/>
      <c r="E295" s="134"/>
      <c r="F295" s="135"/>
      <c r="G295" s="136"/>
      <c r="H295" s="683"/>
      <c r="I295" s="676"/>
      <c r="J295" s="96" t="s">
        <v>432</v>
      </c>
      <c r="K295" s="96" t="s">
        <v>375</v>
      </c>
      <c r="L295" s="104" t="s">
        <v>375</v>
      </c>
      <c r="M295" s="75" t="s">
        <v>387</v>
      </c>
      <c r="N295" s="75">
        <v>5</v>
      </c>
      <c r="O295" s="100" t="s">
        <v>375</v>
      </c>
      <c r="P295" s="100" t="s">
        <v>375</v>
      </c>
      <c r="Q295" s="108"/>
      <c r="R295" s="108"/>
      <c r="S295" s="109" t="s">
        <v>782</v>
      </c>
      <c r="T295" s="109" t="s">
        <v>782</v>
      </c>
      <c r="U295" s="100">
        <v>5</v>
      </c>
      <c r="V295" s="142" t="s">
        <v>387</v>
      </c>
      <c r="W295" s="142"/>
      <c r="X295" s="100">
        <v>5</v>
      </c>
      <c r="Y295" s="100" t="s">
        <v>387</v>
      </c>
      <c r="Z295" s="100" t="s">
        <v>387</v>
      </c>
      <c r="AA295" s="142" t="s">
        <v>387</v>
      </c>
      <c r="AB295" s="142" t="s">
        <v>387</v>
      </c>
      <c r="AC295" s="100" t="s">
        <v>387</v>
      </c>
      <c r="AD295" s="109"/>
      <c r="AE295" s="109" t="s">
        <v>782</v>
      </c>
      <c r="AF295" s="109" t="s">
        <v>782</v>
      </c>
      <c r="AG295" s="109" t="s">
        <v>782</v>
      </c>
      <c r="AH295" s="108"/>
      <c r="AI295" s="109" t="s">
        <v>782</v>
      </c>
      <c r="AJ295" s="100"/>
      <c r="AK295" s="100"/>
      <c r="AL295" s="75"/>
      <c r="AM295" s="100"/>
      <c r="AN295" s="75"/>
      <c r="AO295" s="75"/>
      <c r="AP295" s="107"/>
      <c r="AQ295" s="75"/>
      <c r="AR295" s="75"/>
      <c r="AS295" s="111"/>
      <c r="AT295" s="75"/>
      <c r="AU295" s="431"/>
      <c r="AV295" s="111"/>
    </row>
    <row r="296" spans="1:48" ht="16.3">
      <c r="A296" s="246" t="s">
        <v>1</v>
      </c>
      <c r="B296" s="266">
        <f>SUM(L296+M296+N296+O296+P296+U296+X296+Y296+Z296+AC296+AK296+AL296+AK296+AO296+AR296+AS296+AU296+AV296+AW296+AX296)</f>
        <v>7</v>
      </c>
      <c r="C296" s="215">
        <f>SUM(L296+M296+N296+O296+P296+U296+Y296+Z296+X296+AC296+AL296+AK296+AL296+AP296+AS296+AO296+AV296+AW296+AX296+AY289+AR296+AU296)</f>
        <v>7</v>
      </c>
      <c r="D296" s="133"/>
      <c r="E296" s="134"/>
      <c r="F296" s="135"/>
      <c r="G296" s="136"/>
      <c r="H296" s="683"/>
      <c r="I296" s="676"/>
      <c r="J296" s="96"/>
      <c r="K296" s="96"/>
      <c r="L296" s="104"/>
      <c r="M296" s="75">
        <v>1</v>
      </c>
      <c r="N296" s="75">
        <v>1</v>
      </c>
      <c r="O296" s="100"/>
      <c r="P296" s="100"/>
      <c r="Q296" s="108"/>
      <c r="R296" s="108"/>
      <c r="S296" s="109"/>
      <c r="T296" s="109"/>
      <c r="U296" s="100">
        <v>1</v>
      </c>
      <c r="V296" s="142">
        <v>1</v>
      </c>
      <c r="W296" s="142"/>
      <c r="X296" s="100">
        <v>1</v>
      </c>
      <c r="Y296" s="100">
        <v>1</v>
      </c>
      <c r="Z296" s="100">
        <v>1</v>
      </c>
      <c r="AA296" s="142">
        <v>1</v>
      </c>
      <c r="AB296" s="142">
        <v>1</v>
      </c>
      <c r="AC296" s="100">
        <v>1</v>
      </c>
      <c r="AD296" s="109"/>
      <c r="AE296" s="109"/>
      <c r="AF296" s="109"/>
      <c r="AG296" s="109"/>
      <c r="AH296" s="108"/>
      <c r="AI296" s="109"/>
      <c r="AJ296" s="100"/>
      <c r="AK296" s="100"/>
      <c r="AL296" s="75"/>
      <c r="AM296" s="100"/>
      <c r="AN296" s="75"/>
      <c r="AO296" s="100"/>
      <c r="AP296" s="107"/>
      <c r="AQ296" s="100"/>
      <c r="AR296" s="75"/>
      <c r="AS296" s="111"/>
      <c r="AT296" s="75"/>
      <c r="AU296" s="431"/>
      <c r="AV296" s="111"/>
    </row>
    <row r="297" spans="1:48" ht="16.3">
      <c r="A297" s="246" t="s">
        <v>2</v>
      </c>
      <c r="B297" s="266">
        <f>SUM(L297+M297+N297+O297+P297+U297+X297+Y297+Z297+AC297+AK297+AL297+AK297+AO297+AR297+AS297+AU297+AV297+AW297+AX297)</f>
        <v>3</v>
      </c>
      <c r="C297" s="215">
        <f>SUM(L297+M297+N297+O297+P297+U297+Y297+Z297+X297+AC297+AL297+AK297+AL297+AP297+AS297+AO297+AV297+AW297+AX297+AY290+AR297+AU297)</f>
        <v>3</v>
      </c>
      <c r="D297" s="133"/>
      <c r="E297" s="134"/>
      <c r="F297" s="135"/>
      <c r="G297" s="136"/>
      <c r="H297" s="683"/>
      <c r="I297" s="676"/>
      <c r="J297" s="96">
        <v>1</v>
      </c>
      <c r="K297" s="96">
        <v>1</v>
      </c>
      <c r="L297" s="104">
        <v>1</v>
      </c>
      <c r="M297" s="75"/>
      <c r="N297" s="75"/>
      <c r="O297" s="100">
        <v>1</v>
      </c>
      <c r="P297" s="100">
        <v>1</v>
      </c>
      <c r="Q297" s="108"/>
      <c r="R297" s="108"/>
      <c r="S297" s="109"/>
      <c r="T297" s="109"/>
      <c r="U297" s="100"/>
      <c r="V297" s="142"/>
      <c r="W297" s="142"/>
      <c r="X297" s="100"/>
      <c r="Y297" s="100"/>
      <c r="Z297" s="100"/>
      <c r="AA297" s="142"/>
      <c r="AB297" s="142"/>
      <c r="AC297" s="100"/>
      <c r="AD297" s="109"/>
      <c r="AE297" s="109"/>
      <c r="AF297" s="109"/>
      <c r="AG297" s="109"/>
      <c r="AH297" s="108"/>
      <c r="AI297" s="109"/>
      <c r="AJ297" s="100"/>
      <c r="AK297" s="100"/>
      <c r="AL297" s="75"/>
      <c r="AM297" s="100"/>
      <c r="AN297" s="75"/>
      <c r="AO297" s="100"/>
      <c r="AP297" s="107"/>
      <c r="AQ297" s="100"/>
      <c r="AR297" s="75"/>
      <c r="AS297" s="111"/>
      <c r="AT297" s="75"/>
      <c r="AU297" s="431"/>
      <c r="AV297" s="111"/>
    </row>
    <row r="298" spans="1:48" ht="16.3">
      <c r="A298" s="83" t="s">
        <v>363</v>
      </c>
      <c r="B298" s="265">
        <f>SUM(B296+B297)</f>
        <v>10</v>
      </c>
      <c r="C298" s="214">
        <f>SUM(C296+C297)</f>
        <v>10</v>
      </c>
      <c r="D298" s="133"/>
      <c r="E298" s="134"/>
      <c r="F298" s="135"/>
      <c r="G298" s="136"/>
      <c r="H298" s="683"/>
      <c r="I298" s="676"/>
      <c r="J298" s="96"/>
      <c r="K298" s="96"/>
      <c r="L298" s="104"/>
      <c r="M298" s="75"/>
      <c r="N298" s="75"/>
      <c r="O298" s="100"/>
      <c r="P298" s="100"/>
      <c r="Q298" s="108"/>
      <c r="R298" s="108"/>
      <c r="S298" s="109"/>
      <c r="T298" s="109"/>
      <c r="U298" s="100"/>
      <c r="V298" s="142"/>
      <c r="W298" s="142"/>
      <c r="X298" s="100"/>
      <c r="Y298" s="100"/>
      <c r="Z298" s="100"/>
      <c r="AA298" s="142"/>
      <c r="AB298" s="142"/>
      <c r="AC298" s="100"/>
      <c r="AD298" s="109"/>
      <c r="AE298" s="109"/>
      <c r="AF298" s="109"/>
      <c r="AG298" s="109"/>
      <c r="AH298" s="108"/>
      <c r="AI298" s="109"/>
      <c r="AJ298" s="100"/>
      <c r="AK298" s="100"/>
      <c r="AL298" s="75"/>
      <c r="AM298" s="100"/>
      <c r="AN298" s="75"/>
      <c r="AO298" s="100"/>
      <c r="AP298" s="107"/>
      <c r="AQ298" s="100"/>
      <c r="AR298" s="75"/>
      <c r="AS298" s="111"/>
      <c r="AT298" s="75"/>
      <c r="AU298" s="431"/>
      <c r="AV298" s="111"/>
    </row>
    <row r="299" spans="1:48" ht="16.3">
      <c r="A299" s="83" t="s">
        <v>3</v>
      </c>
      <c r="B299" s="265">
        <f>SUM(L299+M299+N299+O299+P299+U299+X299+Y299+Z299+AC299+AK299+AL299+AK299+AO299+AR299+AS299+AU299+AV299+AW299+AX299)</f>
        <v>0</v>
      </c>
      <c r="C299" s="214">
        <f>SUM(L299+M299+N299+O299+P299+U299+Y299+Z299+X299+AC299+AL299+AK299+AL299+AP299+AS299+AO299+AV299+AW299+AX299+AY292+AR299+AU299)</f>
        <v>0</v>
      </c>
      <c r="D299" s="133"/>
      <c r="E299" s="134"/>
      <c r="F299" s="135"/>
      <c r="G299" s="136"/>
      <c r="H299" s="683"/>
      <c r="I299" s="676"/>
      <c r="J299" s="96"/>
      <c r="K299" s="96"/>
      <c r="L299" s="104"/>
      <c r="M299" s="75"/>
      <c r="N299" s="75"/>
      <c r="O299" s="100"/>
      <c r="P299" s="100"/>
      <c r="Q299" s="108"/>
      <c r="R299" s="108"/>
      <c r="S299" s="109"/>
      <c r="T299" s="109"/>
      <c r="U299" s="100"/>
      <c r="V299" s="142"/>
      <c r="W299" s="142"/>
      <c r="X299" s="100"/>
      <c r="Y299" s="100"/>
      <c r="Z299" s="100"/>
      <c r="AA299" s="142"/>
      <c r="AB299" s="142"/>
      <c r="AC299" s="100"/>
      <c r="AD299" s="109"/>
      <c r="AE299" s="109"/>
      <c r="AF299" s="109"/>
      <c r="AG299" s="109"/>
      <c r="AH299" s="108"/>
      <c r="AI299" s="109"/>
      <c r="AJ299" s="100"/>
      <c r="AK299" s="100"/>
      <c r="AL299" s="75"/>
      <c r="AM299" s="100"/>
      <c r="AN299" s="75"/>
      <c r="AO299" s="100"/>
      <c r="AP299" s="107"/>
      <c r="AQ299" s="100"/>
      <c r="AR299" s="75"/>
      <c r="AS299" s="111"/>
      <c r="AT299" s="75"/>
      <c r="AU299" s="431"/>
      <c r="AV299" s="111"/>
    </row>
    <row r="300" spans="1:48" ht="17" thickBot="1">
      <c r="A300" s="85" t="s">
        <v>4</v>
      </c>
      <c r="B300" s="268">
        <f>SUM(L300+M300+N300+O300+P300+U300+X300+Y300+Z300+AC300+AK300+AL300+AK300+AO300+AR300+AS300+AU300+AV300+AW300+AX300)</f>
        <v>0</v>
      </c>
      <c r="C300" s="217">
        <f>SUM(L300+M300+N300+O300+P300+U300+Y300+Z300+X300+AC300+AL300+AK300+AL300+AP300+AS300+AO300+AV300+AW300+AX300+AY293+AR300+AU300)</f>
        <v>0</v>
      </c>
      <c r="D300" s="144"/>
      <c r="E300" s="145"/>
      <c r="F300" s="146"/>
      <c r="G300" s="147"/>
      <c r="H300" s="684"/>
      <c r="I300" s="677"/>
      <c r="J300" s="114"/>
      <c r="K300" s="114"/>
      <c r="L300" s="113"/>
      <c r="M300" s="112"/>
      <c r="N300" s="112"/>
      <c r="O300" s="116"/>
      <c r="P300" s="116"/>
      <c r="Q300" s="117"/>
      <c r="R300" s="117"/>
      <c r="S300" s="118"/>
      <c r="T300" s="118"/>
      <c r="U300" s="116"/>
      <c r="V300" s="149"/>
      <c r="W300" s="149"/>
      <c r="X300" s="116"/>
      <c r="Y300" s="112"/>
      <c r="Z300" s="116"/>
      <c r="AA300" s="149"/>
      <c r="AB300" s="149"/>
      <c r="AC300" s="116"/>
      <c r="AD300" s="118"/>
      <c r="AE300" s="118"/>
      <c r="AF300" s="118"/>
      <c r="AG300" s="118"/>
      <c r="AH300" s="117"/>
      <c r="AI300" s="118"/>
      <c r="AJ300" s="116"/>
      <c r="AK300" s="116"/>
      <c r="AL300" s="112"/>
      <c r="AM300" s="116"/>
      <c r="AN300" s="112"/>
      <c r="AO300" s="116"/>
      <c r="AP300" s="130"/>
      <c r="AQ300" s="116"/>
      <c r="AR300" s="112"/>
      <c r="AS300" s="121"/>
      <c r="AT300" s="112"/>
      <c r="AU300" s="432"/>
      <c r="AV300" s="121"/>
    </row>
    <row r="301" spans="1:48" ht="21.1">
      <c r="A301" s="82" t="s">
        <v>139</v>
      </c>
      <c r="B301" s="265"/>
      <c r="C301" s="214"/>
      <c r="D301" s="133"/>
      <c r="E301" s="134"/>
      <c r="F301" s="135"/>
      <c r="G301" s="136"/>
      <c r="H301" s="683"/>
      <c r="I301" s="676"/>
      <c r="J301" s="96">
        <v>4</v>
      </c>
      <c r="K301" s="96" t="s">
        <v>372</v>
      </c>
      <c r="L301" s="104">
        <v>5</v>
      </c>
      <c r="M301" s="75" t="s">
        <v>375</v>
      </c>
      <c r="N301" s="75" t="s">
        <v>375</v>
      </c>
      <c r="O301" s="100" t="s">
        <v>375</v>
      </c>
      <c r="P301" s="100"/>
      <c r="Q301" s="108"/>
      <c r="R301" s="108"/>
      <c r="S301" s="109">
        <v>4</v>
      </c>
      <c r="T301" s="109" t="s">
        <v>372</v>
      </c>
      <c r="U301" s="100" t="s">
        <v>393</v>
      </c>
      <c r="V301" s="142" t="s">
        <v>375</v>
      </c>
      <c r="W301" s="142" t="s">
        <v>681</v>
      </c>
      <c r="X301" s="100" t="s">
        <v>393</v>
      </c>
      <c r="Y301" s="100"/>
      <c r="Z301" s="100"/>
      <c r="AA301" s="142" t="s">
        <v>441</v>
      </c>
      <c r="AB301" s="142" t="s">
        <v>375</v>
      </c>
      <c r="AC301" s="100" t="s">
        <v>375</v>
      </c>
      <c r="AD301" s="109" t="s">
        <v>595</v>
      </c>
      <c r="AE301" s="109" t="s">
        <v>443</v>
      </c>
      <c r="AF301" s="109"/>
      <c r="AG301" s="109">
        <v>4</v>
      </c>
      <c r="AH301" s="108"/>
      <c r="AI301" s="109">
        <v>4</v>
      </c>
      <c r="AJ301" s="100"/>
      <c r="AK301" s="100"/>
      <c r="AL301" s="75"/>
      <c r="AM301" s="100"/>
      <c r="AN301" s="75"/>
      <c r="AO301" s="100"/>
      <c r="AP301" s="107"/>
      <c r="AQ301" s="100"/>
      <c r="AR301" s="75"/>
      <c r="AS301" s="111"/>
      <c r="AT301" s="75"/>
      <c r="AU301" s="431"/>
      <c r="AV301" s="111"/>
    </row>
    <row r="302" spans="1:48" ht="16.3">
      <c r="A302" s="246" t="s">
        <v>1</v>
      </c>
      <c r="B302" s="266">
        <f>SUM(L302+M302+N302+O302+P302+U302+X302+Y302+Z302+AC302+AK302+AL302+AK302+AO302+AR302+AS302+AU302+AV302+AW302+AX302)+16</f>
        <v>17</v>
      </c>
      <c r="C302" s="215">
        <f>SUM(L302+M302+N302+O302+P302+U302+Y302+Z302+X302+AC302+AL302+AK302+AL302+AP302+AS302+AO302+AV302+AW302+AX302+AY295+AR302+AU302)+16</f>
        <v>17</v>
      </c>
      <c r="D302" s="133"/>
      <c r="E302" s="134"/>
      <c r="F302" s="135"/>
      <c r="G302" s="136"/>
      <c r="H302" s="683"/>
      <c r="I302" s="676"/>
      <c r="J302" s="96">
        <v>1</v>
      </c>
      <c r="K302" s="96">
        <v>1</v>
      </c>
      <c r="L302" s="104">
        <v>1</v>
      </c>
      <c r="M302" s="75"/>
      <c r="N302" s="75"/>
      <c r="O302" s="100"/>
      <c r="P302" s="100"/>
      <c r="Q302" s="108"/>
      <c r="R302" s="108"/>
      <c r="S302" s="109">
        <v>1</v>
      </c>
      <c r="T302" s="109">
        <v>1</v>
      </c>
      <c r="U302" s="100"/>
      <c r="V302" s="142"/>
      <c r="W302" s="142">
        <v>1</v>
      </c>
      <c r="X302" s="100"/>
      <c r="Y302" s="100"/>
      <c r="Z302" s="100"/>
      <c r="AA302" s="142"/>
      <c r="AB302" s="142"/>
      <c r="AC302" s="100"/>
      <c r="AD302" s="109">
        <v>1</v>
      </c>
      <c r="AE302" s="109">
        <v>1</v>
      </c>
      <c r="AF302" s="109"/>
      <c r="AG302" s="109">
        <v>1</v>
      </c>
      <c r="AH302" s="108"/>
      <c r="AI302" s="109">
        <v>1</v>
      </c>
      <c r="AJ302" s="100"/>
      <c r="AK302" s="100"/>
      <c r="AL302" s="75"/>
      <c r="AM302" s="100"/>
      <c r="AN302" s="75"/>
      <c r="AO302" s="100"/>
      <c r="AP302" s="107"/>
      <c r="AQ302" s="100"/>
      <c r="AR302" s="75"/>
      <c r="AS302" s="111"/>
      <c r="AT302" s="75"/>
      <c r="AU302" s="431"/>
      <c r="AV302" s="111"/>
    </row>
    <row r="303" spans="1:48" ht="16.3">
      <c r="A303" s="246" t="s">
        <v>2</v>
      </c>
      <c r="B303" s="266">
        <f>SUM(L303+M303+N303+O303+P303+U303+X303+Y303+Z303+AC303+AK303+AL303+AK303+AO303+AR303+AS303+AU303+AV303+AW303+AX303)+7</f>
        <v>11</v>
      </c>
      <c r="C303" s="215">
        <f>SUM(L303+M303+N303+O303+P303+U303+Y303+Z303+X303+AC303+AL303+AK303+AL303+AP303+AS303+AO303+AV303+AW303+AX303+AY296+AR303+AU303)+7</f>
        <v>11</v>
      </c>
      <c r="D303" s="133"/>
      <c r="E303" s="134"/>
      <c r="F303" s="135"/>
      <c r="G303" s="136"/>
      <c r="H303" s="683"/>
      <c r="I303" s="676"/>
      <c r="J303" s="96"/>
      <c r="K303" s="96"/>
      <c r="L303" s="104"/>
      <c r="M303" s="75">
        <v>1</v>
      </c>
      <c r="N303" s="75">
        <v>1</v>
      </c>
      <c r="O303" s="100">
        <v>1</v>
      </c>
      <c r="P303" s="100"/>
      <c r="Q303" s="108"/>
      <c r="R303" s="108"/>
      <c r="S303" s="109"/>
      <c r="T303" s="109"/>
      <c r="U303" s="100"/>
      <c r="V303" s="142">
        <v>1</v>
      </c>
      <c r="W303" s="142"/>
      <c r="X303" s="100"/>
      <c r="Y303" s="100"/>
      <c r="Z303" s="100"/>
      <c r="AA303" s="142">
        <v>1</v>
      </c>
      <c r="AB303" s="142">
        <v>1</v>
      </c>
      <c r="AC303" s="100">
        <v>1</v>
      </c>
      <c r="AD303" s="109"/>
      <c r="AE303" s="109"/>
      <c r="AF303" s="109"/>
      <c r="AG303" s="109"/>
      <c r="AH303" s="108"/>
      <c r="AI303" s="109"/>
      <c r="AJ303" s="100"/>
      <c r="AK303" s="100"/>
      <c r="AL303" s="75"/>
      <c r="AM303" s="100"/>
      <c r="AN303" s="75"/>
      <c r="AO303" s="100"/>
      <c r="AP303" s="107"/>
      <c r="AQ303" s="100"/>
      <c r="AR303" s="75"/>
      <c r="AS303" s="111"/>
      <c r="AT303" s="75"/>
      <c r="AU303" s="431"/>
      <c r="AV303" s="111"/>
    </row>
    <row r="304" spans="1:48" ht="16.3">
      <c r="A304" s="83" t="s">
        <v>363</v>
      </c>
      <c r="B304" s="265">
        <f>SUM(B302+B303)</f>
        <v>28</v>
      </c>
      <c r="C304" s="214">
        <f>SUM(C302+C303)</f>
        <v>28</v>
      </c>
      <c r="D304" s="133"/>
      <c r="E304" s="134"/>
      <c r="F304" s="135"/>
      <c r="G304" s="136"/>
      <c r="H304" s="683"/>
      <c r="I304" s="676"/>
      <c r="J304" s="96"/>
      <c r="K304" s="96"/>
      <c r="L304" s="104"/>
      <c r="M304" s="75"/>
      <c r="N304" s="75"/>
      <c r="O304" s="100"/>
      <c r="P304" s="100"/>
      <c r="Q304" s="108"/>
      <c r="R304" s="108"/>
      <c r="S304" s="109"/>
      <c r="T304" s="109"/>
      <c r="U304" s="100"/>
      <c r="V304" s="142"/>
      <c r="W304" s="142"/>
      <c r="X304" s="100"/>
      <c r="Y304" s="100"/>
      <c r="Z304" s="100"/>
      <c r="AA304" s="142"/>
      <c r="AB304" s="142"/>
      <c r="AC304" s="100"/>
      <c r="AD304" s="109"/>
      <c r="AE304" s="109"/>
      <c r="AF304" s="109"/>
      <c r="AG304" s="109"/>
      <c r="AH304" s="108"/>
      <c r="AI304" s="109"/>
      <c r="AJ304" s="100"/>
      <c r="AK304" s="100"/>
      <c r="AL304" s="75"/>
      <c r="AM304" s="100"/>
      <c r="AN304" s="75"/>
      <c r="AO304" s="100"/>
      <c r="AP304" s="107"/>
      <c r="AQ304" s="100"/>
      <c r="AR304" s="75"/>
      <c r="AS304" s="111"/>
      <c r="AT304" s="75"/>
      <c r="AU304" s="431"/>
      <c r="AV304" s="111"/>
    </row>
    <row r="305" spans="1:48" ht="16.3">
      <c r="A305" s="246" t="s">
        <v>366</v>
      </c>
      <c r="B305" s="266">
        <f>SUM(L305+M305+N305+O305+P305+U305+X305+Y305+Z305+AC305+AK305+AL305+AK305+AO305+AR305+AS305+AU305+AV305+AW305+AX305)</f>
        <v>0</v>
      </c>
      <c r="C305" s="215">
        <f>SUM(L305+M305+N305+O305+P305+U305+Y305+Z305+X305+AC305+AL305+AK305+AL305+AP305+AS305+AO305+AV305+AW305+AX305+AY298+AR305+AU305)</f>
        <v>0</v>
      </c>
      <c r="D305" s="133"/>
      <c r="E305" s="134"/>
      <c r="F305" s="135"/>
      <c r="G305" s="136"/>
      <c r="H305" s="683"/>
      <c r="I305" s="676"/>
      <c r="J305" s="96"/>
      <c r="K305" s="96"/>
      <c r="L305" s="104"/>
      <c r="M305" s="75"/>
      <c r="N305" s="75"/>
      <c r="O305" s="100"/>
      <c r="P305" s="100"/>
      <c r="Q305" s="108"/>
      <c r="R305" s="108"/>
      <c r="S305" s="109"/>
      <c r="T305" s="109"/>
      <c r="U305" s="100"/>
      <c r="V305" s="142"/>
      <c r="W305" s="142">
        <v>1</v>
      </c>
      <c r="X305" s="100"/>
      <c r="Y305" s="100"/>
      <c r="Z305" s="100"/>
      <c r="AA305" s="142"/>
      <c r="AB305" s="142"/>
      <c r="AC305" s="100"/>
      <c r="AD305" s="109">
        <v>1</v>
      </c>
      <c r="AE305" s="109">
        <v>1</v>
      </c>
      <c r="AF305" s="109"/>
      <c r="AG305" s="109"/>
      <c r="AH305" s="108"/>
      <c r="AI305" s="109"/>
      <c r="AJ305" s="100"/>
      <c r="AK305" s="100"/>
      <c r="AL305" s="75"/>
      <c r="AM305" s="100"/>
      <c r="AN305" s="75"/>
      <c r="AO305" s="100"/>
      <c r="AP305" s="107"/>
      <c r="AQ305" s="100"/>
      <c r="AR305" s="75"/>
      <c r="AS305" s="111"/>
      <c r="AT305" s="75"/>
      <c r="AU305" s="431"/>
      <c r="AV305" s="111"/>
    </row>
    <row r="306" spans="1:48" ht="16.3">
      <c r="A306" s="246" t="s">
        <v>362</v>
      </c>
      <c r="B306" s="266">
        <f>SUM(L306+M306+N306+O306+P306+U306+X306+Y306+Z306+AC306+AK306+AL306+AK306+AO306+AR306+AS306+AU306+AV306+AW306+AX306)</f>
        <v>0</v>
      </c>
      <c r="C306" s="215">
        <f>SUM(L306+M306+N306+O306+P306+U306+Y306+Z306+X306+AC306+AL306+AK306+AL306+AP306+AS306+AO306+AV306+AW306+AX306+AY299+AR306+AU306)</f>
        <v>0</v>
      </c>
      <c r="D306" s="133"/>
      <c r="E306" s="134"/>
      <c r="F306" s="135"/>
      <c r="G306" s="136"/>
      <c r="H306" s="683"/>
      <c r="I306" s="676"/>
      <c r="J306" s="96"/>
      <c r="K306" s="96"/>
      <c r="L306" s="104"/>
      <c r="M306" s="75"/>
      <c r="N306" s="75"/>
      <c r="O306" s="100"/>
      <c r="P306" s="100"/>
      <c r="Q306" s="108"/>
      <c r="R306" s="108"/>
      <c r="S306" s="109"/>
      <c r="T306" s="109"/>
      <c r="U306" s="100"/>
      <c r="V306" s="142"/>
      <c r="W306" s="142"/>
      <c r="X306" s="100"/>
      <c r="Y306" s="100"/>
      <c r="Z306" s="100"/>
      <c r="AA306" s="142">
        <v>1</v>
      </c>
      <c r="AB306" s="142"/>
      <c r="AC306" s="100"/>
      <c r="AD306" s="109"/>
      <c r="AE306" s="109"/>
      <c r="AF306" s="109"/>
      <c r="AG306" s="109"/>
      <c r="AH306" s="108"/>
      <c r="AI306" s="109"/>
      <c r="AJ306" s="100"/>
      <c r="AK306" s="100"/>
      <c r="AL306" s="75"/>
      <c r="AM306" s="100"/>
      <c r="AN306" s="75"/>
      <c r="AO306" s="100"/>
      <c r="AP306" s="107"/>
      <c r="AQ306" s="100"/>
      <c r="AR306" s="75"/>
      <c r="AS306" s="111"/>
      <c r="AT306" s="75"/>
      <c r="AU306" s="431"/>
      <c r="AV306" s="111"/>
    </row>
    <row r="307" spans="1:48" ht="16.3">
      <c r="A307" s="83" t="s">
        <v>3</v>
      </c>
      <c r="B307" s="265">
        <f>SUM(L307+M307+N307+O307+P307+U307+X307+Y307+Z307+AC307+AK307+AL307+AK307+AO307+AR307+AS307+AU307+AV307+AW307+AX307)+1</f>
        <v>1</v>
      </c>
      <c r="C307" s="214">
        <f>SUM(L307+M307+N307+O307+P307+U307+Y307+Z307+X307+AC307+AL307+AK307+AL307+AP307+AS307+AO307+AV307+AW307+AX307+AY298+AR307+AU307)+1</f>
        <v>1</v>
      </c>
      <c r="D307" s="133"/>
      <c r="E307" s="134"/>
      <c r="F307" s="135"/>
      <c r="G307" s="136"/>
      <c r="H307" s="683"/>
      <c r="I307" s="676"/>
      <c r="J307" s="96">
        <v>1</v>
      </c>
      <c r="K307" s="96"/>
      <c r="L307" s="104"/>
      <c r="M307" s="75"/>
      <c r="N307" s="75"/>
      <c r="O307" s="100"/>
      <c r="P307" s="100"/>
      <c r="Q307" s="108"/>
      <c r="R307" s="108"/>
      <c r="S307" s="109"/>
      <c r="T307" s="109"/>
      <c r="U307" s="100"/>
      <c r="V307" s="142"/>
      <c r="W307" s="142">
        <v>1</v>
      </c>
      <c r="X307" s="100"/>
      <c r="Y307" s="100"/>
      <c r="Z307" s="100"/>
      <c r="AA307" s="142"/>
      <c r="AB307" s="142"/>
      <c r="AC307" s="100"/>
      <c r="AD307" s="109">
        <v>1</v>
      </c>
      <c r="AE307" s="109">
        <v>1</v>
      </c>
      <c r="AF307" s="109"/>
      <c r="AG307" s="109"/>
      <c r="AH307" s="108"/>
      <c r="AI307" s="109"/>
      <c r="AJ307" s="100"/>
      <c r="AK307" s="100"/>
      <c r="AL307" s="75"/>
      <c r="AM307" s="100"/>
      <c r="AN307" s="75"/>
      <c r="AO307" s="100"/>
      <c r="AP307" s="107"/>
      <c r="AQ307" s="100"/>
      <c r="AR307" s="75"/>
      <c r="AS307" s="111"/>
      <c r="AT307" s="75"/>
      <c r="AU307" s="431"/>
      <c r="AV307" s="111"/>
    </row>
    <row r="308" spans="1:48" ht="17" thickBot="1">
      <c r="A308" s="85" t="s">
        <v>4</v>
      </c>
      <c r="B308" s="268">
        <f>SUM(L308+M308+N308+O308+P308+U308+X308+Y308+Z308+AC308+AK308+AL308+AK308+AO308+AR308+AS308+AU308+AV308+AW308+AX308)+5</f>
        <v>5</v>
      </c>
      <c r="C308" s="217">
        <f>SUM(L308+M308+N308+O308+P308+U308+Y308+Z308+X308+AC308+AL308+AK308+AL308+AP308+AS308+AO308+AV308+AW308+AX308+AY299+AR308+AU308)+5</f>
        <v>5</v>
      </c>
      <c r="D308" s="144"/>
      <c r="E308" s="145"/>
      <c r="F308" s="146"/>
      <c r="G308" s="147"/>
      <c r="H308" s="684"/>
      <c r="I308" s="677"/>
      <c r="J308" s="114">
        <v>5</v>
      </c>
      <c r="K308" s="114"/>
      <c r="L308" s="113"/>
      <c r="M308" s="112"/>
      <c r="N308" s="112"/>
      <c r="O308" s="116"/>
      <c r="P308" s="116"/>
      <c r="Q308" s="117"/>
      <c r="R308" s="117"/>
      <c r="S308" s="118"/>
      <c r="T308" s="118"/>
      <c r="U308" s="116"/>
      <c r="V308" s="149"/>
      <c r="W308" s="149">
        <v>5</v>
      </c>
      <c r="X308" s="116"/>
      <c r="Y308" s="116"/>
      <c r="Z308" s="116"/>
      <c r="AA308" s="149"/>
      <c r="AB308" s="149"/>
      <c r="AC308" s="116"/>
      <c r="AD308" s="118">
        <v>5</v>
      </c>
      <c r="AE308" s="118">
        <v>5</v>
      </c>
      <c r="AF308" s="118"/>
      <c r="AG308" s="118"/>
      <c r="AH308" s="117"/>
      <c r="AI308" s="118"/>
      <c r="AJ308" s="116"/>
      <c r="AK308" s="116"/>
      <c r="AL308" s="112"/>
      <c r="AM308" s="116"/>
      <c r="AN308" s="112"/>
      <c r="AO308" s="116"/>
      <c r="AP308" s="130"/>
      <c r="AQ308" s="116"/>
      <c r="AR308" s="112"/>
      <c r="AS308" s="121"/>
      <c r="AT308" s="112"/>
      <c r="AU308" s="432"/>
      <c r="AV308" s="121"/>
    </row>
    <row r="309" spans="1:48" ht="21.1">
      <c r="A309" s="82" t="s">
        <v>833</v>
      </c>
      <c r="B309" s="265"/>
      <c r="C309" s="214"/>
      <c r="D309" s="133"/>
      <c r="E309" s="134"/>
      <c r="F309" s="135"/>
      <c r="G309" s="136"/>
      <c r="H309" s="683"/>
      <c r="I309" s="676"/>
      <c r="J309" s="96"/>
      <c r="K309" s="96"/>
      <c r="L309" s="104"/>
      <c r="M309" s="75"/>
      <c r="N309" s="75"/>
      <c r="O309" s="100"/>
      <c r="P309" s="100"/>
      <c r="Q309" s="108"/>
      <c r="R309" s="108"/>
      <c r="S309" s="109"/>
      <c r="T309" s="109"/>
      <c r="U309" s="100"/>
      <c r="V309" s="142"/>
      <c r="W309" s="142" t="s">
        <v>375</v>
      </c>
      <c r="X309" s="100"/>
      <c r="Y309" s="100"/>
      <c r="Z309" s="100"/>
      <c r="AA309" s="142"/>
      <c r="AB309" s="142"/>
      <c r="AC309" s="100"/>
      <c r="AD309" s="109" t="s">
        <v>375</v>
      </c>
      <c r="AE309" s="109" t="s">
        <v>375</v>
      </c>
      <c r="AF309" s="109" t="s">
        <v>375</v>
      </c>
      <c r="AG309" s="109"/>
      <c r="AH309" s="108"/>
      <c r="AI309" s="109" t="s">
        <v>375</v>
      </c>
      <c r="AJ309" s="100"/>
      <c r="AK309" s="100"/>
      <c r="AL309" s="75"/>
      <c r="AM309" s="100"/>
      <c r="AN309" s="75"/>
      <c r="AO309" s="100"/>
      <c r="AP309" s="107"/>
      <c r="AQ309" s="100"/>
      <c r="AR309" s="75"/>
      <c r="AS309" s="111"/>
      <c r="AT309" s="75"/>
      <c r="AU309" s="431"/>
      <c r="AV309" s="111"/>
    </row>
    <row r="310" spans="1:48" ht="16.3">
      <c r="A310" s="246" t="s">
        <v>1</v>
      </c>
      <c r="B310" s="266">
        <f>SUM(L310+M310+N310+O310+P310+U310+X310+Y310+Z310+AC310+AK310+AL310+AK310+AO310+AR310+AS310+AU310+AV310+AW310+AX310)</f>
        <v>0</v>
      </c>
      <c r="C310" s="215">
        <f>SUM(L310+M310+N310+O310+P310+U310+Y310+Z310+X310+AC310+AL310+AK310+AL310+AP310+AS310+AO310+AV310+AW310+AX310+AY301+AR310+AU310)</f>
        <v>0</v>
      </c>
      <c r="D310" s="133"/>
      <c r="E310" s="134"/>
      <c r="F310" s="135"/>
      <c r="G310" s="136"/>
      <c r="H310" s="683"/>
      <c r="I310" s="676"/>
      <c r="J310" s="96"/>
      <c r="K310" s="96"/>
      <c r="L310" s="104"/>
      <c r="M310" s="75"/>
      <c r="N310" s="75"/>
      <c r="O310" s="100"/>
      <c r="P310" s="100"/>
      <c r="Q310" s="108"/>
      <c r="R310" s="108"/>
      <c r="S310" s="109"/>
      <c r="T310" s="109"/>
      <c r="U310" s="100"/>
      <c r="V310" s="142"/>
      <c r="W310" s="142"/>
      <c r="X310" s="100"/>
      <c r="Y310" s="100"/>
      <c r="Z310" s="100"/>
      <c r="AA310" s="142"/>
      <c r="AB310" s="142"/>
      <c r="AC310" s="100"/>
      <c r="AD310" s="109"/>
      <c r="AE310" s="109"/>
      <c r="AF310" s="109"/>
      <c r="AG310" s="109"/>
      <c r="AH310" s="108"/>
      <c r="AI310" s="109"/>
      <c r="AJ310" s="100"/>
      <c r="AK310" s="100"/>
      <c r="AL310" s="75"/>
      <c r="AM310" s="100"/>
      <c r="AN310" s="75"/>
      <c r="AO310" s="100"/>
      <c r="AP310" s="107"/>
      <c r="AQ310" s="100"/>
      <c r="AR310" s="75"/>
      <c r="AS310" s="111"/>
      <c r="AT310" s="75"/>
      <c r="AU310" s="431"/>
      <c r="AV310" s="111"/>
    </row>
    <row r="311" spans="1:48" ht="16.3">
      <c r="A311" s="246" t="s">
        <v>2</v>
      </c>
      <c r="B311" s="266">
        <f>SUM(L311+M311+N311+O311+P311+U311+X311+Y311+Z311+AC311+AK311+AL311+AK311+AO311+AR311+AS311+AU311+AV311+AW311+AX311)</f>
        <v>0</v>
      </c>
      <c r="C311" s="215">
        <f>SUM(L311+M311+N311+O311+P311+U311+Y311+Z311+X311+AC311+AL311+AK311+AL311+AP311+AS311+AO311+AV311+AW311+AX311+AY302+AR311+AU311)</f>
        <v>0</v>
      </c>
      <c r="D311" s="133"/>
      <c r="E311" s="134"/>
      <c r="F311" s="135"/>
      <c r="G311" s="136"/>
      <c r="H311" s="683"/>
      <c r="I311" s="676"/>
      <c r="J311" s="96"/>
      <c r="K311" s="96"/>
      <c r="L311" s="104"/>
      <c r="M311" s="75"/>
      <c r="N311" s="75"/>
      <c r="O311" s="100"/>
      <c r="P311" s="100"/>
      <c r="Q311" s="108"/>
      <c r="R311" s="108"/>
      <c r="S311" s="109"/>
      <c r="T311" s="109"/>
      <c r="U311" s="100"/>
      <c r="V311" s="142"/>
      <c r="W311" s="142">
        <v>1</v>
      </c>
      <c r="X311" s="100"/>
      <c r="Y311" s="100"/>
      <c r="Z311" s="100"/>
      <c r="AA311" s="142"/>
      <c r="AB311" s="142"/>
      <c r="AC311" s="100"/>
      <c r="AD311" s="109">
        <v>1</v>
      </c>
      <c r="AE311" s="109">
        <v>1</v>
      </c>
      <c r="AF311" s="109">
        <v>1</v>
      </c>
      <c r="AG311" s="109"/>
      <c r="AH311" s="108"/>
      <c r="AI311" s="109">
        <v>1</v>
      </c>
      <c r="AJ311" s="100"/>
      <c r="AK311" s="100"/>
      <c r="AL311" s="75"/>
      <c r="AM311" s="100"/>
      <c r="AN311" s="75"/>
      <c r="AO311" s="100"/>
      <c r="AP311" s="107"/>
      <c r="AQ311" s="100"/>
      <c r="AR311" s="75"/>
      <c r="AS311" s="111"/>
      <c r="AT311" s="75"/>
      <c r="AU311" s="431"/>
      <c r="AV311" s="111"/>
    </row>
    <row r="312" spans="1:48" ht="16.3">
      <c r="A312" s="83" t="s">
        <v>363</v>
      </c>
      <c r="B312" s="265">
        <f>SUM(B310+B311)</f>
        <v>0</v>
      </c>
      <c r="C312" s="214">
        <f>SUM(C310+C311)</f>
        <v>0</v>
      </c>
      <c r="D312" s="133"/>
      <c r="E312" s="134"/>
      <c r="F312" s="135"/>
      <c r="G312" s="136"/>
      <c r="H312" s="683"/>
      <c r="I312" s="676"/>
      <c r="J312" s="96"/>
      <c r="K312" s="96"/>
      <c r="L312" s="104"/>
      <c r="M312" s="75"/>
      <c r="N312" s="75"/>
      <c r="O312" s="100"/>
      <c r="P312" s="100"/>
      <c r="Q312" s="108"/>
      <c r="R312" s="108"/>
      <c r="S312" s="109"/>
      <c r="T312" s="109"/>
      <c r="U312" s="100"/>
      <c r="V312" s="142"/>
      <c r="W312" s="142"/>
      <c r="X312" s="100"/>
      <c r="Y312" s="100"/>
      <c r="Z312" s="100"/>
      <c r="AA312" s="142"/>
      <c r="AB312" s="142"/>
      <c r="AC312" s="100"/>
      <c r="AD312" s="109"/>
      <c r="AE312" s="109"/>
      <c r="AF312" s="109"/>
      <c r="AG312" s="109"/>
      <c r="AH312" s="108"/>
      <c r="AI312" s="109"/>
      <c r="AJ312" s="100"/>
      <c r="AK312" s="100"/>
      <c r="AL312" s="75"/>
      <c r="AM312" s="100"/>
      <c r="AN312" s="75"/>
      <c r="AO312" s="100"/>
      <c r="AP312" s="107"/>
      <c r="AQ312" s="100"/>
      <c r="AR312" s="75"/>
      <c r="AS312" s="111"/>
      <c r="AT312" s="75"/>
      <c r="AU312" s="431"/>
      <c r="AV312" s="111"/>
    </row>
    <row r="313" spans="1:48" ht="16.3">
      <c r="A313" s="83" t="s">
        <v>3</v>
      </c>
      <c r="B313" s="265">
        <f>SUM(L313+M313+N313+O313+P313+U313+X313+Y313+Z313+AC313+AK313+AL313+AK313+AO313+AR313+AS313+AU313+AV313+AW313+AX313)</f>
        <v>0</v>
      </c>
      <c r="C313" s="214">
        <f>SUM(L313+M313+N313+O313+P313+U313+Y313+Z313+X313+AC313+AL313+AK313+AL313+AP313+AS313+AO313+AV313+AW313+AX313+AY304+AR313+AU313)</f>
        <v>0</v>
      </c>
      <c r="D313" s="133"/>
      <c r="E313" s="134"/>
      <c r="F313" s="135"/>
      <c r="G313" s="136"/>
      <c r="H313" s="683"/>
      <c r="I313" s="676"/>
      <c r="J313" s="96"/>
      <c r="K313" s="96"/>
      <c r="L313" s="104"/>
      <c r="M313" s="75"/>
      <c r="N313" s="75"/>
      <c r="O313" s="100"/>
      <c r="P313" s="100"/>
      <c r="Q313" s="108"/>
      <c r="R313" s="108"/>
      <c r="S313" s="109"/>
      <c r="T313" s="109"/>
      <c r="U313" s="100"/>
      <c r="V313" s="142"/>
      <c r="W313" s="142"/>
      <c r="X313" s="100"/>
      <c r="Y313" s="100"/>
      <c r="Z313" s="100"/>
      <c r="AA313" s="142"/>
      <c r="AB313" s="142"/>
      <c r="AC313" s="100"/>
      <c r="AD313" s="109"/>
      <c r="AE313" s="109"/>
      <c r="AF313" s="109"/>
      <c r="AG313" s="109"/>
      <c r="AH313" s="108"/>
      <c r="AI313" s="109"/>
      <c r="AJ313" s="100"/>
      <c r="AK313" s="100"/>
      <c r="AL313" s="75"/>
      <c r="AM313" s="100"/>
      <c r="AN313" s="75"/>
      <c r="AO313" s="100"/>
      <c r="AP313" s="107"/>
      <c r="AQ313" s="100"/>
      <c r="AR313" s="75"/>
      <c r="AS313" s="111"/>
      <c r="AT313" s="75"/>
      <c r="AU313" s="431"/>
      <c r="AV313" s="111"/>
    </row>
    <row r="314" spans="1:48" ht="17" thickBot="1">
      <c r="A314" s="85" t="s">
        <v>4</v>
      </c>
      <c r="B314" s="268">
        <f>SUM(L314+M314+N314+O314+P314+U314+X314+Y314+Z314+AC314+AK314+AL314+AK314+AO314+AR314+AS314+AU314+AV314+AW314+AX314)</f>
        <v>0</v>
      </c>
      <c r="C314" s="217">
        <f>SUM(L314+M314+N314+O314+P314+U314+Y314+Z314+X314+AC314+AL314+AK314+AL314+AP314+AS314+AO314+AV314+AW314+AX314+AY307+AR314+AU314)</f>
        <v>0</v>
      </c>
      <c r="D314" s="144"/>
      <c r="E314" s="145"/>
      <c r="F314" s="146"/>
      <c r="G314" s="147"/>
      <c r="H314" s="684"/>
      <c r="I314" s="677"/>
      <c r="J314" s="114"/>
      <c r="K314" s="114"/>
      <c r="L314" s="113"/>
      <c r="M314" s="112"/>
      <c r="N314" s="112"/>
      <c r="O314" s="116"/>
      <c r="P314" s="116"/>
      <c r="Q314" s="117"/>
      <c r="R314" s="117"/>
      <c r="S314" s="118"/>
      <c r="T314" s="118"/>
      <c r="U314" s="116"/>
      <c r="V314" s="149"/>
      <c r="W314" s="149"/>
      <c r="X314" s="116"/>
      <c r="Y314" s="116"/>
      <c r="Z314" s="116"/>
      <c r="AA314" s="149"/>
      <c r="AB314" s="149"/>
      <c r="AC314" s="116"/>
      <c r="AD314" s="118"/>
      <c r="AE314" s="118"/>
      <c r="AF314" s="118"/>
      <c r="AG314" s="118"/>
      <c r="AH314" s="117"/>
      <c r="AI314" s="118"/>
      <c r="AJ314" s="116"/>
      <c r="AK314" s="116"/>
      <c r="AL314" s="112"/>
      <c r="AM314" s="116"/>
      <c r="AN314" s="112"/>
      <c r="AO314" s="116"/>
      <c r="AP314" s="130"/>
      <c r="AQ314" s="116"/>
      <c r="AR314" s="112"/>
      <c r="AS314" s="121"/>
      <c r="AT314" s="112"/>
      <c r="AU314" s="432"/>
      <c r="AV314" s="121"/>
    </row>
    <row r="315" spans="1:48" ht="21.1">
      <c r="A315" s="82" t="s">
        <v>998</v>
      </c>
      <c r="B315" s="265"/>
      <c r="C315" s="214"/>
      <c r="D315" s="133"/>
      <c r="E315" s="134"/>
      <c r="F315" s="135"/>
      <c r="G315" s="136"/>
      <c r="H315" s="683"/>
      <c r="I315" s="676"/>
      <c r="J315" s="96" t="s">
        <v>869</v>
      </c>
      <c r="K315" s="96" t="s">
        <v>344</v>
      </c>
      <c r="L315" s="104" t="s">
        <v>344</v>
      </c>
      <c r="M315" s="75" t="s">
        <v>344</v>
      </c>
      <c r="N315" s="75" t="s">
        <v>344</v>
      </c>
      <c r="O315" s="100" t="s">
        <v>344</v>
      </c>
      <c r="P315" s="100" t="s">
        <v>344</v>
      </c>
      <c r="Q315" s="108"/>
      <c r="R315" s="108"/>
      <c r="S315" s="109" t="s">
        <v>344</v>
      </c>
      <c r="T315" s="109" t="s">
        <v>344</v>
      </c>
      <c r="U315" s="100" t="s">
        <v>344</v>
      </c>
      <c r="V315" s="142" t="s">
        <v>344</v>
      </c>
      <c r="W315" s="142" t="s">
        <v>344</v>
      </c>
      <c r="X315" s="100" t="s">
        <v>344</v>
      </c>
      <c r="Y315" s="100" t="s">
        <v>344</v>
      </c>
      <c r="Z315" s="100" t="s">
        <v>344</v>
      </c>
      <c r="AA315" s="142" t="s">
        <v>344</v>
      </c>
      <c r="AB315" s="142" t="s">
        <v>344</v>
      </c>
      <c r="AC315" s="100" t="s">
        <v>344</v>
      </c>
      <c r="AD315" s="109" t="s">
        <v>375</v>
      </c>
      <c r="AE315" s="109"/>
      <c r="AF315" s="109"/>
      <c r="AG315" s="109"/>
      <c r="AH315" s="108"/>
      <c r="AI315" s="109"/>
      <c r="AJ315" s="100"/>
      <c r="AK315" s="100"/>
      <c r="AL315" s="75"/>
      <c r="AM315" s="100"/>
      <c r="AN315" s="75"/>
      <c r="AO315" s="100"/>
      <c r="AP315" s="107"/>
      <c r="AQ315" s="100"/>
      <c r="AR315" s="75"/>
      <c r="AS315" s="111"/>
      <c r="AT315" s="75"/>
      <c r="AU315" s="431"/>
      <c r="AV315" s="111"/>
    </row>
    <row r="316" spans="1:48" ht="16.3">
      <c r="A316" s="246" t="s">
        <v>1</v>
      </c>
      <c r="B316" s="266">
        <f>SUM(L316+M316+N316+O316+P316+U316+X316+Y316+Z316+AC316+AK316+AL316+AK316+AO316+AR316+AS316+AU316+AV316+AW316+AX316)</f>
        <v>0</v>
      </c>
      <c r="C316" s="215">
        <f>SUM(L316+M316+N316+O316+P316+U316+Y316+Z316+X316+AC316+AL316+AK316+AL316+AP316+AS316+AO316+AV316+AW316+AX316+AY307+AR316+AU316)</f>
        <v>0</v>
      </c>
      <c r="D316" s="133"/>
      <c r="E316" s="134"/>
      <c r="F316" s="135"/>
      <c r="G316" s="136"/>
      <c r="H316" s="683"/>
      <c r="I316" s="676"/>
      <c r="J316" s="96"/>
      <c r="K316" s="96"/>
      <c r="L316" s="104"/>
      <c r="M316" s="75"/>
      <c r="N316" s="75"/>
      <c r="O316" s="100"/>
      <c r="P316" s="100"/>
      <c r="Q316" s="108"/>
      <c r="R316" s="108"/>
      <c r="S316" s="109"/>
      <c r="T316" s="109"/>
      <c r="U316" s="100"/>
      <c r="V316" s="142"/>
      <c r="W316" s="142"/>
      <c r="X316" s="100"/>
      <c r="Y316" s="100"/>
      <c r="Z316" s="100"/>
      <c r="AA316" s="142"/>
      <c r="AB316" s="142"/>
      <c r="AC316" s="100"/>
      <c r="AD316" s="109"/>
      <c r="AE316" s="109"/>
      <c r="AF316" s="109"/>
      <c r="AG316" s="109"/>
      <c r="AH316" s="108"/>
      <c r="AI316" s="109"/>
      <c r="AJ316" s="100"/>
      <c r="AK316" s="100"/>
      <c r="AL316" s="75"/>
      <c r="AM316" s="100"/>
      <c r="AN316" s="75"/>
      <c r="AO316" s="100"/>
      <c r="AP316" s="107"/>
      <c r="AQ316" s="100"/>
      <c r="AR316" s="75"/>
      <c r="AS316" s="111"/>
      <c r="AT316" s="75"/>
      <c r="AU316" s="431"/>
      <c r="AV316" s="111"/>
    </row>
    <row r="317" spans="1:48" ht="16.3">
      <c r="A317" s="246" t="s">
        <v>2</v>
      </c>
      <c r="B317" s="266">
        <f>SUM(L317+M317+N317+O317+P317+U317+X317+Y317+Z317+AC317+AK317+AL317+AK317+AO317+AR317+AS317+AU317+AV317+AW317+AX317)</f>
        <v>0</v>
      </c>
      <c r="C317" s="215">
        <f>SUM(L317+M317+N317+O317+P317+U317+Y317+Z317+X317+AC317+AL317+AK317+AL317+AP317+AS317+AO317+AV317+AW317+AX317+AY308+AR317+AU317)</f>
        <v>0</v>
      </c>
      <c r="D317" s="133"/>
      <c r="E317" s="134"/>
      <c r="F317" s="135"/>
      <c r="G317" s="136"/>
      <c r="H317" s="683"/>
      <c r="I317" s="676"/>
      <c r="J317" s="96"/>
      <c r="K317" s="96"/>
      <c r="L317" s="104"/>
      <c r="M317" s="75"/>
      <c r="N317" s="75"/>
      <c r="O317" s="100"/>
      <c r="P317" s="100"/>
      <c r="Q317" s="108"/>
      <c r="R317" s="108"/>
      <c r="S317" s="109"/>
      <c r="T317" s="109"/>
      <c r="U317" s="100"/>
      <c r="V317" s="142"/>
      <c r="W317" s="142"/>
      <c r="X317" s="100"/>
      <c r="Y317" s="100"/>
      <c r="Z317" s="100"/>
      <c r="AA317" s="142"/>
      <c r="AB317" s="142"/>
      <c r="AC317" s="100"/>
      <c r="AD317" s="109">
        <v>1</v>
      </c>
      <c r="AE317" s="109"/>
      <c r="AF317" s="109"/>
      <c r="AG317" s="109"/>
      <c r="AH317" s="108"/>
      <c r="AI317" s="109"/>
      <c r="AJ317" s="100"/>
      <c r="AK317" s="100"/>
      <c r="AL317" s="75"/>
      <c r="AM317" s="100"/>
      <c r="AN317" s="75"/>
      <c r="AO317" s="100"/>
      <c r="AP317" s="107"/>
      <c r="AQ317" s="100"/>
      <c r="AR317" s="75"/>
      <c r="AS317" s="111"/>
      <c r="AT317" s="75"/>
      <c r="AU317" s="431"/>
      <c r="AV317" s="111"/>
    </row>
    <row r="318" spans="1:48" ht="16.3">
      <c r="A318" s="83" t="s">
        <v>363</v>
      </c>
      <c r="B318" s="265">
        <f>SUM(B316+B317)</f>
        <v>0</v>
      </c>
      <c r="C318" s="214">
        <f>SUM(C316+C317)</f>
        <v>0</v>
      </c>
      <c r="D318" s="133"/>
      <c r="E318" s="134"/>
      <c r="F318" s="135"/>
      <c r="G318" s="136"/>
      <c r="H318" s="683"/>
      <c r="I318" s="676"/>
      <c r="J318" s="96"/>
      <c r="K318" s="96"/>
      <c r="L318" s="104"/>
      <c r="M318" s="75"/>
      <c r="N318" s="75"/>
      <c r="O318" s="100"/>
      <c r="P318" s="100"/>
      <c r="Q318" s="108"/>
      <c r="R318" s="108"/>
      <c r="S318" s="109"/>
      <c r="T318" s="109"/>
      <c r="U318" s="100"/>
      <c r="V318" s="142"/>
      <c r="W318" s="142"/>
      <c r="X318" s="100"/>
      <c r="Y318" s="100"/>
      <c r="Z318" s="100"/>
      <c r="AA318" s="142"/>
      <c r="AB318" s="142"/>
      <c r="AC318" s="100"/>
      <c r="AD318" s="109"/>
      <c r="AE318" s="109"/>
      <c r="AF318" s="109"/>
      <c r="AG318" s="109"/>
      <c r="AH318" s="108"/>
      <c r="AI318" s="109"/>
      <c r="AJ318" s="100"/>
      <c r="AK318" s="100"/>
      <c r="AL318" s="75"/>
      <c r="AM318" s="100"/>
      <c r="AN318" s="75"/>
      <c r="AO318" s="100"/>
      <c r="AP318" s="107"/>
      <c r="AQ318" s="100"/>
      <c r="AR318" s="75"/>
      <c r="AS318" s="111"/>
      <c r="AT318" s="75"/>
      <c r="AU318" s="431"/>
      <c r="AV318" s="111"/>
    </row>
    <row r="319" spans="1:48" ht="16.3">
      <c r="A319" s="83" t="s">
        <v>3</v>
      </c>
      <c r="B319" s="265">
        <f>SUM(L319+M319+N319+O319+P319+U319+X319+Y319+Z319+AC319+AK319+AL319+AK319+AO319+AR319+AS319+AU319+AV319+AW319+AX319)</f>
        <v>0</v>
      </c>
      <c r="C319" s="214">
        <f>SUM(L319+M319+N319+O319+P319+U319+Y319+Z319+X319+AC319+AL319+AK319+AL319+AP319+AS319+AO319+AV319+AW319+AX319+AY310+AR319+AU319)</f>
        <v>0</v>
      </c>
      <c r="D319" s="133"/>
      <c r="E319" s="134"/>
      <c r="F319" s="135"/>
      <c r="G319" s="136"/>
      <c r="H319" s="683"/>
      <c r="I319" s="676"/>
      <c r="J319" s="96"/>
      <c r="K319" s="96"/>
      <c r="L319" s="104"/>
      <c r="M319" s="75"/>
      <c r="N319" s="75"/>
      <c r="O319" s="100"/>
      <c r="P319" s="100"/>
      <c r="Q319" s="108"/>
      <c r="R319" s="108"/>
      <c r="S319" s="109"/>
      <c r="T319" s="109"/>
      <c r="U319" s="100"/>
      <c r="V319" s="142"/>
      <c r="W319" s="142"/>
      <c r="X319" s="100"/>
      <c r="Y319" s="100"/>
      <c r="Z319" s="100"/>
      <c r="AA319" s="142"/>
      <c r="AB319" s="142"/>
      <c r="AC319" s="100"/>
      <c r="AD319" s="109"/>
      <c r="AE319" s="109"/>
      <c r="AF319" s="109"/>
      <c r="AG319" s="109"/>
      <c r="AH319" s="108"/>
      <c r="AI319" s="109"/>
      <c r="AJ319" s="100"/>
      <c r="AK319" s="100"/>
      <c r="AL319" s="75"/>
      <c r="AM319" s="100"/>
      <c r="AN319" s="75"/>
      <c r="AO319" s="100"/>
      <c r="AP319" s="107"/>
      <c r="AQ319" s="100"/>
      <c r="AR319" s="75"/>
      <c r="AS319" s="111"/>
      <c r="AT319" s="75"/>
      <c r="AU319" s="431"/>
      <c r="AV319" s="111"/>
    </row>
    <row r="320" spans="1:48" ht="17" thickBot="1">
      <c r="A320" s="85" t="s">
        <v>4</v>
      </c>
      <c r="B320" s="268">
        <f>SUM(L320+M320+N320+O320+P320+U320+X320+Y320+Z320+AC320+AK320+AL320+AK320+AO320+AR320+AS320+AU320+AV320+AW320+AX320)</f>
        <v>0</v>
      </c>
      <c r="C320" s="217">
        <f>SUM(L320+M320+N320+O320+P320+U320+Y320+Z320+X320+AC320+AL320+AK320+AL320+AP320+AS320+AO320+AV320+AW320+AX320+AY313+AR320+AU320)</f>
        <v>0</v>
      </c>
      <c r="D320" s="144"/>
      <c r="E320" s="145"/>
      <c r="F320" s="146"/>
      <c r="G320" s="147"/>
      <c r="H320" s="684"/>
      <c r="I320" s="677"/>
      <c r="J320" s="114"/>
      <c r="K320" s="114"/>
      <c r="L320" s="113"/>
      <c r="M320" s="112"/>
      <c r="N320" s="112"/>
      <c r="O320" s="116"/>
      <c r="P320" s="116"/>
      <c r="Q320" s="117"/>
      <c r="R320" s="117"/>
      <c r="S320" s="118"/>
      <c r="T320" s="118"/>
      <c r="U320" s="116"/>
      <c r="V320" s="149"/>
      <c r="W320" s="149"/>
      <c r="X320" s="116"/>
      <c r="Y320" s="116"/>
      <c r="Z320" s="116"/>
      <c r="AA320" s="149"/>
      <c r="AB320" s="149"/>
      <c r="AC320" s="116"/>
      <c r="AD320" s="118"/>
      <c r="AE320" s="118"/>
      <c r="AF320" s="118"/>
      <c r="AG320" s="118"/>
      <c r="AH320" s="117"/>
      <c r="AI320" s="118"/>
      <c r="AJ320" s="116"/>
      <c r="AK320" s="116"/>
      <c r="AL320" s="112"/>
      <c r="AM320" s="116"/>
      <c r="AN320" s="112"/>
      <c r="AO320" s="116"/>
      <c r="AP320" s="130"/>
      <c r="AQ320" s="116"/>
      <c r="AR320" s="112"/>
      <c r="AS320" s="121"/>
      <c r="AT320" s="112"/>
      <c r="AU320" s="432"/>
      <c r="AV320" s="121"/>
    </row>
    <row r="321" spans="1:48" ht="21.1">
      <c r="A321" s="82" t="s">
        <v>500</v>
      </c>
      <c r="B321" s="265"/>
      <c r="C321" s="214"/>
      <c r="D321" s="133"/>
      <c r="E321" s="134"/>
      <c r="F321" s="135"/>
      <c r="G321" s="136"/>
      <c r="H321" s="683"/>
      <c r="I321" s="676"/>
      <c r="J321" s="96" t="s">
        <v>375</v>
      </c>
      <c r="K321" s="96" t="s">
        <v>375</v>
      </c>
      <c r="L321" s="104" t="s">
        <v>375</v>
      </c>
      <c r="M321" s="75" t="s">
        <v>375</v>
      </c>
      <c r="N321" s="75" t="s">
        <v>375</v>
      </c>
      <c r="O321" s="100" t="s">
        <v>375</v>
      </c>
      <c r="P321" s="100" t="s">
        <v>375</v>
      </c>
      <c r="Q321" s="108"/>
      <c r="R321" s="108"/>
      <c r="S321" s="109" t="s">
        <v>374</v>
      </c>
      <c r="T321" s="109"/>
      <c r="U321" s="100" t="s">
        <v>393</v>
      </c>
      <c r="V321" s="142" t="s">
        <v>375</v>
      </c>
      <c r="W321" s="142" t="s">
        <v>374</v>
      </c>
      <c r="X321" s="100" t="s">
        <v>375</v>
      </c>
      <c r="Y321" s="100" t="s">
        <v>375</v>
      </c>
      <c r="Z321" s="100" t="s">
        <v>375</v>
      </c>
      <c r="AA321" s="142" t="s">
        <v>375</v>
      </c>
      <c r="AB321" s="142" t="s">
        <v>374</v>
      </c>
      <c r="AC321" s="100"/>
      <c r="AD321" s="109"/>
      <c r="AE321" s="109"/>
      <c r="AF321" s="109"/>
      <c r="AG321" s="109"/>
      <c r="AH321" s="108"/>
      <c r="AI321" s="109"/>
      <c r="AJ321" s="100"/>
      <c r="AK321" s="100"/>
      <c r="AL321" s="75"/>
      <c r="AM321" s="100"/>
      <c r="AN321" s="75"/>
      <c r="AO321" s="100"/>
      <c r="AP321" s="107"/>
      <c r="AQ321" s="100"/>
      <c r="AR321" s="75"/>
      <c r="AS321" s="111"/>
      <c r="AT321" s="75"/>
      <c r="AU321" s="431"/>
      <c r="AV321" s="111"/>
    </row>
    <row r="322" spans="1:48" ht="16.3">
      <c r="A322" s="246" t="s">
        <v>1</v>
      </c>
      <c r="B322" s="266">
        <f>SUM(L322+M322+N322+O322+P322+U322+X322+Y322+Z322+AC322+AK322+AL322+AK322+AO322+AR322+AS322+AU322+AV322+AW322+AX322)</f>
        <v>0</v>
      </c>
      <c r="C322" s="215">
        <f>SUM(L322+M322+N322+O322+P322+U322+Y322+Z322+X322+AC322+AL322+AK322+AL322+AP322+AS322+AO322+AV322+AW322+AX322+AY309+AR322+AU322)</f>
        <v>0</v>
      </c>
      <c r="D322" s="133"/>
      <c r="E322" s="134"/>
      <c r="F322" s="135"/>
      <c r="G322" s="136"/>
      <c r="H322" s="683"/>
      <c r="I322" s="676"/>
      <c r="J322" s="96"/>
      <c r="K322" s="96"/>
      <c r="L322" s="104"/>
      <c r="M322" s="75"/>
      <c r="N322" s="75"/>
      <c r="O322" s="100"/>
      <c r="P322" s="100"/>
      <c r="Q322" s="108"/>
      <c r="R322" s="108"/>
      <c r="S322" s="109">
        <v>1</v>
      </c>
      <c r="T322" s="109"/>
      <c r="U322" s="100"/>
      <c r="V322" s="142"/>
      <c r="W322" s="142">
        <v>1</v>
      </c>
      <c r="X322" s="100"/>
      <c r="Y322" s="100"/>
      <c r="Z322" s="100"/>
      <c r="AA322" s="142"/>
      <c r="AB322" s="142">
        <v>1</v>
      </c>
      <c r="AC322" s="100"/>
      <c r="AD322" s="109"/>
      <c r="AE322" s="109"/>
      <c r="AF322" s="109"/>
      <c r="AG322" s="109"/>
      <c r="AH322" s="108"/>
      <c r="AI322" s="109"/>
      <c r="AJ322" s="100"/>
      <c r="AK322" s="100"/>
      <c r="AL322" s="75"/>
      <c r="AM322" s="100"/>
      <c r="AN322" s="75"/>
      <c r="AO322" s="100"/>
      <c r="AP322" s="107"/>
      <c r="AQ322" s="100"/>
      <c r="AR322" s="75"/>
      <c r="AS322" s="111"/>
      <c r="AT322" s="75"/>
      <c r="AU322" s="431"/>
      <c r="AV322" s="111"/>
    </row>
    <row r="323" spans="1:48" ht="16.3">
      <c r="A323" s="246" t="s">
        <v>2</v>
      </c>
      <c r="B323" s="266">
        <f>SUM(L323+M323+N323+O323+P323+U323+X323+Y323+Z323+AC323+AK323+AL323+AK323+AO323+AR323+AS323+AU323+AV323+AW323+AX323)+2</f>
        <v>10</v>
      </c>
      <c r="C323" s="215">
        <f>SUM(L323+M323+N323+O323+P323+U323+Y323+Z323+X323+AC323+AL323+AK323+AL323+AP323+AS323+AO323+AV323+AW323+AX323+AY310+AR323+AU323)+2</f>
        <v>10</v>
      </c>
      <c r="D323" s="133"/>
      <c r="E323" s="134"/>
      <c r="F323" s="135"/>
      <c r="G323" s="136"/>
      <c r="H323" s="683"/>
      <c r="I323" s="676"/>
      <c r="J323" s="96">
        <v>1</v>
      </c>
      <c r="K323" s="96">
        <v>1</v>
      </c>
      <c r="L323" s="104">
        <v>1</v>
      </c>
      <c r="M323" s="75">
        <v>1</v>
      </c>
      <c r="N323" s="75">
        <v>1</v>
      </c>
      <c r="O323" s="100">
        <v>1</v>
      </c>
      <c r="P323" s="100">
        <v>1</v>
      </c>
      <c r="Q323" s="108"/>
      <c r="R323" s="108"/>
      <c r="S323" s="109"/>
      <c r="T323" s="109"/>
      <c r="U323" s="100"/>
      <c r="V323" s="142">
        <v>1</v>
      </c>
      <c r="W323" s="142"/>
      <c r="X323" s="100">
        <v>1</v>
      </c>
      <c r="Y323" s="100">
        <v>1</v>
      </c>
      <c r="Z323" s="100">
        <v>1</v>
      </c>
      <c r="AA323" s="142">
        <v>1</v>
      </c>
      <c r="AB323" s="142"/>
      <c r="AC323" s="100"/>
      <c r="AD323" s="109"/>
      <c r="AE323" s="109"/>
      <c r="AF323" s="109"/>
      <c r="AG323" s="109"/>
      <c r="AH323" s="108"/>
      <c r="AI323" s="109"/>
      <c r="AJ323" s="100"/>
      <c r="AK323" s="100"/>
      <c r="AL323" s="75"/>
      <c r="AM323" s="100"/>
      <c r="AN323" s="75"/>
      <c r="AO323" s="100"/>
      <c r="AP323" s="107"/>
      <c r="AQ323" s="100"/>
      <c r="AR323" s="75"/>
      <c r="AS323" s="111"/>
      <c r="AT323" s="75"/>
      <c r="AU323" s="431"/>
      <c r="AV323" s="111"/>
    </row>
    <row r="324" spans="1:48" ht="16.3">
      <c r="A324" s="83" t="s">
        <v>363</v>
      </c>
      <c r="B324" s="265">
        <f>SUM(B322+B323)</f>
        <v>10</v>
      </c>
      <c r="C324" s="214">
        <f>SUM(C322+C323)</f>
        <v>10</v>
      </c>
      <c r="D324" s="133"/>
      <c r="E324" s="134"/>
      <c r="F324" s="135"/>
      <c r="G324" s="136"/>
      <c r="H324" s="683"/>
      <c r="I324" s="676"/>
      <c r="J324" s="96"/>
      <c r="K324" s="96"/>
      <c r="L324" s="104"/>
      <c r="M324" s="75"/>
      <c r="N324" s="75"/>
      <c r="O324" s="100"/>
      <c r="P324" s="100"/>
      <c r="Q324" s="108"/>
      <c r="R324" s="108"/>
      <c r="S324" s="109"/>
      <c r="T324" s="109"/>
      <c r="U324" s="100"/>
      <c r="V324" s="142"/>
      <c r="W324" s="142"/>
      <c r="X324" s="100"/>
      <c r="Y324" s="100"/>
      <c r="Z324" s="100"/>
      <c r="AA324" s="142"/>
      <c r="AB324" s="142"/>
      <c r="AC324" s="100"/>
      <c r="AD324" s="109"/>
      <c r="AE324" s="109"/>
      <c r="AF324" s="109"/>
      <c r="AG324" s="109"/>
      <c r="AH324" s="108"/>
      <c r="AI324" s="109"/>
      <c r="AJ324" s="100"/>
      <c r="AK324" s="100"/>
      <c r="AL324" s="75"/>
      <c r="AM324" s="100"/>
      <c r="AN324" s="75"/>
      <c r="AO324" s="100"/>
      <c r="AP324" s="107"/>
      <c r="AQ324" s="100"/>
      <c r="AR324" s="75"/>
      <c r="AS324" s="111"/>
      <c r="AT324" s="75"/>
      <c r="AU324" s="431"/>
      <c r="AV324" s="111"/>
    </row>
    <row r="325" spans="1:48" ht="16.3">
      <c r="A325" s="83" t="s">
        <v>3</v>
      </c>
      <c r="B325" s="265">
        <f>SUM(L325+M325+N325+O325+P325+U325+X325+Y325+Z325+AC325+AK325+AL325+AK325+AO325+AR325+AS325+AU325+AV325+AW325+AX325)</f>
        <v>0</v>
      </c>
      <c r="C325" s="214">
        <f>SUM(L325+M325+N325+O325+P325+U325+Y325+Z325+X325+AC325+AL325+AK325+AL325+AP325+AS325+AO325+AV325+AW325+AX325+AY312+AR325+AU325)</f>
        <v>0</v>
      </c>
      <c r="D325" s="133"/>
      <c r="E325" s="134"/>
      <c r="F325" s="135"/>
      <c r="G325" s="136"/>
      <c r="H325" s="683"/>
      <c r="I325" s="676"/>
      <c r="J325" s="96"/>
      <c r="K325" s="96"/>
      <c r="L325" s="104"/>
      <c r="M325" s="75"/>
      <c r="N325" s="75"/>
      <c r="O325" s="100"/>
      <c r="P325" s="100"/>
      <c r="Q325" s="108"/>
      <c r="R325" s="108"/>
      <c r="S325" s="109"/>
      <c r="T325" s="109"/>
      <c r="U325" s="100"/>
      <c r="V325" s="142"/>
      <c r="W325" s="142">
        <v>1</v>
      </c>
      <c r="X325" s="100"/>
      <c r="Y325" s="100"/>
      <c r="Z325" s="100"/>
      <c r="AA325" s="142"/>
      <c r="AB325" s="142"/>
      <c r="AC325" s="100"/>
      <c r="AD325" s="109"/>
      <c r="AE325" s="109"/>
      <c r="AF325" s="109"/>
      <c r="AG325" s="109"/>
      <c r="AH325" s="108"/>
      <c r="AI325" s="109"/>
      <c r="AJ325" s="100"/>
      <c r="AK325" s="100"/>
      <c r="AL325" s="75"/>
      <c r="AM325" s="100"/>
      <c r="AN325" s="75"/>
      <c r="AO325" s="100"/>
      <c r="AP325" s="107"/>
      <c r="AQ325" s="100"/>
      <c r="AR325" s="75"/>
      <c r="AS325" s="111"/>
      <c r="AT325" s="75"/>
      <c r="AU325" s="431"/>
      <c r="AV325" s="111"/>
    </row>
    <row r="326" spans="1:48" ht="17" thickBot="1">
      <c r="A326" s="85" t="s">
        <v>4</v>
      </c>
      <c r="B326" s="268">
        <f>SUM(L326+M326+N326+O326+P326+U326+X326+Y326+Z326+AC326+AK326+AL326+AK326+AO326+AR326+AS326+AU326+AV326+AW326+AX326)</f>
        <v>0</v>
      </c>
      <c r="C326" s="217">
        <f>SUM(L326+M326+N326+O326+P326+U326+Y326+Z326+X326+AC326+AL326+AK326+AL326+AP326+AS326+AO326+AV326+AW326+AX326+AY313+AR326+AU326)</f>
        <v>0</v>
      </c>
      <c r="D326" s="144"/>
      <c r="E326" s="145"/>
      <c r="F326" s="146"/>
      <c r="G326" s="147"/>
      <c r="H326" s="684"/>
      <c r="I326" s="677"/>
      <c r="J326" s="114"/>
      <c r="K326" s="114"/>
      <c r="L326" s="113"/>
      <c r="M326" s="112"/>
      <c r="N326" s="112"/>
      <c r="O326" s="116"/>
      <c r="P326" s="116"/>
      <c r="Q326" s="117"/>
      <c r="R326" s="117"/>
      <c r="S326" s="118"/>
      <c r="T326" s="118"/>
      <c r="U326" s="116"/>
      <c r="V326" s="149"/>
      <c r="W326" s="149">
        <v>5</v>
      </c>
      <c r="X326" s="116"/>
      <c r="Y326" s="116"/>
      <c r="Z326" s="116"/>
      <c r="AA326" s="149"/>
      <c r="AB326" s="149"/>
      <c r="AC326" s="116"/>
      <c r="AD326" s="118"/>
      <c r="AE326" s="118"/>
      <c r="AF326" s="118"/>
      <c r="AG326" s="118"/>
      <c r="AH326" s="117"/>
      <c r="AI326" s="118"/>
      <c r="AJ326" s="116"/>
      <c r="AK326" s="116"/>
      <c r="AL326" s="75"/>
      <c r="AM326" s="116"/>
      <c r="AN326" s="75"/>
      <c r="AO326" s="116"/>
      <c r="AP326" s="107"/>
      <c r="AQ326" s="116"/>
      <c r="AR326" s="75"/>
      <c r="AS326" s="121"/>
      <c r="AT326" s="75"/>
      <c r="AU326" s="431"/>
      <c r="AV326" s="121"/>
    </row>
    <row r="327" spans="1:48" ht="21.1">
      <c r="A327" s="82" t="s">
        <v>398</v>
      </c>
      <c r="B327" s="265"/>
      <c r="C327" s="214"/>
      <c r="D327" s="133"/>
      <c r="E327" s="134"/>
      <c r="F327" s="135"/>
      <c r="G327" s="136"/>
      <c r="H327" s="683"/>
      <c r="I327" s="676"/>
      <c r="J327" s="96"/>
      <c r="K327" s="96"/>
      <c r="L327" s="104"/>
      <c r="M327" s="75"/>
      <c r="N327" s="75"/>
      <c r="O327" s="100"/>
      <c r="P327" s="100"/>
      <c r="Q327" s="108"/>
      <c r="R327" s="108"/>
      <c r="S327" s="109">
        <v>7</v>
      </c>
      <c r="T327" s="109">
        <v>7</v>
      </c>
      <c r="U327" s="100"/>
      <c r="V327" s="142"/>
      <c r="W327" s="142" t="s">
        <v>373</v>
      </c>
      <c r="X327" s="100"/>
      <c r="Y327" s="100"/>
      <c r="Z327" s="100"/>
      <c r="AA327" s="142"/>
      <c r="AB327" s="142"/>
      <c r="AC327" s="100"/>
      <c r="AD327" s="109">
        <v>6</v>
      </c>
      <c r="AE327" s="109">
        <v>7</v>
      </c>
      <c r="AF327" s="109">
        <v>6</v>
      </c>
      <c r="AG327" s="109" t="s">
        <v>382</v>
      </c>
      <c r="AH327" s="108"/>
      <c r="AI327" s="109">
        <v>6</v>
      </c>
      <c r="AJ327" s="100"/>
      <c r="AK327" s="100"/>
      <c r="AL327" s="122"/>
      <c r="AM327" s="100"/>
      <c r="AN327" s="122"/>
      <c r="AO327" s="100"/>
      <c r="AP327" s="131"/>
      <c r="AQ327" s="100"/>
      <c r="AR327" s="122"/>
      <c r="AS327" s="111"/>
      <c r="AT327" s="122"/>
      <c r="AU327" s="430"/>
      <c r="AV327" s="111"/>
    </row>
    <row r="328" spans="1:48" ht="16.3">
      <c r="A328" s="246" t="s">
        <v>1</v>
      </c>
      <c r="B328" s="266">
        <f>SUM(L328+M328+N328+O328+P328+U328+X328+Y328+Z328+AC328+AK328+AL328+AK328+AO328+AR328+AS328+AU328+AV328+AW328+AX328)+3</f>
        <v>3</v>
      </c>
      <c r="C328" s="215">
        <f>SUM(L328+M328+N328+O328+P328+U328+Y328+Z328+X328+AC328+AL328+AK328+AL328+AP328+AS328+AO328+AV328+AW328+AX328+AY321+AR328+AU328)+3</f>
        <v>3</v>
      </c>
      <c r="D328" s="133"/>
      <c r="E328" s="134"/>
      <c r="F328" s="135"/>
      <c r="G328" s="136"/>
      <c r="H328" s="683"/>
      <c r="I328" s="676"/>
      <c r="J328" s="96"/>
      <c r="K328" s="96"/>
      <c r="L328" s="104"/>
      <c r="M328" s="75"/>
      <c r="N328" s="75"/>
      <c r="O328" s="100"/>
      <c r="P328" s="100"/>
      <c r="Q328" s="108"/>
      <c r="R328" s="108"/>
      <c r="S328" s="109">
        <v>1</v>
      </c>
      <c r="T328" s="109">
        <v>1</v>
      </c>
      <c r="U328" s="100"/>
      <c r="V328" s="142"/>
      <c r="W328" s="142">
        <v>1</v>
      </c>
      <c r="X328" s="100"/>
      <c r="Y328" s="100"/>
      <c r="Z328" s="100"/>
      <c r="AA328" s="142"/>
      <c r="AB328" s="142"/>
      <c r="AC328" s="100"/>
      <c r="AD328" s="109">
        <v>1</v>
      </c>
      <c r="AE328" s="109">
        <v>1</v>
      </c>
      <c r="AF328" s="109">
        <v>1</v>
      </c>
      <c r="AG328" s="109">
        <v>1</v>
      </c>
      <c r="AH328" s="108"/>
      <c r="AI328" s="109">
        <v>1</v>
      </c>
      <c r="AJ328" s="100"/>
      <c r="AK328" s="100"/>
      <c r="AL328" s="75"/>
      <c r="AM328" s="100"/>
      <c r="AN328" s="75"/>
      <c r="AO328" s="100"/>
      <c r="AP328" s="107"/>
      <c r="AQ328" s="100"/>
      <c r="AR328" s="75"/>
      <c r="AS328" s="111"/>
      <c r="AT328" s="75"/>
      <c r="AU328" s="431"/>
      <c r="AV328" s="111"/>
    </row>
    <row r="329" spans="1:48" ht="16.3">
      <c r="A329" s="246" t="s">
        <v>2</v>
      </c>
      <c r="B329" s="266">
        <f>SUM(L329+M329+N329+O329+P329+U329+X329+Y329+Z329+AC329+AK329+AL329+AK329+AO329+AR329+AS329+AU329+AV329+AW329+AX329)+5</f>
        <v>5</v>
      </c>
      <c r="C329" s="215">
        <f>SUM(L329+M329+N329+O329+P329+U329+Y329+Z329+X329+AC329+AL329+AK329+AL329+AP329+AS329+AO329+AV329+AW329+AX329+AY322+AR329+AU329)+5</f>
        <v>5</v>
      </c>
      <c r="D329" s="133"/>
      <c r="E329" s="134"/>
      <c r="F329" s="135"/>
      <c r="G329" s="136"/>
      <c r="H329" s="683"/>
      <c r="I329" s="676"/>
      <c r="J329" s="96"/>
      <c r="K329" s="96"/>
      <c r="L329" s="104"/>
      <c r="M329" s="75"/>
      <c r="N329" s="75"/>
      <c r="O329" s="100"/>
      <c r="P329" s="100"/>
      <c r="Q329" s="108"/>
      <c r="R329" s="108"/>
      <c r="S329" s="109"/>
      <c r="T329" s="109"/>
      <c r="U329" s="100"/>
      <c r="V329" s="142"/>
      <c r="W329" s="142"/>
      <c r="X329" s="100"/>
      <c r="Y329" s="100"/>
      <c r="Z329" s="100"/>
      <c r="AA329" s="142"/>
      <c r="AB329" s="142"/>
      <c r="AC329" s="100"/>
      <c r="AD329" s="109"/>
      <c r="AE329" s="109"/>
      <c r="AF329" s="109"/>
      <c r="AG329" s="109"/>
      <c r="AH329" s="108"/>
      <c r="AI329" s="109"/>
      <c r="AJ329" s="100"/>
      <c r="AK329" s="100"/>
      <c r="AL329" s="75"/>
      <c r="AM329" s="100"/>
      <c r="AN329" s="75"/>
      <c r="AO329" s="100"/>
      <c r="AP329" s="107"/>
      <c r="AQ329" s="100"/>
      <c r="AR329" s="75"/>
      <c r="AS329" s="111"/>
      <c r="AT329" s="75"/>
      <c r="AU329" s="431"/>
      <c r="AV329" s="111"/>
    </row>
    <row r="330" spans="1:48" ht="16.3">
      <c r="A330" s="83" t="s">
        <v>363</v>
      </c>
      <c r="B330" s="265">
        <f>SUM(B328+B329)</f>
        <v>8</v>
      </c>
      <c r="C330" s="214">
        <f>SUM(C328+C329)</f>
        <v>8</v>
      </c>
      <c r="D330" s="133"/>
      <c r="E330" s="134"/>
      <c r="F330" s="135"/>
      <c r="G330" s="136"/>
      <c r="H330" s="683"/>
      <c r="I330" s="676"/>
      <c r="J330" s="96"/>
      <c r="K330" s="96"/>
      <c r="L330" s="104"/>
      <c r="M330" s="75"/>
      <c r="N330" s="75"/>
      <c r="O330" s="100"/>
      <c r="P330" s="100"/>
      <c r="Q330" s="108"/>
      <c r="R330" s="108"/>
      <c r="S330" s="109"/>
      <c r="T330" s="109"/>
      <c r="U330" s="100"/>
      <c r="V330" s="142"/>
      <c r="W330" s="142"/>
      <c r="X330" s="100"/>
      <c r="Y330" s="100"/>
      <c r="Z330" s="100"/>
      <c r="AA330" s="142"/>
      <c r="AB330" s="142"/>
      <c r="AC330" s="100"/>
      <c r="AD330" s="109"/>
      <c r="AE330" s="109"/>
      <c r="AF330" s="109"/>
      <c r="AG330" s="109"/>
      <c r="AH330" s="108"/>
      <c r="AI330" s="109"/>
      <c r="AJ330" s="100"/>
      <c r="AK330" s="100"/>
      <c r="AL330" s="75"/>
      <c r="AM330" s="100"/>
      <c r="AN330" s="75"/>
      <c r="AO330" s="100"/>
      <c r="AP330" s="107"/>
      <c r="AQ330" s="100"/>
      <c r="AR330" s="75"/>
      <c r="AS330" s="111"/>
      <c r="AT330" s="75"/>
      <c r="AU330" s="431"/>
      <c r="AV330" s="111"/>
    </row>
    <row r="331" spans="1:48" ht="16.3">
      <c r="A331" s="83" t="s">
        <v>3</v>
      </c>
      <c r="B331" s="265">
        <f>SUM(L331+M331+N331+O331+P331+U331+X331+Y331+Z331+AC331+AK331+AL331+AK331+AO331+AR331+AS331+AU331+AV331+AW331+AX331)+3</f>
        <v>3</v>
      </c>
      <c r="C331" s="214">
        <f>SUM(L331+M331+N331+O331+P331+U331+Y331+Z331+X331+AC331+AL331+AK331+AL331+AP331+AS331+AO331+AV331+AW331+AX331+AY324+AR331+AU331)+3</f>
        <v>3</v>
      </c>
      <c r="D331" s="133"/>
      <c r="E331" s="134"/>
      <c r="F331" s="135"/>
      <c r="G331" s="136"/>
      <c r="H331" s="683"/>
      <c r="I331" s="676"/>
      <c r="J331" s="96"/>
      <c r="K331" s="96"/>
      <c r="L331" s="104"/>
      <c r="M331" s="75"/>
      <c r="N331" s="75"/>
      <c r="O331" s="100"/>
      <c r="P331" s="100"/>
      <c r="Q331" s="108"/>
      <c r="R331" s="108"/>
      <c r="S331" s="109"/>
      <c r="T331" s="109"/>
      <c r="U331" s="100"/>
      <c r="V331" s="142"/>
      <c r="W331" s="142">
        <v>1</v>
      </c>
      <c r="X331" s="100"/>
      <c r="Y331" s="100"/>
      <c r="Z331" s="100"/>
      <c r="AA331" s="142"/>
      <c r="AB331" s="142"/>
      <c r="AC331" s="100"/>
      <c r="AD331" s="109">
        <v>1</v>
      </c>
      <c r="AE331" s="109"/>
      <c r="AF331" s="109"/>
      <c r="AG331" s="109"/>
      <c r="AH331" s="108"/>
      <c r="AI331" s="109"/>
      <c r="AJ331" s="100"/>
      <c r="AK331" s="100"/>
      <c r="AL331" s="75"/>
      <c r="AM331" s="100"/>
      <c r="AN331" s="75"/>
      <c r="AO331" s="100"/>
      <c r="AP331" s="107"/>
      <c r="AQ331" s="100"/>
      <c r="AR331" s="75"/>
      <c r="AS331" s="111"/>
      <c r="AT331" s="75"/>
      <c r="AU331" s="431"/>
      <c r="AV331" s="111"/>
    </row>
    <row r="332" spans="1:48" ht="17" thickBot="1">
      <c r="A332" s="85" t="s">
        <v>4</v>
      </c>
      <c r="B332" s="268">
        <f>SUM(L332+M332+N332+O332+P332+U332+X332+Y332+Z332+AC332+AK332+AL332+AK332+AO332+AR332+AS332+AU332+AV332+AW332+AX332)+15</f>
        <v>15</v>
      </c>
      <c r="C332" s="217">
        <f>SUM(L332+M332+N332+O332+P332+U332+Y332+Z332+X332+AC332+AL332+AK332+AL332+AP332+AS332+AO332+AV332+AW332+AX332+AY325+AR332+AU332)+15</f>
        <v>15</v>
      </c>
      <c r="D332" s="144"/>
      <c r="E332" s="145"/>
      <c r="F332" s="146"/>
      <c r="G332" s="147"/>
      <c r="H332" s="684"/>
      <c r="I332" s="677"/>
      <c r="J332" s="114"/>
      <c r="K332" s="114"/>
      <c r="L332" s="113"/>
      <c r="M332" s="112"/>
      <c r="N332" s="112"/>
      <c r="O332" s="112"/>
      <c r="P332" s="116"/>
      <c r="Q332" s="117"/>
      <c r="R332" s="117"/>
      <c r="S332" s="118"/>
      <c r="T332" s="118"/>
      <c r="U332" s="112"/>
      <c r="V332" s="142"/>
      <c r="W332" s="142">
        <v>5</v>
      </c>
      <c r="X332" s="100"/>
      <c r="Y332" s="100"/>
      <c r="Z332" s="100"/>
      <c r="AA332" s="142"/>
      <c r="AB332" s="142"/>
      <c r="AC332" s="100"/>
      <c r="AD332" s="109">
        <v>5</v>
      </c>
      <c r="AE332" s="109"/>
      <c r="AF332" s="109"/>
      <c r="AG332" s="109"/>
      <c r="AH332" s="108"/>
      <c r="AI332" s="109"/>
      <c r="AJ332" s="100"/>
      <c r="AK332" s="100"/>
      <c r="AL332" s="112"/>
      <c r="AM332" s="100"/>
      <c r="AN332" s="112"/>
      <c r="AO332" s="100"/>
      <c r="AP332" s="130"/>
      <c r="AQ332" s="100"/>
      <c r="AR332" s="112"/>
      <c r="AS332" s="111"/>
      <c r="AT332" s="112"/>
      <c r="AU332" s="432"/>
      <c r="AV332" s="111"/>
    </row>
    <row r="333" spans="1:48" ht="21.1">
      <c r="A333" s="82" t="s">
        <v>17</v>
      </c>
      <c r="B333" s="265"/>
      <c r="C333" s="214"/>
      <c r="D333" s="133"/>
      <c r="E333" s="134"/>
      <c r="F333" s="135"/>
      <c r="G333" s="136"/>
      <c r="H333" s="683"/>
      <c r="I333" s="676"/>
      <c r="J333" s="96">
        <v>6</v>
      </c>
      <c r="K333" s="96">
        <v>6</v>
      </c>
      <c r="L333" s="104" t="s">
        <v>382</v>
      </c>
      <c r="M333" s="75" t="s">
        <v>339</v>
      </c>
      <c r="N333" s="75" t="s">
        <v>339</v>
      </c>
      <c r="O333" s="75" t="s">
        <v>339</v>
      </c>
      <c r="P333" s="75" t="s">
        <v>339</v>
      </c>
      <c r="Q333" s="107"/>
      <c r="R333" s="108"/>
      <c r="S333" s="75" t="s">
        <v>339</v>
      </c>
      <c r="T333" s="96" t="s">
        <v>339</v>
      </c>
      <c r="U333" s="75" t="s">
        <v>339</v>
      </c>
      <c r="V333" s="138" t="s">
        <v>339</v>
      </c>
      <c r="W333" s="138" t="s">
        <v>339</v>
      </c>
      <c r="X333" s="102" t="s">
        <v>339</v>
      </c>
      <c r="Y333" s="102" t="s">
        <v>339</v>
      </c>
      <c r="Z333" s="102" t="s">
        <v>339</v>
      </c>
      <c r="AA333" s="138" t="s">
        <v>339</v>
      </c>
      <c r="AB333" s="138" t="s">
        <v>339</v>
      </c>
      <c r="AC333" s="102" t="s">
        <v>339</v>
      </c>
      <c r="AD333" s="99" t="s">
        <v>339</v>
      </c>
      <c r="AE333" s="99" t="s">
        <v>339</v>
      </c>
      <c r="AF333" s="99" t="s">
        <v>339</v>
      </c>
      <c r="AG333" s="99" t="s">
        <v>339</v>
      </c>
      <c r="AH333" s="98"/>
      <c r="AI333" s="99" t="s">
        <v>339</v>
      </c>
      <c r="AJ333" s="102"/>
      <c r="AK333" s="102"/>
      <c r="AL333" s="122"/>
      <c r="AM333" s="102"/>
      <c r="AN333" s="122"/>
      <c r="AO333" s="102"/>
      <c r="AP333" s="131"/>
      <c r="AQ333" s="102"/>
      <c r="AR333" s="122"/>
      <c r="AS333" s="103"/>
      <c r="AT333" s="122"/>
      <c r="AU333" s="430"/>
      <c r="AV333" s="103"/>
    </row>
    <row r="334" spans="1:48" ht="16.3">
      <c r="A334" s="246" t="s">
        <v>1</v>
      </c>
      <c r="B334" s="266">
        <f>SUM(L334+M334+N334+O334+P334+U334+X334+Y334+Z334+AC334+AK334+AL334+AK334+AO334+AR334+AS334+AU334+AV334+AW334+AX334)+17</f>
        <v>18</v>
      </c>
      <c r="C334" s="215">
        <f>SUM(L334+M334+N334+O334+P334+U334+Y334+Z334+X334+AC334+AL334+AK334+AL334+AP334+AS334+AO334+AV334+AW334+AX334+AY327+AR334+AU334)+17</f>
        <v>18</v>
      </c>
      <c r="D334" s="133"/>
      <c r="E334" s="134"/>
      <c r="F334" s="135"/>
      <c r="G334" s="136"/>
      <c r="H334" s="683"/>
      <c r="I334" s="676"/>
      <c r="J334" s="96">
        <v>1</v>
      </c>
      <c r="K334" s="96">
        <v>1</v>
      </c>
      <c r="L334" s="104">
        <v>1</v>
      </c>
      <c r="M334" s="75"/>
      <c r="N334" s="75"/>
      <c r="O334" s="100"/>
      <c r="P334" s="100"/>
      <c r="Q334" s="108"/>
      <c r="R334" s="108"/>
      <c r="S334" s="109"/>
      <c r="T334" s="109"/>
      <c r="U334" s="100"/>
      <c r="V334" s="142"/>
      <c r="W334" s="142"/>
      <c r="X334" s="100"/>
      <c r="Y334" s="100"/>
      <c r="Z334" s="100"/>
      <c r="AA334" s="142"/>
      <c r="AB334" s="142"/>
      <c r="AC334" s="100"/>
      <c r="AD334" s="109"/>
      <c r="AE334" s="109"/>
      <c r="AF334" s="109"/>
      <c r="AG334" s="109"/>
      <c r="AH334" s="108"/>
      <c r="AI334" s="109"/>
      <c r="AJ334" s="100"/>
      <c r="AK334" s="100"/>
      <c r="AL334" s="75"/>
      <c r="AM334" s="100"/>
      <c r="AN334" s="75"/>
      <c r="AO334" s="100"/>
      <c r="AP334" s="107"/>
      <c r="AQ334" s="100"/>
      <c r="AR334" s="75"/>
      <c r="AS334" s="111"/>
      <c r="AT334" s="75"/>
      <c r="AU334" s="431"/>
      <c r="AV334" s="111"/>
    </row>
    <row r="335" spans="1:48" ht="16.3">
      <c r="A335" s="246" t="s">
        <v>2</v>
      </c>
      <c r="B335" s="266">
        <f>SUM(L335+M335+N335+O335+P335+U335+X335+Y335+Z335+AC335+AK335+AL335+AK335+AO335+AR335+AS335+AU335+AV335+AW335+AX335)+17</f>
        <v>17</v>
      </c>
      <c r="C335" s="215">
        <f>SUM(L335+M335+N335+O335+P335+U335+Y335+Z335+X335+AC335+AL335+AK335+AL335+AP335+AS335+AO335+AV335+AW335+AX335+AY328+AR335+AU335)+17</f>
        <v>17</v>
      </c>
      <c r="D335" s="133"/>
      <c r="E335" s="134"/>
      <c r="F335" s="135"/>
      <c r="G335" s="136"/>
      <c r="H335" s="683"/>
      <c r="I335" s="676"/>
      <c r="J335" s="96"/>
      <c r="K335" s="96"/>
      <c r="L335" s="104"/>
      <c r="M335" s="75"/>
      <c r="N335" s="75"/>
      <c r="O335" s="100"/>
      <c r="P335" s="100"/>
      <c r="Q335" s="108"/>
      <c r="R335" s="108"/>
      <c r="S335" s="109"/>
      <c r="T335" s="109"/>
      <c r="U335" s="100"/>
      <c r="V335" s="142"/>
      <c r="W335" s="142"/>
      <c r="X335" s="100"/>
      <c r="Y335" s="100"/>
      <c r="Z335" s="100"/>
      <c r="AA335" s="142"/>
      <c r="AB335" s="142"/>
      <c r="AC335" s="100"/>
      <c r="AD335" s="109"/>
      <c r="AE335" s="109"/>
      <c r="AF335" s="109"/>
      <c r="AG335" s="109"/>
      <c r="AH335" s="108"/>
      <c r="AI335" s="109"/>
      <c r="AJ335" s="100"/>
      <c r="AK335" s="100"/>
      <c r="AL335" s="75"/>
      <c r="AM335" s="100"/>
      <c r="AN335" s="75"/>
      <c r="AO335" s="100"/>
      <c r="AP335" s="107"/>
      <c r="AQ335" s="100"/>
      <c r="AR335" s="75"/>
      <c r="AS335" s="111"/>
      <c r="AT335" s="75"/>
      <c r="AU335" s="431"/>
      <c r="AV335" s="111"/>
    </row>
    <row r="336" spans="1:48" ht="16.3">
      <c r="A336" s="83" t="s">
        <v>363</v>
      </c>
      <c r="B336" s="265">
        <f>SUM(B334+B335)</f>
        <v>35</v>
      </c>
      <c r="C336" s="214">
        <f>SUM(C334+C335)</f>
        <v>35</v>
      </c>
      <c r="D336" s="133"/>
      <c r="E336" s="134"/>
      <c r="F336" s="135"/>
      <c r="G336" s="136"/>
      <c r="H336" s="683"/>
      <c r="I336" s="676"/>
      <c r="J336" s="96"/>
      <c r="K336" s="96"/>
      <c r="L336" s="104"/>
      <c r="M336" s="75"/>
      <c r="N336" s="75"/>
      <c r="O336" s="100"/>
      <c r="P336" s="100"/>
      <c r="Q336" s="108"/>
      <c r="R336" s="108"/>
      <c r="S336" s="109"/>
      <c r="T336" s="109"/>
      <c r="U336" s="100"/>
      <c r="V336" s="142"/>
      <c r="W336" s="142"/>
      <c r="X336" s="100"/>
      <c r="Y336" s="100"/>
      <c r="Z336" s="100"/>
      <c r="AA336" s="142"/>
      <c r="AB336" s="142"/>
      <c r="AC336" s="100"/>
      <c r="AD336" s="109"/>
      <c r="AE336" s="109"/>
      <c r="AF336" s="109"/>
      <c r="AG336" s="109"/>
      <c r="AH336" s="108"/>
      <c r="AI336" s="109"/>
      <c r="AJ336" s="100"/>
      <c r="AK336" s="100"/>
      <c r="AL336" s="75"/>
      <c r="AM336" s="100"/>
      <c r="AN336" s="75"/>
      <c r="AO336" s="100"/>
      <c r="AP336" s="107"/>
      <c r="AQ336" s="100"/>
      <c r="AR336" s="75"/>
      <c r="AS336" s="111"/>
      <c r="AT336" s="75"/>
      <c r="AU336" s="431"/>
      <c r="AV336" s="111"/>
    </row>
    <row r="337" spans="1:48" ht="16.3">
      <c r="A337" s="83" t="s">
        <v>3</v>
      </c>
      <c r="B337" s="265">
        <f>SUM(L337+M337+N337+O337+P337+U337+X337+Y337+Z337+AC337+AK337+AL337+AK337+AO337+AR337+AS337+AU337+AV337+AW337+AX337)+2</f>
        <v>2</v>
      </c>
      <c r="C337" s="214">
        <f>SUM(L337+M337+N337+O337+P337+U337+Y337+Z337+X337+AC337+AL337+AK337+AL337+AP337+AS337+AO337+AV337+AW337+AX337+AY330+AR337+AU337)+2</f>
        <v>2</v>
      </c>
      <c r="D337" s="133"/>
      <c r="E337" s="134"/>
      <c r="F337" s="135"/>
      <c r="G337" s="136"/>
      <c r="H337" s="683"/>
      <c r="I337" s="676"/>
      <c r="J337" s="96"/>
      <c r="K337" s="96"/>
      <c r="L337" s="104"/>
      <c r="M337" s="75"/>
      <c r="N337" s="75"/>
      <c r="O337" s="100"/>
      <c r="P337" s="100"/>
      <c r="Q337" s="108"/>
      <c r="R337" s="108"/>
      <c r="S337" s="109"/>
      <c r="T337" s="109"/>
      <c r="U337" s="100"/>
      <c r="V337" s="142"/>
      <c r="W337" s="142"/>
      <c r="X337" s="100"/>
      <c r="Y337" s="100"/>
      <c r="Z337" s="100"/>
      <c r="AA337" s="142"/>
      <c r="AB337" s="142"/>
      <c r="AC337" s="100"/>
      <c r="AD337" s="109"/>
      <c r="AE337" s="109"/>
      <c r="AF337" s="109"/>
      <c r="AG337" s="109"/>
      <c r="AH337" s="108"/>
      <c r="AI337" s="109"/>
      <c r="AJ337" s="100"/>
      <c r="AK337" s="100"/>
      <c r="AL337" s="75"/>
      <c r="AM337" s="100"/>
      <c r="AN337" s="75"/>
      <c r="AO337" s="100"/>
      <c r="AP337" s="107"/>
      <c r="AQ337" s="100"/>
      <c r="AR337" s="75"/>
      <c r="AS337" s="111"/>
      <c r="AT337" s="75"/>
      <c r="AU337" s="431"/>
      <c r="AV337" s="111"/>
    </row>
    <row r="338" spans="1:48" ht="17" thickBot="1">
      <c r="A338" s="85" t="s">
        <v>4</v>
      </c>
      <c r="B338" s="268">
        <f>SUM(L338+M338+N338+O338+P338+U338+X338+Y338+Z338+AC338+AK338+AL338+AK338+AO338+AR338+AS338+AU338+AV338+AW338+AX338)+10</f>
        <v>10</v>
      </c>
      <c r="C338" s="217">
        <f>SUM(L338+M338+N338+O338+P338+U338+Y338+Z338+X338+AC338+AL338+AK338+AL338+AP338+AS338+AO338+AV338+AW338+AX338+AY331+AR338+AU338)+10</f>
        <v>10</v>
      </c>
      <c r="D338" s="144"/>
      <c r="E338" s="145"/>
      <c r="F338" s="146"/>
      <c r="G338" s="147"/>
      <c r="H338" s="684"/>
      <c r="I338" s="677"/>
      <c r="J338" s="114"/>
      <c r="K338" s="114"/>
      <c r="L338" s="113"/>
      <c r="M338" s="112"/>
      <c r="N338" s="112"/>
      <c r="O338" s="100"/>
      <c r="P338" s="100"/>
      <c r="Q338" s="108"/>
      <c r="R338" s="108"/>
      <c r="S338" s="109"/>
      <c r="T338" s="109"/>
      <c r="U338" s="100"/>
      <c r="V338" s="142"/>
      <c r="W338" s="142"/>
      <c r="X338" s="100"/>
      <c r="Y338" s="100"/>
      <c r="Z338" s="100"/>
      <c r="AA338" s="142"/>
      <c r="AB338" s="142"/>
      <c r="AC338" s="100"/>
      <c r="AD338" s="109"/>
      <c r="AE338" s="109"/>
      <c r="AF338" s="109"/>
      <c r="AG338" s="109"/>
      <c r="AH338" s="108"/>
      <c r="AI338" s="109"/>
      <c r="AJ338" s="100"/>
      <c r="AK338" s="100"/>
      <c r="AL338" s="75"/>
      <c r="AM338" s="100"/>
      <c r="AN338" s="75"/>
      <c r="AO338" s="100"/>
      <c r="AP338" s="107"/>
      <c r="AQ338" s="100"/>
      <c r="AR338" s="75"/>
      <c r="AS338" s="111"/>
      <c r="AT338" s="75"/>
      <c r="AU338" s="431"/>
      <c r="AV338" s="111"/>
    </row>
    <row r="339" spans="1:48" ht="21.1">
      <c r="A339" s="82" t="s">
        <v>140</v>
      </c>
      <c r="B339" s="265"/>
      <c r="C339" s="214"/>
      <c r="D339" s="133"/>
      <c r="E339" s="134"/>
      <c r="F339" s="135"/>
      <c r="G339" s="136"/>
      <c r="H339" s="683"/>
      <c r="I339" s="676"/>
      <c r="J339" s="96" t="s">
        <v>374</v>
      </c>
      <c r="K339" s="96" t="s">
        <v>374</v>
      </c>
      <c r="L339" s="104" t="s">
        <v>374</v>
      </c>
      <c r="M339" s="75" t="s">
        <v>374</v>
      </c>
      <c r="N339" s="75" t="s">
        <v>374</v>
      </c>
      <c r="O339" s="102"/>
      <c r="P339" s="102"/>
      <c r="Q339" s="98"/>
      <c r="R339" s="98"/>
      <c r="S339" s="99" t="s">
        <v>782</v>
      </c>
      <c r="T339" s="99" t="s">
        <v>339</v>
      </c>
      <c r="U339" s="102" t="s">
        <v>339</v>
      </c>
      <c r="V339" s="138" t="s">
        <v>339</v>
      </c>
      <c r="W339" s="138" t="s">
        <v>339</v>
      </c>
      <c r="X339" s="102" t="s">
        <v>339</v>
      </c>
      <c r="Y339" s="102" t="s">
        <v>339</v>
      </c>
      <c r="Z339" s="102" t="s">
        <v>339</v>
      </c>
      <c r="AA339" s="138" t="s">
        <v>339</v>
      </c>
      <c r="AB339" s="138" t="s">
        <v>339</v>
      </c>
      <c r="AC339" s="102" t="s">
        <v>339</v>
      </c>
      <c r="AD339" s="99" t="s">
        <v>339</v>
      </c>
      <c r="AE339" s="99" t="s">
        <v>339</v>
      </c>
      <c r="AF339" s="99" t="s">
        <v>339</v>
      </c>
      <c r="AG339" s="99" t="s">
        <v>339</v>
      </c>
      <c r="AH339" s="98"/>
      <c r="AI339" s="99" t="s">
        <v>339</v>
      </c>
      <c r="AJ339" s="102"/>
      <c r="AK339" s="102"/>
      <c r="AL339" s="122"/>
      <c r="AM339" s="102"/>
      <c r="AN339" s="122"/>
      <c r="AO339" s="102"/>
      <c r="AP339" s="131"/>
      <c r="AQ339" s="102"/>
      <c r="AR339" s="122"/>
      <c r="AS339" s="103"/>
      <c r="AT339" s="122"/>
      <c r="AU339" s="430"/>
      <c r="AV339" s="103"/>
    </row>
    <row r="340" spans="1:48" ht="16.3">
      <c r="A340" s="246" t="s">
        <v>1</v>
      </c>
      <c r="B340" s="266">
        <f>SUM(L340+M340+N340+O340+P340+U340+X340+Y340+Z340+AC340+AK340+AL340+AK340+AO340+AR340+AS340+AU340+AV340+AW340+AX340)+11</f>
        <v>14</v>
      </c>
      <c r="C340" s="215">
        <f>SUM(L340+M340+N340+O340+P340+U340+Y340+Z340+X340+AC340+AL340+AK340+AL340+AP340+AS340+AO340+AV340+AW340+AX340+AY333+AR340+AU340)+11</f>
        <v>14</v>
      </c>
      <c r="D340" s="133"/>
      <c r="E340" s="134"/>
      <c r="F340" s="135"/>
      <c r="G340" s="136"/>
      <c r="H340" s="683"/>
      <c r="I340" s="676"/>
      <c r="J340" s="96">
        <v>1</v>
      </c>
      <c r="K340" s="96">
        <v>1</v>
      </c>
      <c r="L340" s="104">
        <v>1</v>
      </c>
      <c r="M340" s="75">
        <v>1</v>
      </c>
      <c r="N340" s="75">
        <v>1</v>
      </c>
      <c r="O340" s="100"/>
      <c r="P340" s="100"/>
      <c r="Q340" s="108"/>
      <c r="R340" s="108"/>
      <c r="S340" s="109"/>
      <c r="T340" s="109"/>
      <c r="U340" s="100"/>
      <c r="V340" s="142"/>
      <c r="W340" s="142"/>
      <c r="X340" s="100"/>
      <c r="Y340" s="100"/>
      <c r="Z340" s="100"/>
      <c r="AA340" s="142"/>
      <c r="AB340" s="142"/>
      <c r="AC340" s="100"/>
      <c r="AD340" s="109"/>
      <c r="AE340" s="109"/>
      <c r="AF340" s="109"/>
      <c r="AG340" s="109"/>
      <c r="AH340" s="108"/>
      <c r="AI340" s="109"/>
      <c r="AJ340" s="100"/>
      <c r="AK340" s="100"/>
      <c r="AL340" s="75"/>
      <c r="AM340" s="100"/>
      <c r="AN340" s="75"/>
      <c r="AO340" s="100"/>
      <c r="AP340" s="107"/>
      <c r="AQ340" s="100"/>
      <c r="AR340" s="75"/>
      <c r="AS340" s="111"/>
      <c r="AT340" s="75"/>
      <c r="AU340" s="431"/>
      <c r="AV340" s="111"/>
    </row>
    <row r="341" spans="1:48" ht="16.3">
      <c r="A341" s="246" t="s">
        <v>2</v>
      </c>
      <c r="B341" s="266">
        <f>SUM(L341+M341+N341+O341+P341+U341+X341+Y341+Z341+AC341+AK341+AL341+AK341+AO341+AR341+AS341+AU341+AV341+AW341+AX341)+14</f>
        <v>14</v>
      </c>
      <c r="C341" s="215">
        <f>SUM(L341+M341+N341+O341+P341+U341+Y341+Z341+X341+AC341+AL341+AK341+AL341+AP341+AS341+AO341+AV341+AW341+AX341+AY334+AR341+AU341)+14</f>
        <v>14</v>
      </c>
      <c r="D341" s="133"/>
      <c r="E341" s="134"/>
      <c r="F341" s="135"/>
      <c r="G341" s="136"/>
      <c r="H341" s="683"/>
      <c r="I341" s="676"/>
      <c r="J341" s="96"/>
      <c r="K341" s="96"/>
      <c r="L341" s="104"/>
      <c r="M341" s="75"/>
      <c r="N341" s="75"/>
      <c r="O341" s="100"/>
      <c r="P341" s="100"/>
      <c r="Q341" s="108"/>
      <c r="R341" s="108"/>
      <c r="S341" s="109"/>
      <c r="T341" s="109"/>
      <c r="U341" s="100"/>
      <c r="V341" s="142"/>
      <c r="W341" s="142"/>
      <c r="X341" s="100"/>
      <c r="Y341" s="100"/>
      <c r="Z341" s="100"/>
      <c r="AA341" s="142"/>
      <c r="AB341" s="142"/>
      <c r="AC341" s="100"/>
      <c r="AD341" s="109"/>
      <c r="AE341" s="109"/>
      <c r="AF341" s="109"/>
      <c r="AG341" s="109"/>
      <c r="AH341" s="108"/>
      <c r="AI341" s="109"/>
      <c r="AJ341" s="100"/>
      <c r="AK341" s="100"/>
      <c r="AL341" s="75"/>
      <c r="AM341" s="100"/>
      <c r="AN341" s="75"/>
      <c r="AO341" s="100"/>
      <c r="AP341" s="107"/>
      <c r="AQ341" s="100"/>
      <c r="AR341" s="75"/>
      <c r="AS341" s="111"/>
      <c r="AT341" s="75"/>
      <c r="AU341" s="431"/>
      <c r="AV341" s="111"/>
    </row>
    <row r="342" spans="1:48" ht="16.3">
      <c r="A342" s="83" t="s">
        <v>363</v>
      </c>
      <c r="B342" s="265">
        <f>SUM(B340+B341)</f>
        <v>28</v>
      </c>
      <c r="C342" s="214">
        <f>SUM(C340+C341)</f>
        <v>28</v>
      </c>
      <c r="D342" s="133"/>
      <c r="E342" s="134"/>
      <c r="F342" s="135"/>
      <c r="G342" s="136"/>
      <c r="H342" s="683"/>
      <c r="I342" s="676"/>
      <c r="J342" s="96"/>
      <c r="K342" s="96"/>
      <c r="L342" s="104"/>
      <c r="M342" s="75"/>
      <c r="N342" s="75"/>
      <c r="O342" s="100"/>
      <c r="P342" s="100"/>
      <c r="Q342" s="108"/>
      <c r="R342" s="108"/>
      <c r="S342" s="109"/>
      <c r="T342" s="109"/>
      <c r="U342" s="100"/>
      <c r="V342" s="142"/>
      <c r="W342" s="142"/>
      <c r="X342" s="100"/>
      <c r="Y342" s="100"/>
      <c r="Z342" s="100"/>
      <c r="AA342" s="142"/>
      <c r="AB342" s="142"/>
      <c r="AC342" s="100"/>
      <c r="AD342" s="109"/>
      <c r="AE342" s="109"/>
      <c r="AF342" s="109"/>
      <c r="AG342" s="109"/>
      <c r="AH342" s="108"/>
      <c r="AI342" s="109"/>
      <c r="AJ342" s="100"/>
      <c r="AK342" s="100"/>
      <c r="AL342" s="75"/>
      <c r="AM342" s="100"/>
      <c r="AN342" s="75"/>
      <c r="AO342" s="100"/>
      <c r="AP342" s="107"/>
      <c r="AQ342" s="100"/>
      <c r="AR342" s="75"/>
      <c r="AS342" s="111"/>
      <c r="AT342" s="75"/>
      <c r="AU342" s="431"/>
      <c r="AV342" s="111"/>
    </row>
    <row r="343" spans="1:48" ht="16.3">
      <c r="A343" s="83" t="s">
        <v>3</v>
      </c>
      <c r="B343" s="265">
        <f>SUM(L343+M343+N343+O343+P343+U343+X343+Y343+Z343+AC343+AK343+AL343+AK343+AO343+AR343+AS343+AU343+AV343+AW343+AX343)+3</f>
        <v>6</v>
      </c>
      <c r="C343" s="214">
        <f>SUM(L343+M343+N343+O343+P343+U343+Y343+Z343+X343+AC343+AL343+AK343+AL343+AP343+AS343+AO343+AV343+AW343+AX343+AY336+AR343+AU343)+3</f>
        <v>6</v>
      </c>
      <c r="D343" s="133"/>
      <c r="E343" s="134"/>
      <c r="F343" s="135"/>
      <c r="G343" s="136"/>
      <c r="H343" s="683"/>
      <c r="I343" s="676"/>
      <c r="J343" s="96"/>
      <c r="K343" s="96"/>
      <c r="L343" s="104">
        <v>2</v>
      </c>
      <c r="M343" s="75">
        <v>1</v>
      </c>
      <c r="N343" s="75"/>
      <c r="O343" s="100"/>
      <c r="P343" s="100"/>
      <c r="Q343" s="108"/>
      <c r="R343" s="108"/>
      <c r="S343" s="109"/>
      <c r="T343" s="109"/>
      <c r="U343" s="100"/>
      <c r="V343" s="142"/>
      <c r="W343" s="142"/>
      <c r="X343" s="100"/>
      <c r="Y343" s="100"/>
      <c r="Z343" s="100"/>
      <c r="AA343" s="142"/>
      <c r="AB343" s="142"/>
      <c r="AC343" s="100"/>
      <c r="AD343" s="109"/>
      <c r="AE343" s="109"/>
      <c r="AF343" s="109"/>
      <c r="AG343" s="109"/>
      <c r="AH343" s="108"/>
      <c r="AI343" s="109"/>
      <c r="AJ343" s="100"/>
      <c r="AK343" s="100"/>
      <c r="AL343" s="75"/>
      <c r="AM343" s="100"/>
      <c r="AN343" s="75"/>
      <c r="AO343" s="100"/>
      <c r="AP343" s="107"/>
      <c r="AQ343" s="100"/>
      <c r="AR343" s="75"/>
      <c r="AS343" s="111"/>
      <c r="AT343" s="75"/>
      <c r="AU343" s="431"/>
      <c r="AV343" s="111"/>
    </row>
    <row r="344" spans="1:48" ht="17" thickBot="1">
      <c r="A344" s="85" t="s">
        <v>4</v>
      </c>
      <c r="B344" s="268">
        <f>SUM(L344+M344+N344+O344+P344+U344+X344+Y344+Z344+AC344+AK344+AL344+AK344+AO344+AR344+AS344+AU344+AV344+AW344+AX344)+15</f>
        <v>30</v>
      </c>
      <c r="C344" s="217">
        <f>SUM(L344+M344+N344+O344+P344+U344+Y344+Z344+X344+AC344+AL344+AK344+AL344+AP344+AS344+AO344+AV344+AW344+AX344+AY337+AR344+AU344)+15</f>
        <v>30</v>
      </c>
      <c r="D344" s="144"/>
      <c r="E344" s="145"/>
      <c r="F344" s="146"/>
      <c r="G344" s="147"/>
      <c r="H344" s="684"/>
      <c r="I344" s="677"/>
      <c r="J344" s="114"/>
      <c r="K344" s="114"/>
      <c r="L344" s="113">
        <v>10</v>
      </c>
      <c r="M344" s="112">
        <v>5</v>
      </c>
      <c r="N344" s="112"/>
      <c r="O344" s="100"/>
      <c r="P344" s="100"/>
      <c r="Q344" s="108"/>
      <c r="R344" s="108"/>
      <c r="S344" s="109"/>
      <c r="T344" s="109"/>
      <c r="U344" s="100"/>
      <c r="V344" s="142"/>
      <c r="W344" s="142"/>
      <c r="X344" s="100"/>
      <c r="Y344" s="100"/>
      <c r="Z344" s="100"/>
      <c r="AA344" s="142"/>
      <c r="AB344" s="142"/>
      <c r="AC344" s="100"/>
      <c r="AD344" s="109"/>
      <c r="AE344" s="109"/>
      <c r="AF344" s="109"/>
      <c r="AG344" s="109"/>
      <c r="AH344" s="108"/>
      <c r="AI344" s="109"/>
      <c r="AJ344" s="100"/>
      <c r="AK344" s="100"/>
      <c r="AL344" s="75"/>
      <c r="AM344" s="100"/>
      <c r="AN344" s="75"/>
      <c r="AO344" s="100"/>
      <c r="AP344" s="107"/>
      <c r="AQ344" s="100"/>
      <c r="AR344" s="75"/>
      <c r="AS344" s="111"/>
      <c r="AT344" s="75"/>
      <c r="AU344" s="431"/>
      <c r="AV344" s="111"/>
    </row>
    <row r="345" spans="1:48" ht="21.1">
      <c r="A345" s="82" t="s">
        <v>256</v>
      </c>
      <c r="B345" s="265"/>
      <c r="C345" s="214"/>
      <c r="D345" s="133"/>
      <c r="E345" s="134"/>
      <c r="F345" s="135"/>
      <c r="G345" s="136"/>
      <c r="H345" s="683"/>
      <c r="I345" s="676"/>
      <c r="J345" s="96">
        <v>7</v>
      </c>
      <c r="K345" s="96">
        <v>7</v>
      </c>
      <c r="L345" s="104" t="s">
        <v>339</v>
      </c>
      <c r="M345" s="75" t="s">
        <v>382</v>
      </c>
      <c r="N345" s="75">
        <v>6</v>
      </c>
      <c r="O345" s="102" t="s">
        <v>759</v>
      </c>
      <c r="P345" s="102">
        <v>7</v>
      </c>
      <c r="Q345" s="98"/>
      <c r="R345" s="98"/>
      <c r="S345" s="99"/>
      <c r="T345" s="99"/>
      <c r="U345" s="102">
        <v>7</v>
      </c>
      <c r="V345" s="138">
        <v>7</v>
      </c>
      <c r="W345" s="138" t="s">
        <v>375</v>
      </c>
      <c r="X345" s="102">
        <v>7</v>
      </c>
      <c r="Y345" s="102">
        <v>7</v>
      </c>
      <c r="Z345" s="102" t="s">
        <v>373</v>
      </c>
      <c r="AA345" s="138">
        <v>7</v>
      </c>
      <c r="AB345" s="138">
        <v>7</v>
      </c>
      <c r="AC345" s="102">
        <v>7</v>
      </c>
      <c r="AD345" s="99" t="s">
        <v>816</v>
      </c>
      <c r="AE345" s="99" t="s">
        <v>816</v>
      </c>
      <c r="AF345" s="99" t="s">
        <v>721</v>
      </c>
      <c r="AG345" s="99" t="s">
        <v>721</v>
      </c>
      <c r="AH345" s="98"/>
      <c r="AI345" s="99"/>
      <c r="AJ345" s="102"/>
      <c r="AK345" s="102"/>
      <c r="AL345" s="122"/>
      <c r="AM345" s="102"/>
      <c r="AN345" s="122"/>
      <c r="AO345" s="102"/>
      <c r="AP345" s="131"/>
      <c r="AQ345" s="102"/>
      <c r="AR345" s="122"/>
      <c r="AS345" s="103"/>
      <c r="AT345" s="122"/>
      <c r="AU345" s="430"/>
      <c r="AV345" s="103"/>
    </row>
    <row r="346" spans="1:48" ht="16.3">
      <c r="A346" s="246" t="s">
        <v>1</v>
      </c>
      <c r="B346" s="266">
        <f>SUM(L346+M346+N346+O346+P346+U346+X346+Y346+Z346+AC346+AK346+AL346+AK346+AO346+AR346+AS346+AU346+AV346+AW346+AX346)+28</f>
        <v>37</v>
      </c>
      <c r="C346" s="215">
        <f>SUM(L346+M346+N346+O346+P346+U346+Y346+Z346+X346+AC346+AL346+AK346+AL346+AP346+AS346+AO346+AV346+AW346+AX346+AY339+AR346+AU346)+28</f>
        <v>37</v>
      </c>
      <c r="D346" s="133"/>
      <c r="E346" s="134"/>
      <c r="F346" s="135"/>
      <c r="G346" s="136"/>
      <c r="H346" s="683"/>
      <c r="I346" s="676"/>
      <c r="J346" s="96">
        <v>1</v>
      </c>
      <c r="K346" s="96">
        <v>1</v>
      </c>
      <c r="L346" s="104"/>
      <c r="M346" s="75">
        <v>1</v>
      </c>
      <c r="N346" s="75">
        <v>1</v>
      </c>
      <c r="O346" s="100">
        <v>1</v>
      </c>
      <c r="P346" s="100">
        <v>1</v>
      </c>
      <c r="Q346" s="108"/>
      <c r="R346" s="108"/>
      <c r="S346" s="109"/>
      <c r="T346" s="109"/>
      <c r="U346" s="100">
        <v>1</v>
      </c>
      <c r="V346" s="142">
        <v>1</v>
      </c>
      <c r="W346" s="142"/>
      <c r="X346" s="100">
        <v>1</v>
      </c>
      <c r="Y346" s="100">
        <v>1</v>
      </c>
      <c r="Z346" s="100">
        <v>1</v>
      </c>
      <c r="AA346" s="142">
        <v>1</v>
      </c>
      <c r="AB346" s="142">
        <v>1</v>
      </c>
      <c r="AC346" s="100">
        <v>1</v>
      </c>
      <c r="AD346" s="109"/>
      <c r="AE346" s="109"/>
      <c r="AF346" s="109">
        <v>1</v>
      </c>
      <c r="AG346" s="109">
        <v>1</v>
      </c>
      <c r="AH346" s="108"/>
      <c r="AI346" s="109"/>
      <c r="AJ346" s="100"/>
      <c r="AK346" s="100"/>
      <c r="AL346" s="75"/>
      <c r="AM346" s="100"/>
      <c r="AN346" s="75"/>
      <c r="AO346" s="100"/>
      <c r="AP346" s="107"/>
      <c r="AQ346" s="100"/>
      <c r="AR346" s="75"/>
      <c r="AS346" s="111"/>
      <c r="AT346" s="75"/>
      <c r="AU346" s="431"/>
      <c r="AV346" s="111"/>
    </row>
    <row r="347" spans="1:48" ht="16.3">
      <c r="A347" s="246" t="s">
        <v>2</v>
      </c>
      <c r="B347" s="266">
        <f>SUM(L347+M347+N347+O347+P347+U347+X347+Y347+Z347+AC347+AK347+AL347+AK347+AO347+AR347+AS347+AU347+AV347+AW347+AX347)+2</f>
        <v>2</v>
      </c>
      <c r="C347" s="215">
        <f>SUM(L347+M347+N347+O347+P347+U347+Y347+Z347+X347+AC347+AL347+AK347+AL347+AP347+AS347+AO347+AV347+AW347+AX347+AY340+AR347+AU347)+2</f>
        <v>2</v>
      </c>
      <c r="D347" s="133"/>
      <c r="E347" s="134"/>
      <c r="F347" s="135"/>
      <c r="G347" s="136"/>
      <c r="H347" s="683"/>
      <c r="I347" s="676"/>
      <c r="J347" s="96"/>
      <c r="K347" s="96"/>
      <c r="L347" s="104"/>
      <c r="M347" s="75"/>
      <c r="N347" s="75"/>
      <c r="O347" s="100"/>
      <c r="P347" s="100"/>
      <c r="Q347" s="108"/>
      <c r="R347" s="108"/>
      <c r="S347" s="109"/>
      <c r="T347" s="109"/>
      <c r="U347" s="100"/>
      <c r="V347" s="142"/>
      <c r="W347" s="142">
        <v>1</v>
      </c>
      <c r="X347" s="100"/>
      <c r="Y347" s="100"/>
      <c r="Z347" s="100"/>
      <c r="AA347" s="142"/>
      <c r="AB347" s="142"/>
      <c r="AC347" s="100"/>
      <c r="AD347" s="109"/>
      <c r="AE347" s="109"/>
      <c r="AF347" s="109"/>
      <c r="AG347" s="109"/>
      <c r="AH347" s="108"/>
      <c r="AI347" s="109"/>
      <c r="AJ347" s="100"/>
      <c r="AK347" s="100"/>
      <c r="AL347" s="75"/>
      <c r="AM347" s="100"/>
      <c r="AN347" s="75"/>
      <c r="AO347" s="100"/>
      <c r="AP347" s="107"/>
      <c r="AQ347" s="100"/>
      <c r="AR347" s="75"/>
      <c r="AS347" s="111"/>
      <c r="AT347" s="75"/>
      <c r="AU347" s="431"/>
      <c r="AV347" s="111"/>
    </row>
    <row r="348" spans="1:48" ht="16.3">
      <c r="A348" s="83" t="s">
        <v>363</v>
      </c>
      <c r="B348" s="265">
        <f>SUM(B346+B347)</f>
        <v>39</v>
      </c>
      <c r="C348" s="214">
        <f>SUM(C346+C347)</f>
        <v>39</v>
      </c>
      <c r="D348" s="133"/>
      <c r="E348" s="134"/>
      <c r="F348" s="135"/>
      <c r="G348" s="136"/>
      <c r="H348" s="683"/>
      <c r="I348" s="676"/>
      <c r="J348" s="96"/>
      <c r="K348" s="96"/>
      <c r="L348" s="104"/>
      <c r="M348" s="75"/>
      <c r="N348" s="75"/>
      <c r="O348" s="100"/>
      <c r="P348" s="100"/>
      <c r="Q348" s="108"/>
      <c r="R348" s="108"/>
      <c r="S348" s="109"/>
      <c r="T348" s="109"/>
      <c r="U348" s="100"/>
      <c r="V348" s="142"/>
      <c r="W348" s="142"/>
      <c r="X348" s="100"/>
      <c r="Y348" s="100"/>
      <c r="Z348" s="100"/>
      <c r="AA348" s="142"/>
      <c r="AB348" s="142"/>
      <c r="AC348" s="100"/>
      <c r="AD348" s="109"/>
      <c r="AE348" s="109"/>
      <c r="AF348" s="109"/>
      <c r="AG348" s="109"/>
      <c r="AH348" s="108"/>
      <c r="AI348" s="109"/>
      <c r="AJ348" s="100"/>
      <c r="AK348" s="100"/>
      <c r="AL348" s="75"/>
      <c r="AM348" s="100"/>
      <c r="AN348" s="75"/>
      <c r="AO348" s="100"/>
      <c r="AP348" s="107"/>
      <c r="AQ348" s="100"/>
      <c r="AR348" s="75"/>
      <c r="AS348" s="111"/>
      <c r="AT348" s="75"/>
      <c r="AU348" s="431"/>
      <c r="AV348" s="111"/>
    </row>
    <row r="349" spans="1:48" ht="16.3">
      <c r="A349" s="246" t="s">
        <v>366</v>
      </c>
      <c r="B349" s="266">
        <f>SUM(L349+M349+N349+O349+P349+U349+X349+Y349+Z349+AC349+AK349+AL349+AK349+AO349+AR349+AS349+AU349+AV349+AW349+AX349)</f>
        <v>0</v>
      </c>
      <c r="C349" s="215">
        <f>SUM(L349+M349+N349+O349+P349+U349+Y349+Z349+X349+AC349+AL349+AK349+AL349+AP349+AS349+AO349+AV349+AW349+AX349+AY342+AR349+AU349)</f>
        <v>0</v>
      </c>
      <c r="D349" s="133"/>
      <c r="E349" s="134"/>
      <c r="F349" s="135"/>
      <c r="G349" s="136"/>
      <c r="H349" s="683"/>
      <c r="I349" s="676"/>
      <c r="J349" s="96"/>
      <c r="K349" s="96"/>
      <c r="L349" s="104"/>
      <c r="M349" s="75"/>
      <c r="N349" s="75"/>
      <c r="O349" s="100"/>
      <c r="P349" s="100"/>
      <c r="Q349" s="108"/>
      <c r="R349" s="108"/>
      <c r="S349" s="109"/>
      <c r="T349" s="109"/>
      <c r="U349" s="100"/>
      <c r="V349" s="142"/>
      <c r="W349" s="142"/>
      <c r="X349" s="100"/>
      <c r="Y349" s="100"/>
      <c r="Z349" s="100"/>
      <c r="AA349" s="142"/>
      <c r="AB349" s="142"/>
      <c r="AC349" s="100"/>
      <c r="AD349" s="109"/>
      <c r="AE349" s="109"/>
      <c r="AF349" s="109">
        <v>1</v>
      </c>
      <c r="AG349" s="109">
        <v>1</v>
      </c>
      <c r="AH349" s="108"/>
      <c r="AI349" s="109"/>
      <c r="AJ349" s="100"/>
      <c r="AK349" s="100"/>
      <c r="AL349" s="75"/>
      <c r="AM349" s="100"/>
      <c r="AN349" s="75"/>
      <c r="AO349" s="100"/>
      <c r="AP349" s="107"/>
      <c r="AQ349" s="100"/>
      <c r="AR349" s="75"/>
      <c r="AS349" s="111"/>
      <c r="AT349" s="75"/>
      <c r="AU349" s="431"/>
      <c r="AV349" s="111"/>
    </row>
    <row r="350" spans="1:48" ht="16.3">
      <c r="A350" s="246" t="s">
        <v>362</v>
      </c>
      <c r="B350" s="266">
        <f>SUM(L350+M350+N350+O350+P350+U350+X350+Y350+Z350+AC350+AK350+AL350+AK350+AO350+AR350+AS350+AU350+AV350+AW350+AX350)+1</f>
        <v>1</v>
      </c>
      <c r="C350" s="215">
        <f>SUM(L350+M350+N350+O350+P350+U350+Y350+Z350+X350+AC350+AL350+AK350+AL350+AP350+AS350+AO350+AV350+AW350+AX350+AY342+AR350+AU350)+1</f>
        <v>1</v>
      </c>
      <c r="D350" s="133"/>
      <c r="E350" s="134"/>
      <c r="F350" s="135"/>
      <c r="G350" s="136"/>
      <c r="H350" s="683"/>
      <c r="I350" s="676"/>
      <c r="J350" s="96"/>
      <c r="K350" s="96"/>
      <c r="L350" s="104"/>
      <c r="M350" s="75"/>
      <c r="N350" s="75"/>
      <c r="O350" s="100"/>
      <c r="P350" s="100"/>
      <c r="Q350" s="108"/>
      <c r="R350" s="108"/>
      <c r="S350" s="109"/>
      <c r="T350" s="109"/>
      <c r="U350" s="100"/>
      <c r="V350" s="142"/>
      <c r="W350" s="142"/>
      <c r="X350" s="100"/>
      <c r="Y350" s="100"/>
      <c r="Z350" s="100"/>
      <c r="AA350" s="142"/>
      <c r="AB350" s="142"/>
      <c r="AC350" s="100"/>
      <c r="AD350" s="109"/>
      <c r="AE350" s="109"/>
      <c r="AF350" s="109"/>
      <c r="AG350" s="109"/>
      <c r="AH350" s="108"/>
      <c r="AI350" s="109"/>
      <c r="AJ350" s="100"/>
      <c r="AK350" s="100"/>
      <c r="AL350" s="75"/>
      <c r="AM350" s="100"/>
      <c r="AN350" s="75"/>
      <c r="AO350" s="100"/>
      <c r="AP350" s="107"/>
      <c r="AQ350" s="100"/>
      <c r="AR350" s="75"/>
      <c r="AS350" s="111"/>
      <c r="AT350" s="75"/>
      <c r="AU350" s="431"/>
      <c r="AV350" s="111"/>
    </row>
    <row r="351" spans="1:48" ht="16.3">
      <c r="A351" s="83" t="s">
        <v>3</v>
      </c>
      <c r="B351" s="265">
        <f>SUM(L351+M351+N351+O351+P351+U351+X351+Y351+Z351+AC351+AK351+AL351+AK351+AO351+AR351+AS351+AU351+AV351+AW351+AX351)+3</f>
        <v>3</v>
      </c>
      <c r="C351" s="214">
        <f>SUM(L351+M351+N351+O351+P351+U351+Y351+Z351+X351+AC351+AL351+AK351+AL351+AP351+AS351+AO351+AV351+AW351+AX351+AY343+AR351+AU351)+3</f>
        <v>3</v>
      </c>
      <c r="D351" s="133"/>
      <c r="E351" s="134"/>
      <c r="F351" s="135"/>
      <c r="G351" s="136"/>
      <c r="H351" s="683"/>
      <c r="I351" s="676"/>
      <c r="J351" s="96">
        <v>1</v>
      </c>
      <c r="K351" s="96"/>
      <c r="L351" s="104"/>
      <c r="M351" s="75"/>
      <c r="N351" s="75"/>
      <c r="O351" s="100"/>
      <c r="P351" s="100"/>
      <c r="Q351" s="108"/>
      <c r="R351" s="108"/>
      <c r="S351" s="109"/>
      <c r="T351" s="109"/>
      <c r="U351" s="100"/>
      <c r="V351" s="142"/>
      <c r="W351" s="142"/>
      <c r="X351" s="100"/>
      <c r="Y351" s="100"/>
      <c r="Z351" s="100"/>
      <c r="AA351" s="142"/>
      <c r="AB351" s="142"/>
      <c r="AC351" s="100"/>
      <c r="AD351" s="109"/>
      <c r="AE351" s="109"/>
      <c r="AF351" s="109">
        <v>1</v>
      </c>
      <c r="AG351" s="109"/>
      <c r="AH351" s="108"/>
      <c r="AI351" s="109"/>
      <c r="AJ351" s="100"/>
      <c r="AK351" s="100"/>
      <c r="AL351" s="75"/>
      <c r="AM351" s="100"/>
      <c r="AN351" s="75"/>
      <c r="AO351" s="100"/>
      <c r="AP351" s="107"/>
      <c r="AQ351" s="100"/>
      <c r="AR351" s="75"/>
      <c r="AS351" s="111"/>
      <c r="AT351" s="75"/>
      <c r="AU351" s="431"/>
      <c r="AV351" s="111"/>
    </row>
    <row r="352" spans="1:48" ht="17" thickBot="1">
      <c r="A352" s="85" t="s">
        <v>4</v>
      </c>
      <c r="B352" s="268">
        <f>SUM(L352+M352+N352+O352+P352+U352+X352+Y352+Z352+AC352+AK352+AL352+AK352+AO352+AR352+AS352+AU352+AV352+AW352+AX352)+15</f>
        <v>15</v>
      </c>
      <c r="C352" s="217">
        <f>SUM(L352+M352+N352+O352+P352+U352+Y352+Z352+X352+AC352+AL352+AK352+AL352+AP352+AS352+AO352+AV352+AW352+AX352+AY344+AR352+AU352)+15</f>
        <v>15</v>
      </c>
      <c r="D352" s="144"/>
      <c r="E352" s="145"/>
      <c r="F352" s="146"/>
      <c r="G352" s="147"/>
      <c r="H352" s="684"/>
      <c r="I352" s="677"/>
      <c r="J352" s="114">
        <v>5</v>
      </c>
      <c r="K352" s="114"/>
      <c r="L352" s="113"/>
      <c r="M352" s="112"/>
      <c r="N352" s="112"/>
      <c r="O352" s="100"/>
      <c r="P352" s="100"/>
      <c r="Q352" s="108"/>
      <c r="R352" s="108"/>
      <c r="S352" s="109"/>
      <c r="T352" s="109"/>
      <c r="U352" s="100"/>
      <c r="V352" s="142"/>
      <c r="W352" s="142"/>
      <c r="X352" s="100"/>
      <c r="Y352" s="100"/>
      <c r="Z352" s="100"/>
      <c r="AA352" s="142"/>
      <c r="AB352" s="142"/>
      <c r="AC352" s="100"/>
      <c r="AD352" s="109"/>
      <c r="AE352" s="109"/>
      <c r="AF352" s="109">
        <v>5</v>
      </c>
      <c r="AG352" s="109"/>
      <c r="AH352" s="108"/>
      <c r="AI352" s="109"/>
      <c r="AJ352" s="100"/>
      <c r="AK352" s="100"/>
      <c r="AL352" s="75"/>
      <c r="AM352" s="100"/>
      <c r="AN352" s="75"/>
      <c r="AO352" s="100"/>
      <c r="AP352" s="107"/>
      <c r="AQ352" s="100"/>
      <c r="AR352" s="75"/>
      <c r="AS352" s="111"/>
      <c r="AT352" s="75"/>
      <c r="AU352" s="431"/>
      <c r="AV352" s="111"/>
    </row>
    <row r="353" spans="1:48" ht="21.1">
      <c r="A353" s="82" t="s">
        <v>581</v>
      </c>
      <c r="B353" s="265"/>
      <c r="C353" s="214"/>
      <c r="D353" s="133"/>
      <c r="E353" s="134"/>
      <c r="F353" s="135"/>
      <c r="G353" s="136"/>
      <c r="H353" s="683"/>
      <c r="I353" s="676"/>
      <c r="J353" s="96" t="s">
        <v>662</v>
      </c>
      <c r="K353" s="96" t="s">
        <v>662</v>
      </c>
      <c r="L353" s="104" t="s">
        <v>662</v>
      </c>
      <c r="M353" s="75" t="s">
        <v>662</v>
      </c>
      <c r="N353" s="75"/>
      <c r="O353" s="102" t="s">
        <v>760</v>
      </c>
      <c r="P353" s="102">
        <v>6</v>
      </c>
      <c r="Q353" s="98"/>
      <c r="R353" s="98"/>
      <c r="S353" s="99" t="s">
        <v>662</v>
      </c>
      <c r="T353" s="99" t="s">
        <v>662</v>
      </c>
      <c r="U353" s="102" t="s">
        <v>838</v>
      </c>
      <c r="V353" s="138" t="s">
        <v>382</v>
      </c>
      <c r="W353" s="138"/>
      <c r="X353" s="102" t="s">
        <v>773</v>
      </c>
      <c r="Y353" s="102" t="s">
        <v>382</v>
      </c>
      <c r="Z353" s="102">
        <v>6</v>
      </c>
      <c r="AA353" s="138">
        <v>6</v>
      </c>
      <c r="AB353" s="138" t="s">
        <v>382</v>
      </c>
      <c r="AC353" s="102" t="s">
        <v>382</v>
      </c>
      <c r="AD353" s="99" t="s">
        <v>339</v>
      </c>
      <c r="AE353" s="99" t="s">
        <v>339</v>
      </c>
      <c r="AF353" s="99" t="s">
        <v>339</v>
      </c>
      <c r="AG353" s="99" t="s">
        <v>339</v>
      </c>
      <c r="AH353" s="98"/>
      <c r="AI353" s="99" t="s">
        <v>339</v>
      </c>
      <c r="AJ353" s="102" t="s">
        <v>339</v>
      </c>
      <c r="AK353" s="102"/>
      <c r="AL353" s="122"/>
      <c r="AM353" s="102"/>
      <c r="AN353" s="122"/>
      <c r="AO353" s="102"/>
      <c r="AP353" s="131"/>
      <c r="AQ353" s="102"/>
      <c r="AR353" s="122"/>
      <c r="AS353" s="103"/>
      <c r="AT353" s="122"/>
      <c r="AU353" s="430"/>
      <c r="AV353" s="103"/>
    </row>
    <row r="354" spans="1:48" ht="16.3">
      <c r="A354" s="246" t="s">
        <v>1</v>
      </c>
      <c r="B354" s="266">
        <f>SUM(L354+M354+N354+O354+P354+U354+X354+Y354+Z354+AC354+AK354+AL354+AK354+AO354+AR354+AS354+AU354+AV354+AW354+AX354)</f>
        <v>7</v>
      </c>
      <c r="C354" s="215">
        <f>SUM(L354+M354+N354+O354+P354+U354+Y354+Z354+X354+AC354+AL354+AK354+AL354+AP354+AS354+AO354+AV354+AW354+AX354+AY346+AR354+AU354)</f>
        <v>7</v>
      </c>
      <c r="D354" s="133"/>
      <c r="E354" s="134"/>
      <c r="F354" s="135"/>
      <c r="G354" s="136"/>
      <c r="H354" s="683"/>
      <c r="I354" s="676"/>
      <c r="J354" s="96"/>
      <c r="K354" s="96"/>
      <c r="L354" s="104"/>
      <c r="M354" s="75"/>
      <c r="N354" s="75"/>
      <c r="O354" s="75">
        <v>1</v>
      </c>
      <c r="P354" s="75">
        <v>1</v>
      </c>
      <c r="Q354" s="105"/>
      <c r="R354" s="105"/>
      <c r="S354" s="96"/>
      <c r="T354" s="96"/>
      <c r="U354" s="75">
        <v>1</v>
      </c>
      <c r="V354" s="141">
        <v>1</v>
      </c>
      <c r="W354" s="141"/>
      <c r="X354" s="75">
        <v>1</v>
      </c>
      <c r="Y354" s="75">
        <v>1</v>
      </c>
      <c r="Z354" s="75">
        <v>1</v>
      </c>
      <c r="AA354" s="141">
        <v>1</v>
      </c>
      <c r="AB354" s="141">
        <v>1</v>
      </c>
      <c r="AC354" s="75">
        <v>1</v>
      </c>
      <c r="AD354" s="96"/>
      <c r="AE354" s="96"/>
      <c r="AF354" s="96"/>
      <c r="AG354" s="96"/>
      <c r="AH354" s="105"/>
      <c r="AI354" s="96"/>
      <c r="AJ354" s="75"/>
      <c r="AK354" s="75"/>
      <c r="AL354" s="75"/>
      <c r="AM354" s="75"/>
      <c r="AN354" s="75"/>
      <c r="AO354" s="75"/>
      <c r="AP354" s="107"/>
      <c r="AQ354" s="75"/>
      <c r="AR354" s="75"/>
      <c r="AS354" s="107"/>
      <c r="AT354" s="75"/>
      <c r="AU354" s="431"/>
      <c r="AV354" s="107"/>
    </row>
    <row r="355" spans="1:48" ht="16.3">
      <c r="A355" s="246" t="s">
        <v>2</v>
      </c>
      <c r="B355" s="266">
        <f>SUM(L355+M355+N355+O355+P355+U355+X355+Y355+Z355+AC355+AK355+AL355+AK355+AO355+AR355+AS355+AU355+AV355+AW355+AX355)</f>
        <v>0</v>
      </c>
      <c r="C355" s="215">
        <f>SUM(L355+M355+N355+O355+P355+U355+Y355+Z355+X355+AC355+AL355+AK355+AL355+AP355+AS355+AO355+AV355+AW355+AX355+AY347+AR355+AU355)</f>
        <v>0</v>
      </c>
      <c r="D355" s="133"/>
      <c r="E355" s="134"/>
      <c r="F355" s="135"/>
      <c r="G355" s="136"/>
      <c r="H355" s="683"/>
      <c r="I355" s="676"/>
      <c r="J355" s="96"/>
      <c r="K355" s="96"/>
      <c r="L355" s="104"/>
      <c r="M355" s="75"/>
      <c r="N355" s="75"/>
      <c r="O355" s="100"/>
      <c r="P355" s="100"/>
      <c r="Q355" s="108"/>
      <c r="R355" s="108"/>
      <c r="S355" s="109"/>
      <c r="T355" s="109"/>
      <c r="U355" s="100"/>
      <c r="V355" s="142"/>
      <c r="W355" s="142"/>
      <c r="X355" s="100"/>
      <c r="Y355" s="100"/>
      <c r="Z355" s="100"/>
      <c r="AA355" s="142"/>
      <c r="AB355" s="142"/>
      <c r="AC355" s="100"/>
      <c r="AD355" s="109"/>
      <c r="AE355" s="109"/>
      <c r="AF355" s="109"/>
      <c r="AG355" s="109"/>
      <c r="AH355" s="108"/>
      <c r="AI355" s="109"/>
      <c r="AJ355" s="100"/>
      <c r="AK355" s="100"/>
      <c r="AL355" s="75"/>
      <c r="AM355" s="100"/>
      <c r="AN355" s="75"/>
      <c r="AO355" s="100"/>
      <c r="AP355" s="107"/>
      <c r="AQ355" s="100"/>
      <c r="AR355" s="75"/>
      <c r="AS355" s="111"/>
      <c r="AT355" s="75"/>
      <c r="AU355" s="431"/>
      <c r="AV355" s="111"/>
    </row>
    <row r="356" spans="1:48" ht="16.3">
      <c r="A356" s="83" t="s">
        <v>363</v>
      </c>
      <c r="B356" s="265">
        <f>SUM(B354+B355)</f>
        <v>7</v>
      </c>
      <c r="C356" s="214">
        <f>SUM(C354+C355)</f>
        <v>7</v>
      </c>
      <c r="D356" s="133"/>
      <c r="E356" s="134"/>
      <c r="F356" s="135"/>
      <c r="G356" s="136"/>
      <c r="H356" s="683"/>
      <c r="I356" s="676"/>
      <c r="J356" s="96"/>
      <c r="K356" s="96"/>
      <c r="L356" s="104"/>
      <c r="M356" s="75"/>
      <c r="N356" s="75"/>
      <c r="O356" s="100"/>
      <c r="P356" s="100"/>
      <c r="Q356" s="108"/>
      <c r="R356" s="108"/>
      <c r="S356" s="109"/>
      <c r="T356" s="109"/>
      <c r="U356" s="100"/>
      <c r="V356" s="142"/>
      <c r="W356" s="142"/>
      <c r="X356" s="100"/>
      <c r="Y356" s="100"/>
      <c r="Z356" s="100"/>
      <c r="AA356" s="142"/>
      <c r="AB356" s="142"/>
      <c r="AC356" s="100"/>
      <c r="AD356" s="109"/>
      <c r="AE356" s="109"/>
      <c r="AF356" s="109"/>
      <c r="AG356" s="109"/>
      <c r="AH356" s="108"/>
      <c r="AI356" s="109"/>
      <c r="AJ356" s="100"/>
      <c r="AK356" s="100"/>
      <c r="AL356" s="75"/>
      <c r="AM356" s="100"/>
      <c r="AN356" s="75"/>
      <c r="AO356" s="100"/>
      <c r="AP356" s="107"/>
      <c r="AQ356" s="100"/>
      <c r="AR356" s="75"/>
      <c r="AS356" s="111"/>
      <c r="AT356" s="75"/>
      <c r="AU356" s="431"/>
      <c r="AV356" s="111"/>
    </row>
    <row r="357" spans="1:48" ht="16.3">
      <c r="A357" s="246" t="s">
        <v>362</v>
      </c>
      <c r="B357" s="266">
        <f>SUM(L357+M357+N357+O357+P357+U357+X357+Y357+Z357+AC357+AK357+AL357+AK357+AO357+AR357+AS357+AU357+AV357+AW357+AX357)</f>
        <v>2</v>
      </c>
      <c r="C357" s="215">
        <f>SUM(L357+M357+N357+O357+P357+U357+Y357+Z357+X357+AC357+AL357+AK357+AL357+AP357+AS357+AO357+AV357+AW357+AX357+AY350+AR357+AU357)</f>
        <v>2</v>
      </c>
      <c r="D357" s="133"/>
      <c r="E357" s="134"/>
      <c r="F357" s="135"/>
      <c r="G357" s="136"/>
      <c r="H357" s="683"/>
      <c r="I357" s="676"/>
      <c r="J357" s="96"/>
      <c r="K357" s="96"/>
      <c r="L357" s="104"/>
      <c r="M357" s="75"/>
      <c r="N357" s="75"/>
      <c r="O357" s="100"/>
      <c r="P357" s="100"/>
      <c r="Q357" s="108"/>
      <c r="R357" s="108"/>
      <c r="S357" s="109"/>
      <c r="T357" s="109"/>
      <c r="U357" s="100">
        <v>1</v>
      </c>
      <c r="V357" s="142"/>
      <c r="W357" s="142"/>
      <c r="X357" s="100">
        <v>1</v>
      </c>
      <c r="Y357" s="100"/>
      <c r="Z357" s="100"/>
      <c r="AA357" s="142"/>
      <c r="AB357" s="142"/>
      <c r="AC357" s="100"/>
      <c r="AD357" s="109"/>
      <c r="AE357" s="109"/>
      <c r="AF357" s="109"/>
      <c r="AG357" s="109"/>
      <c r="AH357" s="108"/>
      <c r="AI357" s="109"/>
      <c r="AJ357" s="100"/>
      <c r="AK357" s="100"/>
      <c r="AL357" s="75"/>
      <c r="AM357" s="100"/>
      <c r="AN357" s="75"/>
      <c r="AO357" s="100"/>
      <c r="AP357" s="107"/>
      <c r="AQ357" s="100"/>
      <c r="AR357" s="75"/>
      <c r="AS357" s="111"/>
      <c r="AT357" s="75"/>
      <c r="AU357" s="431"/>
      <c r="AV357" s="111"/>
    </row>
    <row r="358" spans="1:48" ht="16.3">
      <c r="A358" s="83" t="s">
        <v>3</v>
      </c>
      <c r="B358" s="265">
        <f>SUM(L358+M358+N358+O358+P358+U358+X358+Y358+Z358+AC358+AK358+AL358+AK358+AO358+AR358+AS358+AU358+AV358+AW358+AX358)</f>
        <v>0</v>
      </c>
      <c r="C358" s="214">
        <f>SUM(L358+M358+N358+O358+P358+U358+Y358+Z358+X358+AC358+AL358+AK358+AL358+AP358+AS358+AO358+AV358+AW358+AX358+AY350+AR358+AU358)</f>
        <v>0</v>
      </c>
      <c r="D358" s="133"/>
      <c r="E358" s="134"/>
      <c r="F358" s="135"/>
      <c r="G358" s="136"/>
      <c r="H358" s="683"/>
      <c r="I358" s="676"/>
      <c r="J358" s="96"/>
      <c r="K358" s="96"/>
      <c r="L358" s="104"/>
      <c r="M358" s="75"/>
      <c r="N358" s="75"/>
      <c r="O358" s="100"/>
      <c r="P358" s="100"/>
      <c r="Q358" s="108"/>
      <c r="R358" s="108"/>
      <c r="S358" s="109"/>
      <c r="T358" s="109"/>
      <c r="U358" s="100"/>
      <c r="V358" s="142"/>
      <c r="W358" s="142"/>
      <c r="X358" s="100"/>
      <c r="Y358" s="100"/>
      <c r="Z358" s="100"/>
      <c r="AA358" s="142"/>
      <c r="AB358" s="142"/>
      <c r="AC358" s="100"/>
      <c r="AD358" s="109"/>
      <c r="AE358" s="109"/>
      <c r="AF358" s="109"/>
      <c r="AG358" s="109"/>
      <c r="AH358" s="108"/>
      <c r="AI358" s="109"/>
      <c r="AJ358" s="100"/>
      <c r="AK358" s="100"/>
      <c r="AL358" s="75"/>
      <c r="AM358" s="100"/>
      <c r="AN358" s="75"/>
      <c r="AO358" s="100"/>
      <c r="AP358" s="107"/>
      <c r="AQ358" s="100"/>
      <c r="AR358" s="75"/>
      <c r="AS358" s="111"/>
      <c r="AT358" s="75"/>
      <c r="AU358" s="431"/>
      <c r="AV358" s="111"/>
    </row>
    <row r="359" spans="1:48" ht="17" thickBot="1">
      <c r="A359" s="85" t="s">
        <v>4</v>
      </c>
      <c r="B359" s="268">
        <f>SUM(L359+M359+N359+O359+P359+U359+X359+Y359+Z359+AC359+AK359+AL359+AK359+AO359+AR359+AS359+AU359+AV359+AW359+AX359)</f>
        <v>0</v>
      </c>
      <c r="C359" s="217">
        <f>SUM(L359+M359+N359+O359+P359+U359+Y359+Z359+X359+AC359+AL359+AK359+AL359+AP359+AS359+AO359+AV359+AW359+AX359+AY351+AR359+AU359)</f>
        <v>0</v>
      </c>
      <c r="D359" s="144"/>
      <c r="E359" s="145"/>
      <c r="F359" s="146"/>
      <c r="G359" s="147"/>
      <c r="H359" s="684"/>
      <c r="I359" s="677"/>
      <c r="J359" s="114"/>
      <c r="K359" s="114"/>
      <c r="L359" s="113"/>
      <c r="M359" s="112"/>
      <c r="N359" s="112"/>
      <c r="O359" s="100"/>
      <c r="P359" s="100"/>
      <c r="Q359" s="108"/>
      <c r="R359" s="108"/>
      <c r="S359" s="109"/>
      <c r="T359" s="109"/>
      <c r="U359" s="100"/>
      <c r="V359" s="142"/>
      <c r="W359" s="142"/>
      <c r="X359" s="100"/>
      <c r="Y359" s="100"/>
      <c r="Z359" s="100"/>
      <c r="AA359" s="142"/>
      <c r="AB359" s="142"/>
      <c r="AC359" s="100"/>
      <c r="AD359" s="109"/>
      <c r="AE359" s="109"/>
      <c r="AF359" s="109"/>
      <c r="AG359" s="109"/>
      <c r="AH359" s="108"/>
      <c r="AI359" s="109"/>
      <c r="AJ359" s="100"/>
      <c r="AK359" s="100"/>
      <c r="AL359" s="75"/>
      <c r="AM359" s="100"/>
      <c r="AN359" s="75"/>
      <c r="AO359" s="100"/>
      <c r="AP359" s="107"/>
      <c r="AQ359" s="100"/>
      <c r="AR359" s="75"/>
      <c r="AS359" s="111"/>
      <c r="AT359" s="75"/>
      <c r="AU359" s="431"/>
      <c r="AV359" s="111"/>
    </row>
    <row r="360" spans="1:48" ht="21.1">
      <c r="A360" s="82" t="s">
        <v>301</v>
      </c>
      <c r="B360" s="265"/>
      <c r="C360" s="214"/>
      <c r="D360" s="133"/>
      <c r="E360" s="134"/>
      <c r="F360" s="135"/>
      <c r="G360" s="136"/>
      <c r="H360" s="683"/>
      <c r="I360" s="676"/>
      <c r="J360" s="96"/>
      <c r="K360" s="96"/>
      <c r="L360" s="104"/>
      <c r="M360" s="75"/>
      <c r="N360" s="75"/>
      <c r="O360" s="102"/>
      <c r="P360" s="102"/>
      <c r="Q360" s="98"/>
      <c r="R360" s="98"/>
      <c r="S360" s="99" t="s">
        <v>375</v>
      </c>
      <c r="T360" s="99" t="s">
        <v>375</v>
      </c>
      <c r="U360" s="102"/>
      <c r="V360" s="138"/>
      <c r="W360" s="138"/>
      <c r="X360" s="102"/>
      <c r="Y360" s="102"/>
      <c r="Z360" s="102"/>
      <c r="AA360" s="138"/>
      <c r="AB360" s="138"/>
      <c r="AC360" s="102"/>
      <c r="AD360" s="99">
        <v>7</v>
      </c>
      <c r="AE360" s="99" t="s">
        <v>382</v>
      </c>
      <c r="AF360" s="99" t="s">
        <v>373</v>
      </c>
      <c r="AG360" s="99" t="s">
        <v>373</v>
      </c>
      <c r="AH360" s="98"/>
      <c r="AI360" s="99">
        <v>7</v>
      </c>
      <c r="AJ360" s="102"/>
      <c r="AK360" s="102"/>
      <c r="AL360" s="122"/>
      <c r="AM360" s="102"/>
      <c r="AN360" s="122"/>
      <c r="AO360" s="102"/>
      <c r="AP360" s="131"/>
      <c r="AQ360" s="122"/>
      <c r="AR360" s="122"/>
      <c r="AS360" s="131"/>
      <c r="AT360" s="122"/>
      <c r="AU360" s="430"/>
      <c r="AV360" s="103"/>
    </row>
    <row r="361" spans="1:48" ht="16.3">
      <c r="A361" s="246" t="s">
        <v>1</v>
      </c>
      <c r="B361" s="266">
        <f>SUM(L361+M361+N361+O361+P361+U361+X361+Y361+Z361+AC361+AK361+AL361+AK361+AO361+AR361+AS361+AU361+AV361+AW361+AX361)</f>
        <v>0</v>
      </c>
      <c r="C361" s="215">
        <f>SUM(L361+M361+N361+O361+P361+U361+Y361+Z361+X361+AC361+AL361+AK361+AL361+AP361+AS361+AO361+AV361+AW361+AX361+AY353+AR361+AU361)</f>
        <v>0</v>
      </c>
      <c r="D361" s="133"/>
      <c r="E361" s="134"/>
      <c r="F361" s="135"/>
      <c r="G361" s="136"/>
      <c r="H361" s="683"/>
      <c r="I361" s="676"/>
      <c r="J361" s="96"/>
      <c r="K361" s="96"/>
      <c r="L361" s="104"/>
      <c r="M361" s="75"/>
      <c r="N361" s="75"/>
      <c r="O361" s="75"/>
      <c r="P361" s="75"/>
      <c r="Q361" s="105"/>
      <c r="R361" s="105"/>
      <c r="S361" s="96"/>
      <c r="T361" s="96"/>
      <c r="U361" s="75"/>
      <c r="V361" s="141"/>
      <c r="W361" s="141"/>
      <c r="X361" s="75"/>
      <c r="Y361" s="75"/>
      <c r="Z361" s="75"/>
      <c r="AA361" s="141"/>
      <c r="AB361" s="141"/>
      <c r="AC361" s="75"/>
      <c r="AD361" s="96">
        <v>1</v>
      </c>
      <c r="AE361" s="96">
        <v>1</v>
      </c>
      <c r="AF361" s="96">
        <v>1</v>
      </c>
      <c r="AG361" s="96">
        <v>1</v>
      </c>
      <c r="AH361" s="105"/>
      <c r="AI361" s="96">
        <v>1</v>
      </c>
      <c r="AJ361" s="75"/>
      <c r="AK361" s="75"/>
      <c r="AL361" s="75"/>
      <c r="AM361" s="75"/>
      <c r="AN361" s="75"/>
      <c r="AO361" s="75"/>
      <c r="AP361" s="107"/>
      <c r="AQ361" s="75"/>
      <c r="AR361" s="75"/>
      <c r="AS361" s="107"/>
      <c r="AT361" s="75"/>
      <c r="AU361" s="431"/>
      <c r="AV361" s="107"/>
    </row>
    <row r="362" spans="1:48" ht="16.3">
      <c r="A362" s="246" t="s">
        <v>2</v>
      </c>
      <c r="B362" s="266">
        <f>SUM(L362+M362+N362+O362+P362+U362+X362+Y362+Z362+AC362+AK362+AL362+AK362+AO362+AR362+AS362+AU362+AV362+AW362+AX362)</f>
        <v>0</v>
      </c>
      <c r="C362" s="215">
        <f>SUM(L362+M362+N362+O362+P362+U362+Y362+Z362+X362+AC362+AL362+AK362+AL362+AP362+AS362+AO362+AV362+AW362+AX362+AY354+AR362+AU362)</f>
        <v>0</v>
      </c>
      <c r="D362" s="133"/>
      <c r="E362" s="134"/>
      <c r="F362" s="135"/>
      <c r="G362" s="136"/>
      <c r="H362" s="683"/>
      <c r="I362" s="676"/>
      <c r="J362" s="96"/>
      <c r="K362" s="96"/>
      <c r="L362" s="104"/>
      <c r="M362" s="75"/>
      <c r="N362" s="75"/>
      <c r="O362" s="100"/>
      <c r="P362" s="100"/>
      <c r="Q362" s="108"/>
      <c r="R362" s="108"/>
      <c r="S362" s="109">
        <v>1</v>
      </c>
      <c r="T362" s="109">
        <v>1</v>
      </c>
      <c r="U362" s="100"/>
      <c r="V362" s="142"/>
      <c r="W362" s="142"/>
      <c r="X362" s="100"/>
      <c r="Y362" s="100"/>
      <c r="Z362" s="100"/>
      <c r="AA362" s="142"/>
      <c r="AB362" s="142"/>
      <c r="AC362" s="100"/>
      <c r="AD362" s="109"/>
      <c r="AE362" s="109"/>
      <c r="AF362" s="109"/>
      <c r="AG362" s="109"/>
      <c r="AH362" s="108"/>
      <c r="AI362" s="109"/>
      <c r="AJ362" s="100"/>
      <c r="AK362" s="100"/>
      <c r="AL362" s="75"/>
      <c r="AM362" s="100"/>
      <c r="AN362" s="75"/>
      <c r="AO362" s="100"/>
      <c r="AP362" s="107"/>
      <c r="AQ362" s="100"/>
      <c r="AR362" s="75"/>
      <c r="AS362" s="111"/>
      <c r="AT362" s="75"/>
      <c r="AU362" s="431"/>
      <c r="AV362" s="111"/>
    </row>
    <row r="363" spans="1:48" ht="16.3">
      <c r="A363" s="83" t="s">
        <v>363</v>
      </c>
      <c r="B363" s="265">
        <f>SUM(B361+B362)</f>
        <v>0</v>
      </c>
      <c r="C363" s="214">
        <f>SUM(C361+C362)</f>
        <v>0</v>
      </c>
      <c r="D363" s="133"/>
      <c r="E363" s="134"/>
      <c r="F363" s="135"/>
      <c r="G363" s="136"/>
      <c r="H363" s="683"/>
      <c r="I363" s="676"/>
      <c r="J363" s="96"/>
      <c r="K363" s="96"/>
      <c r="L363" s="104"/>
      <c r="M363" s="75"/>
      <c r="N363" s="75"/>
      <c r="O363" s="100"/>
      <c r="P363" s="100"/>
      <c r="Q363" s="108"/>
      <c r="R363" s="108"/>
      <c r="S363" s="109"/>
      <c r="T363" s="109"/>
      <c r="U363" s="100"/>
      <c r="V363" s="142"/>
      <c r="W363" s="142"/>
      <c r="X363" s="100"/>
      <c r="Y363" s="100"/>
      <c r="Z363" s="100"/>
      <c r="AA363" s="142"/>
      <c r="AB363" s="142"/>
      <c r="AC363" s="100"/>
      <c r="AD363" s="109"/>
      <c r="AE363" s="109"/>
      <c r="AF363" s="109"/>
      <c r="AG363" s="109"/>
      <c r="AH363" s="108"/>
      <c r="AI363" s="109"/>
      <c r="AJ363" s="100"/>
      <c r="AK363" s="100"/>
      <c r="AL363" s="75"/>
      <c r="AM363" s="100"/>
      <c r="AN363" s="75"/>
      <c r="AO363" s="100"/>
      <c r="AP363" s="107"/>
      <c r="AQ363" s="100"/>
      <c r="AR363" s="75"/>
      <c r="AS363" s="111"/>
      <c r="AT363" s="75"/>
      <c r="AU363" s="431"/>
      <c r="AV363" s="111"/>
    </row>
    <row r="364" spans="1:48" ht="16.3">
      <c r="A364" s="83" t="s">
        <v>3</v>
      </c>
      <c r="B364" s="265">
        <f>SUM(L364+M364+N364+O364+P364+U364+X364+Y364+Z364+AC364+AK364+AL364+AK364+AO364+AR364+AS364+AU364+AV364+AW364+AX364)</f>
        <v>0</v>
      </c>
      <c r="C364" s="214">
        <f>SUM(L364+M364+N364+O364+P364+U364+Y364+Z364+X364+AC364+AL364+AK364+AL364+AP364+AS364+AO364+AV364+AW364+AX364+AY356+AR364+AU364)</f>
        <v>0</v>
      </c>
      <c r="D364" s="133"/>
      <c r="E364" s="134"/>
      <c r="F364" s="135"/>
      <c r="G364" s="136"/>
      <c r="H364" s="683"/>
      <c r="I364" s="676"/>
      <c r="J364" s="96"/>
      <c r="K364" s="96"/>
      <c r="L364" s="104"/>
      <c r="M364" s="75"/>
      <c r="N364" s="75"/>
      <c r="O364" s="100"/>
      <c r="P364" s="100"/>
      <c r="Q364" s="108"/>
      <c r="R364" s="108"/>
      <c r="S364" s="109"/>
      <c r="T364" s="109"/>
      <c r="U364" s="100"/>
      <c r="V364" s="142"/>
      <c r="W364" s="142"/>
      <c r="X364" s="100"/>
      <c r="Y364" s="100"/>
      <c r="Z364" s="100"/>
      <c r="AA364" s="142"/>
      <c r="AB364" s="142"/>
      <c r="AC364" s="100"/>
      <c r="AD364" s="109"/>
      <c r="AE364" s="109"/>
      <c r="AF364" s="109"/>
      <c r="AG364" s="109"/>
      <c r="AH364" s="108"/>
      <c r="AI364" s="109"/>
      <c r="AJ364" s="100"/>
      <c r="AK364" s="100"/>
      <c r="AL364" s="75"/>
      <c r="AM364" s="100"/>
      <c r="AN364" s="75"/>
      <c r="AO364" s="100"/>
      <c r="AP364" s="107"/>
      <c r="AQ364" s="100"/>
      <c r="AR364" s="75"/>
      <c r="AS364" s="111"/>
      <c r="AT364" s="75"/>
      <c r="AU364" s="431"/>
      <c r="AV364" s="111"/>
    </row>
    <row r="365" spans="1:48" ht="17" thickBot="1">
      <c r="A365" s="85" t="s">
        <v>4</v>
      </c>
      <c r="B365" s="268">
        <f>SUM(L365+M365+N365+O365+P365+U365+X365+Y365+Z365+AC365+AK365+AL365+AK365+AO365+AR365+AS365+AU365+AV365+AW365+AX365)</f>
        <v>0</v>
      </c>
      <c r="C365" s="217">
        <f>SUM(L365+M365+N365+O365+P365+U365+Y365+Z365+X365+AC365+AL365+AK365+AL365+AP365+AS365+AO365+AV365+AW365+AX365+AY358+AR365+AU365)</f>
        <v>0</v>
      </c>
      <c r="D365" s="144"/>
      <c r="E365" s="145"/>
      <c r="F365" s="146"/>
      <c r="G365" s="147"/>
      <c r="H365" s="684"/>
      <c r="I365" s="677"/>
      <c r="J365" s="114"/>
      <c r="K365" s="114"/>
      <c r="L365" s="113"/>
      <c r="M365" s="112"/>
      <c r="N365" s="112"/>
      <c r="O365" s="100"/>
      <c r="P365" s="100"/>
      <c r="Q365" s="108"/>
      <c r="R365" s="108"/>
      <c r="S365" s="109"/>
      <c r="T365" s="109"/>
      <c r="U365" s="100"/>
      <c r="V365" s="142"/>
      <c r="W365" s="142"/>
      <c r="X365" s="100"/>
      <c r="Y365" s="100"/>
      <c r="Z365" s="100"/>
      <c r="AA365" s="142"/>
      <c r="AB365" s="142"/>
      <c r="AC365" s="100"/>
      <c r="AD365" s="109"/>
      <c r="AE365" s="109"/>
      <c r="AF365" s="109"/>
      <c r="AG365" s="109"/>
      <c r="AH365" s="108"/>
      <c r="AI365" s="109"/>
      <c r="AJ365" s="100"/>
      <c r="AK365" s="100"/>
      <c r="AL365" s="112"/>
      <c r="AM365" s="100"/>
      <c r="AN365" s="112"/>
      <c r="AO365" s="100"/>
      <c r="AP365" s="130"/>
      <c r="AQ365" s="100"/>
      <c r="AR365" s="112"/>
      <c r="AS365" s="111"/>
      <c r="AT365" s="112"/>
      <c r="AU365" s="432"/>
      <c r="AV365" s="111"/>
    </row>
    <row r="366" spans="1:48" ht="21.1">
      <c r="A366" s="82" t="s">
        <v>18</v>
      </c>
      <c r="B366" s="265"/>
      <c r="C366" s="214"/>
      <c r="D366" s="133"/>
      <c r="E366" s="134"/>
      <c r="F366" s="135"/>
      <c r="G366" s="136"/>
      <c r="H366" s="683"/>
      <c r="I366" s="676"/>
      <c r="J366" s="96" t="s">
        <v>339</v>
      </c>
      <c r="K366" s="96" t="s">
        <v>339</v>
      </c>
      <c r="L366" s="104" t="s">
        <v>339</v>
      </c>
      <c r="M366" s="75" t="s">
        <v>339</v>
      </c>
      <c r="N366" s="75" t="s">
        <v>339</v>
      </c>
      <c r="O366" s="102" t="s">
        <v>339</v>
      </c>
      <c r="P366" s="102" t="s">
        <v>339</v>
      </c>
      <c r="Q366" s="98"/>
      <c r="R366" s="98"/>
      <c r="S366" s="99" t="s">
        <v>382</v>
      </c>
      <c r="T366" s="99" t="s">
        <v>374</v>
      </c>
      <c r="U366" s="102"/>
      <c r="V366" s="138"/>
      <c r="W366" s="138" t="s">
        <v>382</v>
      </c>
      <c r="X366" s="102" t="s">
        <v>339</v>
      </c>
      <c r="Y366" s="102" t="s">
        <v>339</v>
      </c>
      <c r="Z366" s="102" t="s">
        <v>339</v>
      </c>
      <c r="AA366" s="138" t="s">
        <v>339</v>
      </c>
      <c r="AB366" s="138" t="s">
        <v>375</v>
      </c>
      <c r="AC366" s="102" t="s">
        <v>375</v>
      </c>
      <c r="AD366" s="99">
        <v>8</v>
      </c>
      <c r="AE366" s="99">
        <v>8</v>
      </c>
      <c r="AF366" s="99" t="s">
        <v>372</v>
      </c>
      <c r="AG366" s="99"/>
      <c r="AH366" s="98"/>
      <c r="AI366" s="99"/>
      <c r="AJ366" s="102"/>
      <c r="AK366" s="102"/>
      <c r="AL366" s="122"/>
      <c r="AM366" s="102"/>
      <c r="AN366" s="122"/>
      <c r="AO366" s="102"/>
      <c r="AP366" s="131"/>
      <c r="AQ366" s="102"/>
      <c r="AR366" s="122"/>
      <c r="AS366" s="103"/>
      <c r="AT366" s="122"/>
      <c r="AU366" s="430"/>
      <c r="AV366" s="103"/>
    </row>
    <row r="367" spans="1:48" ht="16.3">
      <c r="A367" s="246" t="s">
        <v>1</v>
      </c>
      <c r="B367" s="266">
        <f>SUM(L367+M367+N367+O367+P367+U367+X367+Y367+Z367+AC367+AK367+AL367+AK367+AO367+AR367+AS367+AU367+AV367+AW367+AX367)+47</f>
        <v>47</v>
      </c>
      <c r="C367" s="215">
        <f>SUM(L367+M367+N367+O367+P367+U367+Y367+Z367+X367+AC367+AL367+AK367+AL367+AP367+AS367+AO367+AV367+AW367+AX367+AY360+AR367+AU367)+47</f>
        <v>47</v>
      </c>
      <c r="D367" s="133"/>
      <c r="E367" s="134"/>
      <c r="F367" s="135"/>
      <c r="G367" s="136"/>
      <c r="H367" s="683"/>
      <c r="I367" s="676"/>
      <c r="J367" s="96"/>
      <c r="K367" s="96"/>
      <c r="L367" s="104"/>
      <c r="M367" s="75"/>
      <c r="N367" s="75"/>
      <c r="O367" s="100"/>
      <c r="P367" s="100"/>
      <c r="Q367" s="108"/>
      <c r="R367" s="108"/>
      <c r="S367" s="109">
        <v>1</v>
      </c>
      <c r="T367" s="109">
        <v>1</v>
      </c>
      <c r="U367" s="100"/>
      <c r="V367" s="142"/>
      <c r="W367" s="142">
        <v>1</v>
      </c>
      <c r="X367" s="100"/>
      <c r="Y367" s="100"/>
      <c r="Z367" s="100"/>
      <c r="AA367" s="142"/>
      <c r="AB367" s="142"/>
      <c r="AC367" s="100"/>
      <c r="AD367" s="109">
        <v>1</v>
      </c>
      <c r="AE367" s="109">
        <v>1</v>
      </c>
      <c r="AF367" s="109">
        <v>1</v>
      </c>
      <c r="AG367" s="109"/>
      <c r="AH367" s="108"/>
      <c r="AI367" s="109"/>
      <c r="AJ367" s="100"/>
      <c r="AK367" s="100"/>
      <c r="AL367" s="75"/>
      <c r="AM367" s="100"/>
      <c r="AN367" s="75"/>
      <c r="AO367" s="100"/>
      <c r="AP367" s="107"/>
      <c r="AQ367" s="100"/>
      <c r="AR367" s="75"/>
      <c r="AS367" s="111"/>
      <c r="AT367" s="75"/>
      <c r="AU367" s="431"/>
      <c r="AV367" s="111"/>
    </row>
    <row r="368" spans="1:48" ht="16.3">
      <c r="A368" s="246" t="s">
        <v>2</v>
      </c>
      <c r="B368" s="266">
        <f>SUM(L368+M368+N368+O368+P368+U368+X368+Y368+Z368+AC368+AK368+AL368+AK368+AO368+AR368+AS368+AU368+AV368+AW368+AX368)+23</f>
        <v>24</v>
      </c>
      <c r="C368" s="215">
        <f>SUM(L368+M368+N368+O368+P368+U368+Y368+Z368+X368+AC368+AL368+AK368+AL368+AP368+AS368+AO368+AV368+AW368+AX368+AY361+AR368+AU368)+23</f>
        <v>24</v>
      </c>
      <c r="D368" s="133"/>
      <c r="E368" s="134"/>
      <c r="F368" s="135"/>
      <c r="G368" s="136"/>
      <c r="H368" s="683"/>
      <c r="I368" s="676"/>
      <c r="J368" s="96"/>
      <c r="K368" s="96"/>
      <c r="L368" s="104"/>
      <c r="M368" s="75"/>
      <c r="N368" s="75"/>
      <c r="O368" s="100"/>
      <c r="P368" s="100"/>
      <c r="Q368" s="108"/>
      <c r="R368" s="108"/>
      <c r="S368" s="109"/>
      <c r="T368" s="109"/>
      <c r="U368" s="100"/>
      <c r="V368" s="142"/>
      <c r="W368" s="142"/>
      <c r="X368" s="100"/>
      <c r="Y368" s="100"/>
      <c r="Z368" s="100"/>
      <c r="AA368" s="142"/>
      <c r="AB368" s="142">
        <v>1</v>
      </c>
      <c r="AC368" s="100">
        <v>1</v>
      </c>
      <c r="AD368" s="109"/>
      <c r="AE368" s="109"/>
      <c r="AF368" s="109"/>
      <c r="AG368" s="109"/>
      <c r="AH368" s="108"/>
      <c r="AI368" s="109"/>
      <c r="AJ368" s="100"/>
      <c r="AK368" s="100"/>
      <c r="AL368" s="75"/>
      <c r="AM368" s="100"/>
      <c r="AN368" s="75"/>
      <c r="AO368" s="100"/>
      <c r="AP368" s="107"/>
      <c r="AQ368" s="100"/>
      <c r="AR368" s="75"/>
      <c r="AS368" s="111"/>
      <c r="AT368" s="75"/>
      <c r="AU368" s="431"/>
      <c r="AV368" s="111"/>
    </row>
    <row r="369" spans="1:48" ht="16.3">
      <c r="A369" s="83" t="s">
        <v>363</v>
      </c>
      <c r="B369" s="265">
        <f>SUM(B367+B368)</f>
        <v>71</v>
      </c>
      <c r="C369" s="214">
        <f>SUM(C367+C368)</f>
        <v>71</v>
      </c>
      <c r="D369" s="133"/>
      <c r="E369" s="134"/>
      <c r="F369" s="135"/>
      <c r="G369" s="136"/>
      <c r="H369" s="683"/>
      <c r="I369" s="676"/>
      <c r="J369" s="96"/>
      <c r="K369" s="96"/>
      <c r="L369" s="104"/>
      <c r="M369" s="75"/>
      <c r="N369" s="75"/>
      <c r="O369" s="100"/>
      <c r="P369" s="100"/>
      <c r="Q369" s="108"/>
      <c r="R369" s="108"/>
      <c r="S369" s="109"/>
      <c r="T369" s="109"/>
      <c r="U369" s="100"/>
      <c r="V369" s="142"/>
      <c r="W369" s="142"/>
      <c r="X369" s="100"/>
      <c r="Y369" s="100"/>
      <c r="Z369" s="100"/>
      <c r="AA369" s="142"/>
      <c r="AB369" s="142"/>
      <c r="AC369" s="100"/>
      <c r="AD369" s="109"/>
      <c r="AE369" s="109"/>
      <c r="AF369" s="109"/>
      <c r="AG369" s="109"/>
      <c r="AH369" s="108"/>
      <c r="AI369" s="109"/>
      <c r="AJ369" s="100"/>
      <c r="AK369" s="100"/>
      <c r="AL369" s="75"/>
      <c r="AM369" s="100"/>
      <c r="AN369" s="75"/>
      <c r="AO369" s="100"/>
      <c r="AP369" s="107"/>
      <c r="AQ369" s="100"/>
      <c r="AR369" s="75"/>
      <c r="AS369" s="111"/>
      <c r="AT369" s="75"/>
      <c r="AU369" s="431"/>
      <c r="AV369" s="111"/>
    </row>
    <row r="370" spans="1:48" ht="16.3">
      <c r="A370" s="246" t="s">
        <v>362</v>
      </c>
      <c r="B370" s="266">
        <f>SUM(L370+M370+N370+O370+P370+U370+X370+Y370+Z370+AC370+AK370+AL370+AK370+AO370+AR370+AS370+AU370+AV370+AW370+AX370)+2</f>
        <v>2</v>
      </c>
      <c r="C370" s="215">
        <f>SUM(L370+M370+N370+O370+P370+U370+Y370+Z370+X370+AC370+AL370+AK370+AL370+AP370+AS370+AO370+AV370+AW370+AX370+AY363+AR370+AU370)+2</f>
        <v>2</v>
      </c>
      <c r="D370" s="133"/>
      <c r="E370" s="134"/>
      <c r="F370" s="135"/>
      <c r="G370" s="136"/>
      <c r="H370" s="683"/>
      <c r="I370" s="676"/>
      <c r="J370" s="96"/>
      <c r="K370" s="96"/>
      <c r="L370" s="104"/>
      <c r="M370" s="75"/>
      <c r="N370" s="75"/>
      <c r="O370" s="100"/>
      <c r="P370" s="100"/>
      <c r="Q370" s="108"/>
      <c r="R370" s="108"/>
      <c r="S370" s="109"/>
      <c r="T370" s="109"/>
      <c r="U370" s="100"/>
      <c r="V370" s="142"/>
      <c r="W370" s="142"/>
      <c r="X370" s="100"/>
      <c r="Y370" s="100"/>
      <c r="Z370" s="100"/>
      <c r="AA370" s="142"/>
      <c r="AB370" s="142"/>
      <c r="AC370" s="100"/>
      <c r="AD370" s="109"/>
      <c r="AE370" s="109"/>
      <c r="AF370" s="109"/>
      <c r="AG370" s="109"/>
      <c r="AH370" s="108"/>
      <c r="AI370" s="109"/>
      <c r="AJ370" s="100"/>
      <c r="AK370" s="100"/>
      <c r="AL370" s="75"/>
      <c r="AM370" s="100"/>
      <c r="AN370" s="75"/>
      <c r="AO370" s="100"/>
      <c r="AP370" s="107"/>
      <c r="AQ370" s="100"/>
      <c r="AR370" s="75"/>
      <c r="AS370" s="111"/>
      <c r="AT370" s="75"/>
      <c r="AU370" s="431"/>
      <c r="AV370" s="111"/>
    </row>
    <row r="371" spans="1:48" ht="16.3">
      <c r="A371" s="83" t="s">
        <v>3</v>
      </c>
      <c r="B371" s="265">
        <f>SUM(L371+M371+N371+O371+P371+U371+X371+Y371+Z371+AC371+AK371+AL371+AK371+AO371+AR371+AS371+AU371+AV371+AW371+AX371)+7</f>
        <v>7</v>
      </c>
      <c r="C371" s="214">
        <f>SUM(L371+M371+N371+O371+P371+U371+Y371+Z371+X371+AC371+AL371+AK371+AL371+AP371+AS371+AO371+AV371+AW371+AX371+AY364+AR371+AU371)+7</f>
        <v>7</v>
      </c>
      <c r="D371" s="133"/>
      <c r="E371" s="134"/>
      <c r="F371" s="135"/>
      <c r="G371" s="136"/>
      <c r="H371" s="683"/>
      <c r="I371" s="676"/>
      <c r="J371" s="96"/>
      <c r="K371" s="96"/>
      <c r="L371" s="104"/>
      <c r="M371" s="75"/>
      <c r="N371" s="75"/>
      <c r="O371" s="100"/>
      <c r="P371" s="100"/>
      <c r="Q371" s="108"/>
      <c r="R371" s="108"/>
      <c r="S371" s="109"/>
      <c r="T371" s="109"/>
      <c r="U371" s="100"/>
      <c r="V371" s="142"/>
      <c r="W371" s="142"/>
      <c r="X371" s="100"/>
      <c r="Y371" s="100"/>
      <c r="Z371" s="100"/>
      <c r="AA371" s="142"/>
      <c r="AB371" s="142"/>
      <c r="AC371" s="100"/>
      <c r="AD371" s="109"/>
      <c r="AE371" s="109"/>
      <c r="AF371" s="109"/>
      <c r="AG371" s="109"/>
      <c r="AH371" s="108"/>
      <c r="AI371" s="109"/>
      <c r="AJ371" s="100"/>
      <c r="AK371" s="100"/>
      <c r="AL371" s="75"/>
      <c r="AM371" s="100"/>
      <c r="AN371" s="75"/>
      <c r="AO371" s="100"/>
      <c r="AP371" s="107"/>
      <c r="AQ371" s="100"/>
      <c r="AR371" s="75"/>
      <c r="AS371" s="111"/>
      <c r="AT371" s="75"/>
      <c r="AU371" s="431"/>
      <c r="AV371" s="111"/>
    </row>
    <row r="372" spans="1:48" ht="17" thickBot="1">
      <c r="A372" s="85" t="s">
        <v>4</v>
      </c>
      <c r="B372" s="268">
        <f>SUM(L372+M372+N372+O372+P372+U372+X372+Y372+Z372+AC372+AK372+AL372+AK372+AO372+AR372+AS372+AU372+AV372+AW372+AX372)+35</f>
        <v>35</v>
      </c>
      <c r="C372" s="217">
        <f>SUM(L372+M372+N372+O372+P372+U372+Y372+Z372+X372+AC372+AL372+AK372+AL372+AP372+AS372+AO372+AV372+AW372+AX372+AY365+AR372+AU372)+35</f>
        <v>35</v>
      </c>
      <c r="D372" s="144"/>
      <c r="E372" s="145"/>
      <c r="F372" s="146"/>
      <c r="G372" s="147"/>
      <c r="H372" s="684"/>
      <c r="I372" s="677"/>
      <c r="J372" s="114"/>
      <c r="K372" s="114"/>
      <c r="L372" s="113"/>
      <c r="M372" s="112"/>
      <c r="N372" s="112"/>
      <c r="O372" s="116"/>
      <c r="P372" s="116"/>
      <c r="Q372" s="117"/>
      <c r="R372" s="117"/>
      <c r="S372" s="118"/>
      <c r="T372" s="118"/>
      <c r="U372" s="116"/>
      <c r="V372" s="149"/>
      <c r="W372" s="149"/>
      <c r="X372" s="116"/>
      <c r="Y372" s="116"/>
      <c r="Z372" s="116"/>
      <c r="AA372" s="149"/>
      <c r="AB372" s="149"/>
      <c r="AC372" s="116"/>
      <c r="AD372" s="118"/>
      <c r="AE372" s="118"/>
      <c r="AF372" s="118"/>
      <c r="AG372" s="118"/>
      <c r="AH372" s="117"/>
      <c r="AI372" s="118"/>
      <c r="AJ372" s="116"/>
      <c r="AK372" s="116"/>
      <c r="AL372" s="75"/>
      <c r="AM372" s="116"/>
      <c r="AN372" s="75"/>
      <c r="AO372" s="116"/>
      <c r="AP372" s="107"/>
      <c r="AQ372" s="116"/>
      <c r="AR372" s="75"/>
      <c r="AS372" s="121"/>
      <c r="AT372" s="75"/>
      <c r="AU372" s="431"/>
      <c r="AV372" s="121"/>
    </row>
    <row r="373" spans="1:48" ht="21.1">
      <c r="A373" s="86" t="s">
        <v>192</v>
      </c>
      <c r="B373" s="265"/>
      <c r="C373" s="214"/>
      <c r="D373" s="133"/>
      <c r="E373" s="134"/>
      <c r="F373" s="135"/>
      <c r="G373" s="136"/>
      <c r="H373" s="683"/>
      <c r="I373" s="676"/>
      <c r="J373" s="96"/>
      <c r="K373" s="96"/>
      <c r="L373" s="122" t="s">
        <v>373</v>
      </c>
      <c r="M373" s="104">
        <v>7</v>
      </c>
      <c r="N373" s="100">
        <v>7</v>
      </c>
      <c r="O373" s="100" t="s">
        <v>374</v>
      </c>
      <c r="P373" s="100" t="s">
        <v>374</v>
      </c>
      <c r="Q373" s="108"/>
      <c r="R373" s="108"/>
      <c r="S373" s="109"/>
      <c r="T373" s="109"/>
      <c r="U373" s="100">
        <v>8</v>
      </c>
      <c r="V373" s="142">
        <v>8</v>
      </c>
      <c r="W373" s="142" t="s">
        <v>441</v>
      </c>
      <c r="X373" s="100">
        <v>8</v>
      </c>
      <c r="Y373" s="100" t="s">
        <v>912</v>
      </c>
      <c r="Z373" s="100">
        <v>8</v>
      </c>
      <c r="AA373" s="142" t="s">
        <v>864</v>
      </c>
      <c r="AB373" s="142"/>
      <c r="AC373" s="100">
        <v>8</v>
      </c>
      <c r="AD373" s="109" t="s">
        <v>775</v>
      </c>
      <c r="AE373" s="109" t="s">
        <v>775</v>
      </c>
      <c r="AF373" s="109" t="s">
        <v>775</v>
      </c>
      <c r="AG373" s="109" t="s">
        <v>375</v>
      </c>
      <c r="AH373" s="108"/>
      <c r="AI373" s="109" t="s">
        <v>374</v>
      </c>
      <c r="AJ373" s="100"/>
      <c r="AK373" s="100"/>
      <c r="AL373" s="122"/>
      <c r="AM373" s="100"/>
      <c r="AN373" s="122"/>
      <c r="AO373" s="100"/>
      <c r="AP373" s="131"/>
      <c r="AQ373" s="100"/>
      <c r="AR373" s="122"/>
      <c r="AS373" s="111"/>
      <c r="AT373" s="122"/>
      <c r="AU373" s="430"/>
      <c r="AV373" s="111"/>
    </row>
    <row r="374" spans="1:48" ht="16.3">
      <c r="A374" s="246" t="s">
        <v>1</v>
      </c>
      <c r="B374" s="266">
        <f>SUM(L374+M374+N374+O374+P374+U374+X374+Y374+Z374+AC374+AK374+AL374+AK374+AO374+AR374+AS374+AU374+AV374+AW374+AX374)+29</f>
        <v>39</v>
      </c>
      <c r="C374" s="215">
        <f>SUM(L374+M374+N374+O374+P374+U374+Y374+Z374+X374+AC374+AL374+AK374+AL374+AP374+AS374+AO374+AV374+AW374+AX374+AY367+AR374+AU374)+29</f>
        <v>39</v>
      </c>
      <c r="D374" s="133"/>
      <c r="E374" s="134"/>
      <c r="F374" s="135"/>
      <c r="G374" s="136"/>
      <c r="H374" s="683"/>
      <c r="I374" s="676"/>
      <c r="J374" s="96"/>
      <c r="K374" s="96"/>
      <c r="L374" s="75">
        <v>1</v>
      </c>
      <c r="M374" s="104">
        <v>1</v>
      </c>
      <c r="N374" s="100">
        <v>1</v>
      </c>
      <c r="O374" s="100">
        <v>1</v>
      </c>
      <c r="P374" s="100">
        <v>1</v>
      </c>
      <c r="Q374" s="108"/>
      <c r="R374" s="108"/>
      <c r="S374" s="109"/>
      <c r="T374" s="109"/>
      <c r="U374" s="100">
        <v>1</v>
      </c>
      <c r="V374" s="142">
        <v>1</v>
      </c>
      <c r="W374" s="142"/>
      <c r="X374" s="100">
        <v>1</v>
      </c>
      <c r="Y374" s="100">
        <v>1</v>
      </c>
      <c r="Z374" s="100">
        <v>1</v>
      </c>
      <c r="AA374" s="142">
        <v>1</v>
      </c>
      <c r="AB374" s="142"/>
      <c r="AC374" s="100">
        <v>1</v>
      </c>
      <c r="AD374" s="109"/>
      <c r="AE374" s="109"/>
      <c r="AF374" s="109"/>
      <c r="AG374" s="109"/>
      <c r="AH374" s="108"/>
      <c r="AI374" s="109">
        <v>1</v>
      </c>
      <c r="AJ374" s="100"/>
      <c r="AK374" s="100"/>
      <c r="AL374" s="75"/>
      <c r="AM374" s="100"/>
      <c r="AN374" s="75"/>
      <c r="AO374" s="100"/>
      <c r="AP374" s="107"/>
      <c r="AQ374" s="100"/>
      <c r="AR374" s="75"/>
      <c r="AS374" s="111"/>
      <c r="AT374" s="75"/>
      <c r="AU374" s="431"/>
      <c r="AV374" s="111"/>
    </row>
    <row r="375" spans="1:48" ht="16.3">
      <c r="A375" s="246" t="s">
        <v>2</v>
      </c>
      <c r="B375" s="266">
        <f>SUM(L375+M375+N375+O375+P375+U375+X375+Y375+Z375+AC375+AK375+AL375+AK375+AO375+AR375+AS375+AU375+AV375+AW375+AX375)+3</f>
        <v>3</v>
      </c>
      <c r="C375" s="215">
        <f>SUM(L375+M375+N375+O375+P375+U375+Y375+Z375+X375+AC375+AL375+AK375+AL375+AP375+AS375+AO375+AV375+AW375+AX375+AY368+AR375+AU375)+3</f>
        <v>3</v>
      </c>
      <c r="D375" s="133"/>
      <c r="E375" s="134"/>
      <c r="F375" s="135"/>
      <c r="G375" s="136"/>
      <c r="H375" s="683"/>
      <c r="I375" s="676"/>
      <c r="J375" s="96"/>
      <c r="K375" s="96"/>
      <c r="L375" s="75"/>
      <c r="M375" s="104"/>
      <c r="N375" s="100"/>
      <c r="O375" s="100"/>
      <c r="P375" s="100"/>
      <c r="Q375" s="108"/>
      <c r="R375" s="108"/>
      <c r="S375" s="109"/>
      <c r="T375" s="109"/>
      <c r="U375" s="100"/>
      <c r="V375" s="142"/>
      <c r="W375" s="142">
        <v>1</v>
      </c>
      <c r="X375" s="100"/>
      <c r="Y375" s="100"/>
      <c r="Z375" s="100"/>
      <c r="AA375" s="142"/>
      <c r="AB375" s="142"/>
      <c r="AC375" s="100"/>
      <c r="AD375" s="109"/>
      <c r="AE375" s="109"/>
      <c r="AF375" s="109"/>
      <c r="AG375" s="109">
        <v>1</v>
      </c>
      <c r="AH375" s="108"/>
      <c r="AI375" s="109"/>
      <c r="AJ375" s="100"/>
      <c r="AK375" s="100"/>
      <c r="AL375" s="75"/>
      <c r="AM375" s="100"/>
      <c r="AN375" s="75"/>
      <c r="AO375" s="100"/>
      <c r="AP375" s="107"/>
      <c r="AQ375" s="100"/>
      <c r="AR375" s="75"/>
      <c r="AS375" s="111"/>
      <c r="AT375" s="75"/>
      <c r="AU375" s="431"/>
      <c r="AV375" s="111"/>
    </row>
    <row r="376" spans="1:48" ht="16.3">
      <c r="A376" s="83" t="s">
        <v>363</v>
      </c>
      <c r="B376" s="265">
        <f>SUM(B374+B375)</f>
        <v>42</v>
      </c>
      <c r="C376" s="214">
        <f>SUM(C374+C375)</f>
        <v>42</v>
      </c>
      <c r="D376" s="133"/>
      <c r="E376" s="134"/>
      <c r="F376" s="135"/>
      <c r="G376" s="136"/>
      <c r="H376" s="683"/>
      <c r="I376" s="676"/>
      <c r="J376" s="96"/>
      <c r="K376" s="96"/>
      <c r="L376" s="75"/>
      <c r="M376" s="104"/>
      <c r="N376" s="100"/>
      <c r="O376" s="100"/>
      <c r="P376" s="100"/>
      <c r="Q376" s="108"/>
      <c r="R376" s="108"/>
      <c r="S376" s="109"/>
      <c r="T376" s="109"/>
      <c r="U376" s="100"/>
      <c r="V376" s="142"/>
      <c r="W376" s="142"/>
      <c r="X376" s="100"/>
      <c r="Y376" s="100"/>
      <c r="Z376" s="100"/>
      <c r="AA376" s="142"/>
      <c r="AB376" s="142"/>
      <c r="AC376" s="100"/>
      <c r="AD376" s="109"/>
      <c r="AE376" s="109"/>
      <c r="AF376" s="109"/>
      <c r="AG376" s="109"/>
      <c r="AH376" s="108"/>
      <c r="AI376" s="109"/>
      <c r="AJ376" s="100"/>
      <c r="AK376" s="100"/>
      <c r="AL376" s="75"/>
      <c r="AM376" s="100"/>
      <c r="AN376" s="75"/>
      <c r="AO376" s="100"/>
      <c r="AP376" s="107"/>
      <c r="AQ376" s="100"/>
      <c r="AR376" s="75"/>
      <c r="AS376" s="111"/>
      <c r="AT376" s="75"/>
      <c r="AU376" s="431"/>
      <c r="AV376" s="111"/>
    </row>
    <row r="377" spans="1:48" ht="16.3">
      <c r="A377" s="246" t="s">
        <v>362</v>
      </c>
      <c r="B377" s="266">
        <f>SUM(L377+M377+N377+O377+P377+U377+X377+Y377+Z377+AC377+AK377+AL377+AK377+AO377+AR377+AS377+AU377+AV377+AW377+AX377)</f>
        <v>0</v>
      </c>
      <c r="C377" s="215">
        <f>SUM(L377+M377+N377+O377+P377+U377+Y377+Z377+X377+AC377+AL377+AK377+AL377+AP377+AS377+AO377+AV377+AW377+AX377+AY370+AR377+AU377)</f>
        <v>0</v>
      </c>
      <c r="D377" s="133"/>
      <c r="E377" s="134"/>
      <c r="F377" s="135"/>
      <c r="G377" s="136"/>
      <c r="H377" s="683"/>
      <c r="I377" s="676"/>
      <c r="J377" s="96"/>
      <c r="K377" s="96"/>
      <c r="L377" s="75"/>
      <c r="M377" s="104"/>
      <c r="N377" s="100"/>
      <c r="O377" s="100"/>
      <c r="P377" s="100"/>
      <c r="Q377" s="108"/>
      <c r="R377" s="108"/>
      <c r="S377" s="109"/>
      <c r="T377" s="109"/>
      <c r="U377" s="100"/>
      <c r="V377" s="142"/>
      <c r="W377" s="142">
        <v>1</v>
      </c>
      <c r="X377" s="100"/>
      <c r="Y377" s="100"/>
      <c r="Z377" s="100"/>
      <c r="AA377" s="142">
        <v>1</v>
      </c>
      <c r="AB377" s="142"/>
      <c r="AC377" s="100"/>
      <c r="AD377" s="109"/>
      <c r="AE377" s="109"/>
      <c r="AF377" s="109"/>
      <c r="AG377" s="109"/>
      <c r="AH377" s="108"/>
      <c r="AI377" s="109"/>
      <c r="AJ377" s="100"/>
      <c r="AK377" s="100"/>
      <c r="AL377" s="75"/>
      <c r="AM377" s="100"/>
      <c r="AN377" s="75"/>
      <c r="AO377" s="100"/>
      <c r="AP377" s="107"/>
      <c r="AQ377" s="100"/>
      <c r="AR377" s="75"/>
      <c r="AS377" s="111"/>
      <c r="AT377" s="75"/>
      <c r="AU377" s="431"/>
      <c r="AV377" s="111"/>
    </row>
    <row r="378" spans="1:48" ht="16.3">
      <c r="A378" s="83" t="s">
        <v>3</v>
      </c>
      <c r="B378" s="265">
        <f>SUM(L378+M378+N378+O378+P378+U378+X378+Y378+Z378+AC378+AK378+AL378+AK378+AO378+AR378+AS378+AU378+AV378+AW378+AX378)+7</f>
        <v>12</v>
      </c>
      <c r="C378" s="214">
        <f>SUM(L378+M378+N378+O378+P378+U378+Y378+Z378+X378+AC378+AL378+AK378+AL378+AP378+AS378+AO378+AV378+AW378+AX378+AY370+AR378+AU378)+7</f>
        <v>12</v>
      </c>
      <c r="D378" s="133"/>
      <c r="E378" s="134"/>
      <c r="F378" s="135"/>
      <c r="G378" s="136"/>
      <c r="H378" s="683"/>
      <c r="I378" s="676"/>
      <c r="J378" s="96"/>
      <c r="K378" s="96"/>
      <c r="L378" s="75"/>
      <c r="M378" s="104"/>
      <c r="N378" s="100"/>
      <c r="O378" s="100">
        <v>1</v>
      </c>
      <c r="P378" s="100"/>
      <c r="Q378" s="422"/>
      <c r="R378" s="108"/>
      <c r="S378" s="109"/>
      <c r="T378" s="109"/>
      <c r="U378" s="100"/>
      <c r="V378" s="142">
        <v>1</v>
      </c>
      <c r="W378" s="142"/>
      <c r="X378" s="100">
        <v>2</v>
      </c>
      <c r="Y378" s="100">
        <v>1</v>
      </c>
      <c r="Z378" s="100">
        <v>1</v>
      </c>
      <c r="AA378" s="142"/>
      <c r="AB378" s="142"/>
      <c r="AC378" s="100"/>
      <c r="AD378" s="109"/>
      <c r="AE378" s="109"/>
      <c r="AF378" s="109"/>
      <c r="AG378" s="109"/>
      <c r="AH378" s="108"/>
      <c r="AI378" s="109">
        <v>1</v>
      </c>
      <c r="AJ378" s="100"/>
      <c r="AK378" s="100"/>
      <c r="AL378" s="75"/>
      <c r="AM378" s="100"/>
      <c r="AN378" s="75"/>
      <c r="AO378" s="100"/>
      <c r="AP378" s="107"/>
      <c r="AQ378" s="100"/>
      <c r="AR378" s="75"/>
      <c r="AS378" s="111"/>
      <c r="AT378" s="75"/>
      <c r="AU378" s="433"/>
      <c r="AV378" s="111"/>
    </row>
    <row r="379" spans="1:48" ht="17" thickBot="1">
      <c r="A379" s="85" t="s">
        <v>4</v>
      </c>
      <c r="B379" s="265">
        <f>SUM(L379+M379+N379+O379+P379+U379+X379+Y379+Z379+AC379+AK379+AL379+AK379+AO379+AR379+AS379+AU379+AV379+AW379+AX379)+35</f>
        <v>60</v>
      </c>
      <c r="C379" s="214">
        <f>SUM(L379+M379+N379+O379+P379+U379+Y379+Z379+X379+AC379+AL379+AK379+AL379+AP379+AS379+AO379+AV379+AW379+AX379+AY371+AR379+AU379)+35</f>
        <v>60</v>
      </c>
      <c r="D379" s="133"/>
      <c r="E379" s="134"/>
      <c r="F379" s="135"/>
      <c r="G379" s="136"/>
      <c r="H379" s="683"/>
      <c r="I379" s="676"/>
      <c r="J379" s="96"/>
      <c r="K379" s="96"/>
      <c r="L379" s="112"/>
      <c r="M379" s="104"/>
      <c r="N379" s="100"/>
      <c r="O379" s="100">
        <v>5</v>
      </c>
      <c r="P379" s="100"/>
      <c r="Q379" s="108"/>
      <c r="R379" s="108"/>
      <c r="S379" s="109"/>
      <c r="T379" s="109"/>
      <c r="U379" s="100"/>
      <c r="V379" s="142">
        <v>5</v>
      </c>
      <c r="W379" s="142"/>
      <c r="X379" s="100">
        <v>10</v>
      </c>
      <c r="Y379" s="100">
        <v>5</v>
      </c>
      <c r="Z379" s="100">
        <v>5</v>
      </c>
      <c r="AA379" s="142"/>
      <c r="AB379" s="142"/>
      <c r="AC379" s="100"/>
      <c r="AD379" s="109"/>
      <c r="AE379" s="109"/>
      <c r="AF379" s="109"/>
      <c r="AG379" s="109"/>
      <c r="AH379" s="108"/>
      <c r="AI379" s="109">
        <v>5</v>
      </c>
      <c r="AJ379" s="100"/>
      <c r="AK379" s="100"/>
      <c r="AL379" s="112"/>
      <c r="AM379" s="100"/>
      <c r="AN379" s="112"/>
      <c r="AO379" s="100"/>
      <c r="AP379" s="130"/>
      <c r="AQ379" s="100"/>
      <c r="AR379" s="112"/>
      <c r="AS379" s="111"/>
      <c r="AT379" s="112"/>
      <c r="AU379" s="434"/>
      <c r="AV379" s="111"/>
    </row>
    <row r="380" spans="1:48" ht="21.1">
      <c r="A380" s="86" t="s">
        <v>8</v>
      </c>
      <c r="B380" s="271"/>
      <c r="C380" s="180"/>
      <c r="D380" s="124"/>
      <c r="E380" s="125"/>
      <c r="F380" s="99"/>
      <c r="G380" s="102"/>
      <c r="H380" s="122"/>
      <c r="I380" s="123"/>
      <c r="J380" s="99"/>
      <c r="K380" s="99"/>
      <c r="L380" s="102"/>
      <c r="M380" s="102"/>
      <c r="N380" s="102"/>
      <c r="O380" s="102"/>
      <c r="P380" s="102"/>
      <c r="Q380" s="98"/>
      <c r="R380" s="98"/>
      <c r="S380" s="99"/>
      <c r="T380" s="99"/>
      <c r="U380" s="102"/>
      <c r="V380" s="138"/>
      <c r="W380" s="138"/>
      <c r="X380" s="102"/>
      <c r="Y380" s="102"/>
      <c r="Z380" s="102"/>
      <c r="AA380" s="138"/>
      <c r="AB380" s="138"/>
      <c r="AC380" s="102"/>
      <c r="AD380" s="99"/>
      <c r="AE380" s="99"/>
      <c r="AF380" s="99"/>
      <c r="AG380" s="99"/>
      <c r="AH380" s="98"/>
      <c r="AI380" s="99"/>
      <c r="AJ380" s="102"/>
      <c r="AK380" s="102"/>
      <c r="AL380" s="75"/>
      <c r="AM380" s="102"/>
      <c r="AN380" s="75"/>
      <c r="AO380" s="102"/>
      <c r="AP380" s="107"/>
      <c r="AQ380" s="102"/>
      <c r="AR380" s="75"/>
      <c r="AS380" s="103"/>
      <c r="AT380" s="75"/>
      <c r="AU380" s="433"/>
      <c r="AV380" s="103"/>
    </row>
    <row r="381" spans="1:48" ht="16.3">
      <c r="A381" s="83" t="s">
        <v>3</v>
      </c>
      <c r="B381" s="272"/>
      <c r="C381" s="105"/>
      <c r="D381" s="96"/>
      <c r="E381" s="97"/>
      <c r="F381" s="109"/>
      <c r="G381" s="100"/>
      <c r="H381" s="75"/>
      <c r="I381" s="104"/>
      <c r="J381" s="109"/>
      <c r="K381" s="109"/>
      <c r="L381" s="100"/>
      <c r="M381" s="100"/>
      <c r="N381" s="100"/>
      <c r="O381" s="100"/>
      <c r="P381" s="100"/>
      <c r="Q381" s="108"/>
      <c r="R381" s="108"/>
      <c r="S381" s="109"/>
      <c r="T381" s="109"/>
      <c r="U381" s="100"/>
      <c r="V381" s="142"/>
      <c r="W381" s="142"/>
      <c r="X381" s="100"/>
      <c r="Y381" s="100"/>
      <c r="Z381" s="100"/>
      <c r="AA381" s="142"/>
      <c r="AB381" s="142"/>
      <c r="AC381" s="100"/>
      <c r="AD381" s="109"/>
      <c r="AE381" s="109"/>
      <c r="AF381" s="109"/>
      <c r="AG381" s="109"/>
      <c r="AH381" s="108"/>
      <c r="AI381" s="109"/>
      <c r="AJ381" s="100"/>
      <c r="AK381" s="100"/>
      <c r="AL381" s="75"/>
      <c r="AM381" s="100"/>
      <c r="AN381" s="75"/>
      <c r="AO381" s="100"/>
      <c r="AP381" s="107"/>
      <c r="AQ381" s="100"/>
      <c r="AR381" s="75"/>
      <c r="AS381" s="111"/>
      <c r="AT381" s="75"/>
      <c r="AU381" s="433"/>
      <c r="AV381" s="111"/>
    </row>
    <row r="382" spans="1:48" ht="17" thickBot="1">
      <c r="A382" s="85" t="s">
        <v>4</v>
      </c>
      <c r="B382" s="272"/>
      <c r="C382" s="105"/>
      <c r="D382" s="96"/>
      <c r="E382" s="97"/>
      <c r="F382" s="109"/>
      <c r="G382" s="100"/>
      <c r="H382" s="112"/>
      <c r="I382" s="104"/>
      <c r="J382" s="109"/>
      <c r="K382" s="109"/>
      <c r="L382" s="100"/>
      <c r="M382" s="100"/>
      <c r="N382" s="100"/>
      <c r="O382" s="100"/>
      <c r="P382" s="100"/>
      <c r="Q382" s="108"/>
      <c r="R382" s="108"/>
      <c r="S382" s="109"/>
      <c r="T382" s="109"/>
      <c r="U382" s="100"/>
      <c r="V382" s="142"/>
      <c r="W382" s="142"/>
      <c r="X382" s="100"/>
      <c r="Y382" s="100"/>
      <c r="Z382" s="100"/>
      <c r="AA382" s="142"/>
      <c r="AB382" s="142"/>
      <c r="AC382" s="100"/>
      <c r="AD382" s="109"/>
      <c r="AE382" s="109"/>
      <c r="AF382" s="109"/>
      <c r="AG382" s="109"/>
      <c r="AH382" s="108"/>
      <c r="AI382" s="109"/>
      <c r="AJ382" s="100"/>
      <c r="AK382" s="100"/>
      <c r="AL382" s="75"/>
      <c r="AM382" s="100"/>
      <c r="AN382" s="75"/>
      <c r="AO382" s="100"/>
      <c r="AP382" s="107"/>
      <c r="AQ382" s="100"/>
      <c r="AR382" s="75"/>
      <c r="AS382" s="111"/>
      <c r="AT382" s="75"/>
      <c r="AU382" s="433"/>
      <c r="AV382" s="111"/>
    </row>
    <row r="383" spans="1:48">
      <c r="A383" s="767"/>
      <c r="B383" s="862" t="s">
        <v>352</v>
      </c>
      <c r="C383" s="863"/>
      <c r="D383" s="864" t="s">
        <v>350</v>
      </c>
      <c r="E383" s="865"/>
      <c r="F383" s="866" t="s">
        <v>351</v>
      </c>
      <c r="G383" s="867"/>
      <c r="H383" s="868" t="s">
        <v>873</v>
      </c>
      <c r="I383" s="869"/>
      <c r="J383" s="389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  <c r="V383" s="323"/>
      <c r="W383" s="693"/>
      <c r="X383" s="323"/>
      <c r="Y383" s="323"/>
      <c r="Z383" s="300"/>
      <c r="AA383" s="680"/>
      <c r="AB383" s="680"/>
      <c r="AC383" s="300"/>
      <c r="AD383" s="323"/>
      <c r="AE383" s="300"/>
      <c r="AF383" s="300"/>
      <c r="AG383" s="323"/>
      <c r="AH383" s="323"/>
      <c r="AI383" s="323"/>
      <c r="AJ383" s="323"/>
      <c r="AK383" s="323"/>
      <c r="AL383" s="323"/>
      <c r="AM383" s="323"/>
      <c r="AN383" s="323"/>
      <c r="AO383" s="323"/>
      <c r="AP383" s="323"/>
      <c r="AQ383" s="323"/>
      <c r="AR383" s="323"/>
      <c r="AS383" s="323"/>
      <c r="AT383" s="323"/>
      <c r="AU383" s="390"/>
      <c r="AV383" s="391"/>
    </row>
    <row r="384" spans="1:48" ht="21.75" thickBot="1">
      <c r="A384" s="768" t="s">
        <v>975</v>
      </c>
      <c r="B384" s="65" t="s">
        <v>354</v>
      </c>
      <c r="C384" s="64" t="s">
        <v>349</v>
      </c>
      <c r="D384" s="65" t="s">
        <v>354</v>
      </c>
      <c r="E384" s="61" t="s">
        <v>349</v>
      </c>
      <c r="F384" s="65" t="s">
        <v>354</v>
      </c>
      <c r="G384" s="70" t="s">
        <v>349</v>
      </c>
      <c r="H384" s="65" t="s">
        <v>354</v>
      </c>
      <c r="I384" s="681" t="s">
        <v>349</v>
      </c>
      <c r="J384" s="392"/>
      <c r="K384" s="324"/>
      <c r="L384" s="324"/>
      <c r="M384" s="324"/>
      <c r="N384" s="324"/>
      <c r="O384" s="324"/>
      <c r="P384" s="324"/>
      <c r="Q384" s="324"/>
      <c r="R384" s="324"/>
      <c r="S384" s="327"/>
      <c r="T384" s="327"/>
      <c r="U384" s="327"/>
      <c r="V384" s="327"/>
      <c r="W384" s="694"/>
      <c r="X384" s="327"/>
      <c r="Y384" s="327"/>
      <c r="Z384" s="610"/>
      <c r="AA384" s="675"/>
      <c r="AB384" s="675"/>
      <c r="AC384" s="610"/>
      <c r="AD384" s="327"/>
      <c r="AE384" s="327"/>
      <c r="AF384" s="327"/>
      <c r="AG384" s="327"/>
      <c r="AH384" s="327"/>
      <c r="AI384" s="327"/>
      <c r="AJ384" s="327"/>
      <c r="AK384" s="327"/>
      <c r="AL384" s="327"/>
      <c r="AM384" s="393"/>
      <c r="AN384" s="393"/>
      <c r="AO384" s="393"/>
      <c r="AP384" s="393"/>
      <c r="AQ384" s="393"/>
      <c r="AR384" s="393"/>
      <c r="AS384" s="393"/>
      <c r="AT384" s="393"/>
      <c r="AU384" s="393"/>
      <c r="AV384" s="394"/>
    </row>
    <row r="385" spans="1:48">
      <c r="A385" s="301" t="s">
        <v>476</v>
      </c>
      <c r="B385" s="769">
        <f>SUM(L385+M385+N385+O385+P385+U385+X385+Y385+Z385+AC385+AK385+AL385+AO385+AP385+AR385+AS385+AU385+AV385+AW378+AX378)+335</f>
        <v>345</v>
      </c>
      <c r="C385" s="317">
        <f>B385</f>
        <v>345</v>
      </c>
      <c r="D385" s="773">
        <v>72</v>
      </c>
      <c r="E385" s="355">
        <f>D385</f>
        <v>72</v>
      </c>
      <c r="F385" s="773">
        <f>SUM(V385+W385+AA385+AB385+AM385+AN385+AQ385+AT385)+21</f>
        <v>25</v>
      </c>
      <c r="G385" s="358">
        <f>F385</f>
        <v>25</v>
      </c>
      <c r="H385" s="777">
        <f>SUM(J385+K385+Q385+R385+S385+T385+AD385+AE385+AF385+AG385+AH385+AI385+AJ385)+69</f>
        <v>78</v>
      </c>
      <c r="I385" s="688">
        <f>H385</f>
        <v>78</v>
      </c>
      <c r="J385" s="491">
        <v>1</v>
      </c>
      <c r="K385" s="491">
        <v>1</v>
      </c>
      <c r="L385" s="305">
        <v>1</v>
      </c>
      <c r="M385" s="305">
        <v>1</v>
      </c>
      <c r="N385" s="303">
        <v>1</v>
      </c>
      <c r="O385" s="362">
        <v>1</v>
      </c>
      <c r="P385" s="305">
        <v>1</v>
      </c>
      <c r="Q385" s="530"/>
      <c r="R385" s="530"/>
      <c r="S385" s="491">
        <v>1</v>
      </c>
      <c r="T385" s="491">
        <v>1</v>
      </c>
      <c r="U385" s="305">
        <v>1</v>
      </c>
      <c r="V385" s="373">
        <v>1</v>
      </c>
      <c r="W385" s="373">
        <v>1</v>
      </c>
      <c r="X385" s="306">
        <v>1</v>
      </c>
      <c r="Y385" s="306">
        <v>1</v>
      </c>
      <c r="Z385" s="781">
        <v>1</v>
      </c>
      <c r="AA385" s="373">
        <v>1</v>
      </c>
      <c r="AB385" s="373">
        <v>1</v>
      </c>
      <c r="AC385" s="306">
        <v>1</v>
      </c>
      <c r="AD385" s="812">
        <v>1</v>
      </c>
      <c r="AE385" s="815">
        <v>1</v>
      </c>
      <c r="AF385" s="812">
        <v>1</v>
      </c>
      <c r="AG385" s="815">
        <v>1</v>
      </c>
      <c r="AH385" s="820"/>
      <c r="AI385" s="815">
        <v>1</v>
      </c>
      <c r="AJ385" s="815"/>
      <c r="AK385" s="306"/>
      <c r="AL385" s="342"/>
      <c r="AM385" s="836"/>
      <c r="AN385" s="362"/>
      <c r="AO385" s="362"/>
      <c r="AP385" s="438"/>
      <c r="AQ385" s="362"/>
      <c r="AR385" s="362"/>
      <c r="AS385" s="438"/>
      <c r="AT385" s="362"/>
      <c r="AU385" s="362"/>
      <c r="AV385" s="362"/>
    </row>
    <row r="386" spans="1:48">
      <c r="A386" s="304" t="s">
        <v>477</v>
      </c>
      <c r="B386" s="770">
        <f>SUM(L386+M386+N386+O386+P386+U386+X386+Y386+Z386+AC386+AK386+AL386+AO386+AP386+AR386+AS386+AU386+AV386+AW379+AX379)+199</f>
        <v>205</v>
      </c>
      <c r="C386" s="318">
        <f t="shared" ref="C386:E388" si="7">B386</f>
        <v>205</v>
      </c>
      <c r="D386" s="774">
        <v>36</v>
      </c>
      <c r="E386" s="356">
        <f t="shared" si="7"/>
        <v>36</v>
      </c>
      <c r="F386" s="774">
        <f>SUM(V386+W386+AA386+AB386+AM386+AN386+AQ386+AT386)+14</f>
        <v>16</v>
      </c>
      <c r="G386" s="359">
        <f t="shared" ref="G386:G388" si="8">F386</f>
        <v>16</v>
      </c>
      <c r="H386" s="777">
        <f>SUM(J386+K386+Q386+R386+S386+T386+AD386+AE386+AF386+AG386+AH386+AI386+AJ386)+49</f>
        <v>56</v>
      </c>
      <c r="I386" s="688">
        <f t="shared" ref="I386:I388" si="9">H386</f>
        <v>56</v>
      </c>
      <c r="J386" s="491">
        <v>0</v>
      </c>
      <c r="K386" s="491">
        <v>1</v>
      </c>
      <c r="L386" s="305">
        <v>0</v>
      </c>
      <c r="M386" s="305">
        <v>1</v>
      </c>
      <c r="N386" s="306">
        <v>0</v>
      </c>
      <c r="O386" s="362">
        <v>1</v>
      </c>
      <c r="P386" s="305">
        <v>1</v>
      </c>
      <c r="Q386" s="530"/>
      <c r="R386" s="530"/>
      <c r="S386" s="491">
        <v>0</v>
      </c>
      <c r="T386" s="491">
        <v>1</v>
      </c>
      <c r="U386" s="305">
        <v>1</v>
      </c>
      <c r="V386" s="373">
        <v>1</v>
      </c>
      <c r="W386" s="373">
        <v>0</v>
      </c>
      <c r="X386" s="306">
        <v>1</v>
      </c>
      <c r="Y386" s="306">
        <v>1</v>
      </c>
      <c r="Z386" s="782">
        <v>0</v>
      </c>
      <c r="AA386" s="373">
        <v>0</v>
      </c>
      <c r="AB386" s="373">
        <v>1</v>
      </c>
      <c r="AC386" s="306">
        <v>0</v>
      </c>
      <c r="AD386" s="812">
        <v>1</v>
      </c>
      <c r="AE386" s="815">
        <v>1</v>
      </c>
      <c r="AF386" s="812">
        <v>1</v>
      </c>
      <c r="AG386" s="815">
        <v>1</v>
      </c>
      <c r="AH386" s="820"/>
      <c r="AI386" s="815">
        <v>1</v>
      </c>
      <c r="AJ386" s="815"/>
      <c r="AK386" s="306"/>
      <c r="AL386" s="344"/>
      <c r="AM386" s="837"/>
      <c r="AN386" s="362"/>
      <c r="AO386" s="362"/>
      <c r="AP386" s="438"/>
      <c r="AQ386" s="362"/>
      <c r="AR386" s="362"/>
      <c r="AS386" s="438"/>
      <c r="AT386" s="362"/>
      <c r="AU386" s="362"/>
      <c r="AV386" s="362"/>
    </row>
    <row r="387" spans="1:48">
      <c r="A387" s="304" t="s">
        <v>478</v>
      </c>
      <c r="B387" s="770">
        <f>SUM(L387+M387+N387+O387+P387+U387+X387+Y387+Z387+AC387+AK387+AL387+AO387+AP387+AR387+AS387+AU387+AV387+AW380+AX380)+4</f>
        <v>5</v>
      </c>
      <c r="C387" s="318">
        <f t="shared" si="7"/>
        <v>5</v>
      </c>
      <c r="D387" s="774">
        <v>2</v>
      </c>
      <c r="E387" s="356">
        <f t="shared" si="7"/>
        <v>2</v>
      </c>
      <c r="F387" s="774">
        <f>SUM(V387+W387+AA387+AB387+AM387+AN387+AQ387+AT387)</f>
        <v>1</v>
      </c>
      <c r="G387" s="359">
        <f t="shared" si="8"/>
        <v>1</v>
      </c>
      <c r="H387" s="777">
        <f>SUM(J387+K387+Q387+R387+S387+T387+AD387+AE387+AF387+AG387+AH387+AI387+AJ387)+2</f>
        <v>2</v>
      </c>
      <c r="I387" s="688">
        <f t="shared" si="9"/>
        <v>2</v>
      </c>
      <c r="J387" s="491">
        <v>0</v>
      </c>
      <c r="K387" s="491">
        <v>0</v>
      </c>
      <c r="L387" s="305">
        <v>1</v>
      </c>
      <c r="M387" s="305">
        <v>0</v>
      </c>
      <c r="N387" s="306">
        <v>0</v>
      </c>
      <c r="O387" s="362">
        <v>0</v>
      </c>
      <c r="P387" s="305">
        <v>0</v>
      </c>
      <c r="Q387" s="530"/>
      <c r="R387" s="530"/>
      <c r="S387" s="491">
        <v>0</v>
      </c>
      <c r="T387" s="491">
        <v>0</v>
      </c>
      <c r="U387" s="305">
        <v>0</v>
      </c>
      <c r="V387" s="373">
        <v>0</v>
      </c>
      <c r="W387" s="373">
        <v>1</v>
      </c>
      <c r="X387" s="306">
        <v>0</v>
      </c>
      <c r="Y387" s="306">
        <v>0</v>
      </c>
      <c r="Z387" s="782">
        <v>0</v>
      </c>
      <c r="AA387" s="373">
        <v>0</v>
      </c>
      <c r="AB387" s="373">
        <v>0</v>
      </c>
      <c r="AC387" s="306">
        <v>0</v>
      </c>
      <c r="AD387" s="812">
        <v>0</v>
      </c>
      <c r="AE387" s="815">
        <v>0</v>
      </c>
      <c r="AF387" s="812">
        <v>0</v>
      </c>
      <c r="AG387" s="815">
        <v>0</v>
      </c>
      <c r="AH387" s="820"/>
      <c r="AI387" s="815">
        <v>0</v>
      </c>
      <c r="AJ387" s="815"/>
      <c r="AK387" s="306"/>
      <c r="AL387" s="344"/>
      <c r="AM387" s="837"/>
      <c r="AN387" s="362"/>
      <c r="AO387" s="362"/>
      <c r="AP387" s="438"/>
      <c r="AQ387" s="362"/>
      <c r="AR387" s="362"/>
      <c r="AS387" s="438"/>
      <c r="AT387" s="362"/>
      <c r="AU387" s="362"/>
      <c r="AV387" s="362"/>
    </row>
    <row r="388" spans="1:48" ht="14.95" thickBot="1">
      <c r="A388" s="304" t="s">
        <v>479</v>
      </c>
      <c r="B388" s="771">
        <f>SUM(L388+M388+N388+O388+P388+U388+X388+Y388+Z388+AC388+AK388+AL388+AO388+AP388+AR388+AS388+AU388+AV388+AW381+AX381)+132</f>
        <v>135</v>
      </c>
      <c r="C388" s="354">
        <f t="shared" si="7"/>
        <v>135</v>
      </c>
      <c r="D388" s="775">
        <v>34</v>
      </c>
      <c r="E388" s="357">
        <f t="shared" si="7"/>
        <v>34</v>
      </c>
      <c r="F388" s="775">
        <f>SUM(V388+W388+AA388+AB388+AM388+AN388+AQ388+AT388)+7</f>
        <v>8</v>
      </c>
      <c r="G388" s="360">
        <f t="shared" si="8"/>
        <v>8</v>
      </c>
      <c r="H388" s="777">
        <f>SUM(J388+K388+Q388+R388+S388+T388+AD388+AE388+AF388+AG388+AH388+AI388+AJ388)+18</f>
        <v>20</v>
      </c>
      <c r="I388" s="688">
        <f t="shared" si="9"/>
        <v>20</v>
      </c>
      <c r="J388" s="491">
        <v>1</v>
      </c>
      <c r="K388" s="491">
        <v>0</v>
      </c>
      <c r="L388" s="305">
        <v>0</v>
      </c>
      <c r="M388" s="305">
        <v>0</v>
      </c>
      <c r="N388" s="306">
        <v>1</v>
      </c>
      <c r="O388" s="362">
        <v>0</v>
      </c>
      <c r="P388" s="305">
        <v>0</v>
      </c>
      <c r="Q388" s="530"/>
      <c r="R388" s="530"/>
      <c r="S388" s="491">
        <v>1</v>
      </c>
      <c r="T388" s="491">
        <v>0</v>
      </c>
      <c r="U388" s="305">
        <v>0</v>
      </c>
      <c r="V388" s="373">
        <v>0</v>
      </c>
      <c r="W388" s="373">
        <v>0</v>
      </c>
      <c r="X388" s="306">
        <v>0</v>
      </c>
      <c r="Y388" s="306">
        <v>0</v>
      </c>
      <c r="Z388" s="782">
        <v>1</v>
      </c>
      <c r="AA388" s="373">
        <v>1</v>
      </c>
      <c r="AB388" s="373">
        <v>0</v>
      </c>
      <c r="AC388" s="306">
        <v>1</v>
      </c>
      <c r="AD388" s="812">
        <v>0</v>
      </c>
      <c r="AE388" s="815">
        <v>0</v>
      </c>
      <c r="AF388" s="812">
        <v>0</v>
      </c>
      <c r="AG388" s="815">
        <v>0</v>
      </c>
      <c r="AH388" s="820"/>
      <c r="AI388" s="815">
        <v>0</v>
      </c>
      <c r="AJ388" s="815"/>
      <c r="AK388" s="306"/>
      <c r="AL388" s="344"/>
      <c r="AM388" s="837"/>
      <c r="AN388" s="362"/>
      <c r="AO388" s="362"/>
      <c r="AP388" s="438"/>
      <c r="AQ388" s="362"/>
      <c r="AR388" s="362"/>
      <c r="AS388" s="438"/>
      <c r="AT388" s="362"/>
      <c r="AU388" s="362"/>
      <c r="AV388" s="362"/>
    </row>
    <row r="389" spans="1:48" ht="14.95" thickBot="1">
      <c r="A389" s="307" t="s">
        <v>480</v>
      </c>
      <c r="B389" s="772">
        <f t="shared" ref="B389:H389" si="10">SUM(B386+B387*0.5)/B385*100</f>
        <v>60.144927536231883</v>
      </c>
      <c r="C389" s="350">
        <f t="shared" si="10"/>
        <v>60.144927536231883</v>
      </c>
      <c r="D389" s="776">
        <f t="shared" si="10"/>
        <v>51.388888888888886</v>
      </c>
      <c r="E389" s="375">
        <f t="shared" si="10"/>
        <v>51.388888888888886</v>
      </c>
      <c r="F389" s="776">
        <f t="shared" si="10"/>
        <v>66</v>
      </c>
      <c r="G389" s="376">
        <f t="shared" si="10"/>
        <v>66</v>
      </c>
      <c r="H389" s="778">
        <f t="shared" si="10"/>
        <v>73.076923076923066</v>
      </c>
      <c r="I389" s="689">
        <f>H389</f>
        <v>73.076923076923066</v>
      </c>
      <c r="J389" s="492"/>
      <c r="K389" s="492"/>
      <c r="L389" s="340"/>
      <c r="M389" s="340"/>
      <c r="N389" s="309"/>
      <c r="O389" s="547"/>
      <c r="P389" s="462"/>
      <c r="Q389" s="584"/>
      <c r="R389" s="584"/>
      <c r="S389" s="583"/>
      <c r="T389" s="583"/>
      <c r="U389" s="340"/>
      <c r="V389" s="374"/>
      <c r="W389" s="374"/>
      <c r="X389" s="311"/>
      <c r="Y389" s="311"/>
      <c r="Z389" s="783"/>
      <c r="AA389" s="374"/>
      <c r="AB389" s="374"/>
      <c r="AC389" s="309"/>
      <c r="AD389" s="813"/>
      <c r="AE389" s="816"/>
      <c r="AF389" s="813"/>
      <c r="AG389" s="816"/>
      <c r="AH389" s="821"/>
      <c r="AI389" s="816"/>
      <c r="AJ389" s="816"/>
      <c r="AK389" s="309"/>
      <c r="AL389" s="839"/>
      <c r="AM389" s="838"/>
      <c r="AN389" s="362"/>
      <c r="AO389" s="362"/>
      <c r="AP389" s="438"/>
      <c r="AQ389" s="362"/>
      <c r="AR389" s="362"/>
      <c r="AS389" s="438"/>
      <c r="AT389" s="362"/>
      <c r="AU389" s="362"/>
      <c r="AV389" s="362"/>
    </row>
    <row r="390" spans="1:48" ht="21.1">
      <c r="A390" s="47" t="s">
        <v>10</v>
      </c>
      <c r="B390" s="859" t="s">
        <v>890</v>
      </c>
      <c r="C390" s="860"/>
      <c r="D390" s="860"/>
      <c r="E390" s="860"/>
      <c r="F390" s="860"/>
      <c r="G390" s="860"/>
      <c r="H390" s="860"/>
      <c r="I390" s="861"/>
      <c r="J390" s="40"/>
      <c r="K390" s="40"/>
      <c r="L390" s="40"/>
      <c r="M390" s="40"/>
      <c r="N390" s="40"/>
      <c r="O390" s="40"/>
      <c r="P390" s="40"/>
      <c r="Q390" s="13"/>
      <c r="R390" s="13"/>
      <c r="S390" s="40"/>
      <c r="T390" s="40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3"/>
      <c r="AI390" s="31"/>
      <c r="AJ390" s="31"/>
      <c r="AK390" s="46"/>
      <c r="AL390" s="834"/>
      <c r="AM390" s="835"/>
      <c r="AN390" s="52"/>
      <c r="AO390" s="52"/>
      <c r="AP390" s="297"/>
      <c r="AQ390" s="52"/>
      <c r="AR390" s="52"/>
      <c r="AS390" s="299"/>
      <c r="AT390" s="53"/>
      <c r="AU390" s="435"/>
      <c r="AV390" s="299"/>
    </row>
    <row r="391" spans="1:48">
      <c r="A391" s="48" t="s">
        <v>1</v>
      </c>
      <c r="B391" s="34"/>
      <c r="C391" s="34"/>
      <c r="D391" s="34"/>
      <c r="E391" s="34"/>
      <c r="F391" s="34"/>
      <c r="G391" s="34"/>
      <c r="H391" s="34"/>
      <c r="I391" s="34"/>
      <c r="J391" s="28">
        <f>IF(SUMIF($A$4:$A382,$A391,J$4:J382)=0,"",SUMIF($A$4:$A382,$A391,J$4:J382))</f>
        <v>15</v>
      </c>
      <c r="K391" s="28">
        <f>IF(SUMIF($A$4:$A382,$A391,K$4:K382)=0,"",SUMIF($A$4:$A382,$A391,K$4:K382))</f>
        <v>15</v>
      </c>
      <c r="L391" s="28">
        <f>IF(SUMIF($A$4:$A382,$A391,L$4:L382)=0,"",SUMIF($A$4:$A382,$A391,L$4:L382))</f>
        <v>15</v>
      </c>
      <c r="M391" s="28">
        <f>IF(SUMIF($A$4:$A382,$A391,M$4:M382)=0,"",SUMIF($A$4:$A382,$A391,M$4:M382))</f>
        <v>15</v>
      </c>
      <c r="N391" s="28">
        <f>IF(SUMIF($A$4:$A382,$A391,N$4:N382)=0,"",SUMIF($A$4:$A382,$A391,N$4:N382))</f>
        <v>15</v>
      </c>
      <c r="O391" s="28">
        <f>IF(SUMIF($A$4:$A382,$A391,O$4:O382)=0,"",SUMIF($A$4:$A382,$A391,O$4:O382))</f>
        <v>15</v>
      </c>
      <c r="P391" s="28">
        <f>IF(SUMIF($A$4:$A382,$A391,P$4:P382)=0,"",SUMIF($A$4:$A382,$A391,P$4:P382))</f>
        <v>15</v>
      </c>
      <c r="Q391" s="34" t="str">
        <f>IF(SUMIF($A$4:$A382,$A391,Q$4:Q382)=0,"",SUMIF($A$4:$A382,$A391,Q$4:Q382))</f>
        <v/>
      </c>
      <c r="R391" s="34"/>
      <c r="S391" s="28">
        <f>IF(SUMIF($A$4:$A382,$A391,S$4:S382)=0,"",SUMIF($A$4:$A382,$A391,S$4:S382))</f>
        <v>15</v>
      </c>
      <c r="T391" s="28">
        <f>IF(SUMIF($A$4:$A382,$A391,T$4:T382)=0,"",SUMIF($A$4:$A382,$A391,T$4:T382))</f>
        <v>15</v>
      </c>
      <c r="U391" s="28">
        <f>IF(SUMIF($A$4:$A382,$A391,U$4:U382)=0,"",SUMIF($A$4:$A382,$A391,U$4:U382))</f>
        <v>15</v>
      </c>
      <c r="V391" s="28">
        <f>IF(SUMIF($A$4:$A382,$A391,V$4:V382)=0,"",SUMIF($A$4:$A382,$A391,V$4:V382))</f>
        <v>15</v>
      </c>
      <c r="W391" s="28">
        <f>IF(SUMIF($A$4:$A382,$A391,W$4:W382)=0,"",SUMIF($A$4:$A382,$A391,W$4:W382))</f>
        <v>15</v>
      </c>
      <c r="X391" s="28">
        <f>IF(SUMIF($A$4:$A382,$A391,X$4:X382)=0,"",SUMIF($A$4:$A382,$A391,X$4:X382))</f>
        <v>15</v>
      </c>
      <c r="Y391" s="28">
        <f>IF(SUMIF($A$4:$A382,$A391,Y$4:Y382)=0,"",SUMIF($A$4:$A382,$A391,Y$4:Y382))</f>
        <v>15</v>
      </c>
      <c r="Z391" s="28">
        <f>IF(SUMIF($A$4:$A382,$A391,Z$4:Z382)=0,"",SUMIF($A$4:$A382,$A391,Z$4:Z382))</f>
        <v>15</v>
      </c>
      <c r="AA391" s="28">
        <f>IF(SUMIF($A$4:$A382,$A391,AA$4:AA382)=0,"",SUMIF($A$4:$A382,$A391,AA$4:AA382))</f>
        <v>15</v>
      </c>
      <c r="AB391" s="28">
        <f>IF(SUMIF($A$4:$A382,$A391,AB$4:AB382)=0,"",SUMIF($A$4:$A382,$A391,AB$4:AB382))</f>
        <v>15</v>
      </c>
      <c r="AC391" s="28">
        <f>IF(SUMIF($A$4:$A382,$A391,AC$4:AC382)=0,"",SUMIF($A$4:$A382,$A391,AC$4:AC382))</f>
        <v>15</v>
      </c>
      <c r="AD391" s="28">
        <f>IF(SUMIF($A$4:$A382,$A391,AD$4:AD382)=0,"",SUMIF($A$4:$A382,$A391,AD$4:AD382))</f>
        <v>15</v>
      </c>
      <c r="AE391" s="28">
        <f>IF(SUMIF($A$4:$A382,$A391,AE$4:AE382)=0,"",SUMIF($A$4:$A382,$A391,AE$4:AE382))</f>
        <v>15</v>
      </c>
      <c r="AF391" s="28">
        <f>IF(SUMIF($A$4:$A382,$A391,AF$4:AF382)=0,"",SUMIF($A$4:$A382,$A391,AF$4:AF382))</f>
        <v>15</v>
      </c>
      <c r="AG391" s="28">
        <f>IF(SUMIF($A$4:$A382,$A391,AG$4:AG382)=0,"",SUMIF($A$4:$A382,$A391,AG$4:AG382))</f>
        <v>15</v>
      </c>
      <c r="AH391" s="34" t="str">
        <f>IF(SUMIF($A$4:$A382,$A391,AH$4:AH382)=0,"",SUMIF($A$4:$A382,$A391,AH$4:AH382))</f>
        <v/>
      </c>
      <c r="AI391" s="28">
        <f>IF(SUMIF($A$4:$A382,$A391,AI$4:AI382)=0,"",SUMIF($A$4:$A382,$A391,AI$4:AI382))</f>
        <v>15</v>
      </c>
      <c r="AJ391" s="28" t="str">
        <f>IF(SUMIF($A$4:$A382,$A391,AJ$4:AJ382)=0,"",SUMIF($A$4:$A382,$A391,AJ$4:AJ382))</f>
        <v/>
      </c>
      <c r="AK391" s="28" t="str">
        <f>IF(SUMIF($A$4:$A382,$A391,AK$4:AK382)=0,"",SUMIF($A$4:$A382,$A391,AK$4:AK382))</f>
        <v/>
      </c>
      <c r="AL391" s="50" t="str">
        <f>IF(SUMIF($A$4:$A382,$A391,AL$4:AL382)=0,"",SUMIF($A$4:$A382,$A391,AL$4:AL382))</f>
        <v/>
      </c>
      <c r="AM391" s="28" t="str">
        <f>IF(SUMIF($A$4:$A382,$A391,AM$4:AM382)=0,"",SUMIF($A$4:$A382,$A391,AM$4:AM382))</f>
        <v/>
      </c>
      <c r="AN391" s="28" t="str">
        <f>IF(SUMIF($A$4:$A382,$A391,AN$4:AN382)=0,"",SUMIF($A$4:$A382,$A391,AN$4:AN382))</f>
        <v/>
      </c>
      <c r="AO391" s="28" t="str">
        <f>IF(SUMIF($A$4:$A382,$A391,AO$4:AO382)=0,"",SUMIF($A$4:$A382,$A391,AO$4:AO382))</f>
        <v/>
      </c>
      <c r="AP391" s="34" t="str">
        <f>IF(SUMIF($A$4:$A382,$A391,AP$4:AP382)=0,"",SUMIF($A$4:$A382,$A391,AP$4:AP382))</f>
        <v/>
      </c>
      <c r="AQ391" s="28" t="str">
        <f>IF(SUMIF($A$4:$A382,$A391,AQ$4:AQ382)=0,"",SUMIF($A$4:$A382,$A391,AQ$4:AQ382))</f>
        <v/>
      </c>
      <c r="AR391" s="28" t="str">
        <f>IF(SUMIF($A$4:$A382,$A391,AR$4:AR382)=0,"",SUMIF($A$4:$A382,$A391,AR$4:AR382))</f>
        <v/>
      </c>
      <c r="AS391" s="205" t="str">
        <f>IF(SUMIF($A$4:$A382,$A391,AS$4:AS382)=0,"",SUMIF($A$4:$A382,$A391,AS$4:AS382))</f>
        <v/>
      </c>
      <c r="AT391" s="50" t="str">
        <f>IF(SUMIF($A$4:$A382,$A391,AT$4:AT382)=0,"",SUMIF($A$4:$A382,$A391,AT$4:AT382))</f>
        <v/>
      </c>
      <c r="AU391" s="436" t="str">
        <f>IF(SUMIF($A$4:$A382,$A391,AU$4:AU382)=0,"",SUMIF($A$4:$A382,$A391,AU$4:AU382))</f>
        <v/>
      </c>
      <c r="AV391" s="205" t="str">
        <f>IF(SUMIF($A$4:$A382,$A391,AV$4:AV382)=0,"",SUMIF($A$4:$A382,$A391,AV$4:AV382))</f>
        <v/>
      </c>
    </row>
    <row r="392" spans="1:48">
      <c r="A392" s="48" t="s">
        <v>2</v>
      </c>
      <c r="B392" s="34"/>
      <c r="C392" s="34"/>
      <c r="D392" s="34"/>
      <c r="E392" s="34"/>
      <c r="F392" s="34"/>
      <c r="G392" s="34"/>
      <c r="H392" s="34"/>
      <c r="I392" s="34"/>
      <c r="J392" s="28">
        <f>IF(SUMIF($A$4:$A390,$A392,J$4:J390)=0,"",SUMIF($A$4:$A390,$A392,J$4:J390))</f>
        <v>8</v>
      </c>
      <c r="K392" s="28">
        <f>IF(SUMIF($A$4:$A390,$A392,K$4:K390)=0,"",SUMIF($A$4:$A390,$A392,K$4:K390))</f>
        <v>5</v>
      </c>
      <c r="L392" s="28">
        <f>IF(SUMIF($A$4:$A390,$A392,L$4:L390)=0,"",SUMIF($A$4:$A390,$A392,L$4:L390))</f>
        <v>8</v>
      </c>
      <c r="M392" s="28">
        <f>IF(SUMIF($A$4:$A390,$A392,M$4:M390)=0,"",SUMIF($A$4:$A390,$A392,M$4:M390))</f>
        <v>8</v>
      </c>
      <c r="N392" s="28">
        <f>IF(SUMIF($A$4:$A390,$A392,N$4:N390)=0,"",SUMIF($A$4:$A390,$A392,N$4:N390))</f>
        <v>6</v>
      </c>
      <c r="O392" s="28">
        <f>IF(SUMIF($A$4:$A390,$A392,O$4:O390)=0,"",SUMIF($A$4:$A390,$A392,O$4:O390))</f>
        <v>8</v>
      </c>
      <c r="P392" s="28">
        <f>IF(SUMIF($A$4:$A390,$A392,P$4:P390)=0,"",SUMIF($A$4:$A390,$A392,P$4:P390))</f>
        <v>8</v>
      </c>
      <c r="Q392" s="34" t="str">
        <f>IF(SUMIF($A$4:$A390,$A392,Q$4:Q390)=0,"",SUMIF($A$4:$A390,$A392,Q$4:Q390))</f>
        <v/>
      </c>
      <c r="R392" s="34"/>
      <c r="S392" s="28">
        <f>IF(SUMIF($A$4:$A390,$A392,S$4:S390)=0,"",SUMIF($A$4:$A390,$A392,S$4:S390))</f>
        <v>8</v>
      </c>
      <c r="T392" s="28">
        <f>IF(SUMIF($A$4:$A390,$A392,T$4:T390)=0,"",SUMIF($A$4:$A390,$A392,T$4:T390))</f>
        <v>5</v>
      </c>
      <c r="U392" s="28">
        <f>IF(SUMIF($A$4:$A390,$A392,U$4:U390)=0,"",SUMIF($A$4:$A390,$A392,U$4:U390))</f>
        <v>4</v>
      </c>
      <c r="V392" s="28">
        <f>IF(SUMIF($A$4:$A390,$A392,V$4:V390)=0,"",SUMIF($A$4:$A390,$A392,V$4:V390))</f>
        <v>8</v>
      </c>
      <c r="W392" s="28">
        <f>IF(SUMIF($A$4:$A390,$A392,W$4:W390)=0,"",SUMIF($A$4:$A390,$A392,W$4:W390))</f>
        <v>7</v>
      </c>
      <c r="X392" s="28">
        <f>IF(SUMIF($A$4:$A390,$A392,X$4:X390)=0,"",SUMIF($A$4:$A390,$A392,X$4:X390))</f>
        <v>4</v>
      </c>
      <c r="Y392" s="28">
        <f>IF(SUMIF($A$4:$A390,$A392,Y$4:Y390)=0,"",SUMIF($A$4:$A390,$A392,Y$4:Y390))</f>
        <v>6</v>
      </c>
      <c r="Z392" s="28">
        <f>IF(SUMIF($A$4:$A390,$A392,Z$4:Z390)=0,"",SUMIF($A$4:$A390,$A392,Z$4:Z390))</f>
        <v>7</v>
      </c>
      <c r="AA392" s="28">
        <f>IF(SUMIF($A$4:$A390,$A392,AA$4:AA390)=0,"",SUMIF($A$4:$A390,$A392,AA$4:AA390))</f>
        <v>6</v>
      </c>
      <c r="AB392" s="28">
        <f>IF(SUMIF($A$4:$A390,$A392,AB$4:AB390)=0,"",SUMIF($A$4:$A390,$A392,AB$4:AB390))</f>
        <v>8</v>
      </c>
      <c r="AC392" s="28">
        <f>IF(SUMIF($A$4:$A390,$A392,AC$4:AC390)=0,"",SUMIF($A$4:$A390,$A392,AC$4:AC390))</f>
        <v>5</v>
      </c>
      <c r="AD392" s="28">
        <f>IF(SUMIF($A$4:$A390,$A392,AD$4:AD390)=0,"",SUMIF($A$4:$A390,$A392,AD$4:AD390))</f>
        <v>8</v>
      </c>
      <c r="AE392" s="28">
        <f>IF(SUMIF($A$4:$A390,$A392,AE$4:AE390)=0,"",SUMIF($A$4:$A390,$A392,AE$4:AE390))</f>
        <v>8</v>
      </c>
      <c r="AF392" s="28">
        <f>IF(SUMIF($A$4:$A390,$A392,AF$4:AF390)=0,"",SUMIF($A$4:$A390,$A392,AF$4:AF390))</f>
        <v>8</v>
      </c>
      <c r="AG392" s="28">
        <f>IF(SUMIF($A$4:$A390,$A392,AG$4:AG390)=0,"",SUMIF($A$4:$A390,$A392,AG$4:AG390))</f>
        <v>8</v>
      </c>
      <c r="AH392" s="34" t="str">
        <f>IF(SUMIF($A$4:$A390,$A392,AH$4:AH390)=0,"",SUMIF($A$4:$A390,$A392,AH$4:AH390))</f>
        <v/>
      </c>
      <c r="AI392" s="28">
        <f>IF(SUMIF($A$4:$A390,$A392,AI$4:AI390)=0,"",SUMIF($A$4:$A390,$A392,AI$4:AI390))</f>
        <v>8</v>
      </c>
      <c r="AJ392" s="28" t="str">
        <f>IF(SUMIF($A$4:$A390,$A392,AJ$4:AJ390)=0,"",SUMIF($A$4:$A390,$A392,AJ$4:AJ390))</f>
        <v/>
      </c>
      <c r="AK392" s="28" t="str">
        <f>IF(SUMIF($A$4:$A390,$A392,AK$4:AK390)=0,"",SUMIF($A$4:$A390,$A392,AK$4:AK390))</f>
        <v/>
      </c>
      <c r="AL392" s="50" t="str">
        <f>IF(SUMIF($A$4:$A390,$A392,AL$4:AL390)=0,"",SUMIF($A$4:$A390,$A392,AL$4:AL390))</f>
        <v/>
      </c>
      <c r="AM392" s="28" t="str">
        <f>IF(SUMIF($A$4:$A390,$A392,AM$4:AM390)=0,"",SUMIF($A$4:$A390,$A392,AM$4:AM390))</f>
        <v/>
      </c>
      <c r="AN392" s="28" t="str">
        <f>IF(SUMIF($A$4:$A390,$A392,AN$4:AN390)=0,"",SUMIF($A$4:$A390,$A392,AN$4:AN390))</f>
        <v/>
      </c>
      <c r="AO392" s="28" t="str">
        <f>IF(SUMIF($A$4:$A390,$A392,AO$4:AO390)=0,"",SUMIF($A$4:$A390,$A392,AO$4:AO390))</f>
        <v/>
      </c>
      <c r="AP392" s="34" t="str">
        <f>IF(SUMIF($A$4:$A390,$A392,AP$4:AP390)=0,"",SUMIF($A$4:$A390,$A392,AP$4:AP390))</f>
        <v/>
      </c>
      <c r="AQ392" s="28" t="str">
        <f>IF(SUMIF($A$4:$A390,$A392,AQ$4:AQ390)=0,"",SUMIF($A$4:$A390,$A392,AQ$4:AQ390))</f>
        <v/>
      </c>
      <c r="AR392" s="28" t="str">
        <f>IF(SUMIF($A$4:$A390,$A392,AR$4:AR390)=0,"",SUMIF($A$4:$A390,$A392,AR$4:AR390))</f>
        <v/>
      </c>
      <c r="AS392" s="205" t="str">
        <f>IF(SUMIF($A$4:$A390,$A392,AS$4:AS390)=0,"",SUMIF($A$4:$A390,$A392,AS$4:AS390))</f>
        <v/>
      </c>
      <c r="AT392" s="50" t="str">
        <f>IF(SUMIF($A$4:$A390,$A392,AT$4:AT390)=0,"",SUMIF($A$4:$A390,$A392,AT$4:AT390))</f>
        <v/>
      </c>
      <c r="AU392" s="436" t="str">
        <f>IF(SUMIF($A$4:$A390,$A392,AU$4:AU390)=0,"",SUMIF($A$4:$A390,$A392,AU$4:AU390))</f>
        <v/>
      </c>
      <c r="AV392" s="205" t="str">
        <f>IF(SUMIF($A$4:$A390,$A392,AV$4:AV390)=0,"",SUMIF($A$4:$A390,$A392,AV$4:AV390))</f>
        <v/>
      </c>
    </row>
    <row r="393" spans="1:48">
      <c r="A393" s="48" t="s">
        <v>3</v>
      </c>
      <c r="B393" s="34"/>
      <c r="C393" s="34"/>
      <c r="D393" s="34"/>
      <c r="E393" s="34"/>
      <c r="F393" s="34"/>
      <c r="G393" s="34"/>
      <c r="H393" s="34"/>
      <c r="I393" s="34"/>
      <c r="J393" s="28">
        <f>IF(SUMIF($A$4:$A391,$A393,J$4:J391)=0,"",SUMIF($A$4:$A391,$A393,J$4:J391))</f>
        <v>3</v>
      </c>
      <c r="K393" s="28">
        <f>IF(SUMIF($A$4:$A391,$A393,K$4:K391)=0,"",SUMIF($A$4:$A391,$A393,K$4:K391))</f>
        <v>3</v>
      </c>
      <c r="L393" s="28">
        <f>IF(SUMIF($A$4:$A391,$A393,L$4:L391)=0,"",SUMIF($A$4:$A391,$A393,L$4:L391))</f>
        <v>5</v>
      </c>
      <c r="M393" s="28">
        <f>IF(SUMIF($A$4:$A391,$A393,M$4:M391)=0,"",SUMIF($A$4:$A391,$A393,M$4:M391))</f>
        <v>6</v>
      </c>
      <c r="N393" s="28">
        <f>IF(SUMIF($A$4:$A391,$A393,N$4:N391)=0,"",SUMIF($A$4:$A391,$A393,N$4:N391))</f>
        <v>2</v>
      </c>
      <c r="O393" s="28">
        <f>IF(SUMIF($A$4:$A391,$A393,O$4:O391)=0,"",SUMIF($A$4:$A391,$A393,O$4:O391))</f>
        <v>5</v>
      </c>
      <c r="P393" s="28">
        <f>IF(SUMIF($A$4:$A391,$A393,P$4:P391)=0,"",SUMIF($A$4:$A391,$A393,P$4:P391))</f>
        <v>5</v>
      </c>
      <c r="Q393" s="34" t="str">
        <f>IF(SUMIF($A$4:$A391,$A393,Q$4:Q391)=0,"",SUMIF($A$4:$A391,$A393,Q$4:Q391))</f>
        <v/>
      </c>
      <c r="R393" s="34"/>
      <c r="S393" s="28" t="str">
        <f>IF(SUMIF($A$4:$A391,$A393,S$4:S391)=0,"",SUMIF($A$4:$A391,$A393,S$4:S391))</f>
        <v/>
      </c>
      <c r="T393" s="28">
        <f>IF(SUMIF($A$4:$A391,$A393,T$4:T391)=0,"",SUMIF($A$4:$A391,$A393,T$4:T391))</f>
        <v>3</v>
      </c>
      <c r="U393" s="28">
        <f>IF(SUMIF($A$4:$A391,$A393,U$4:U391)=0,"",SUMIF($A$4:$A391,$A393,U$4:U391))</f>
        <v>3</v>
      </c>
      <c r="V393" s="28">
        <f>IF(SUMIF($A$4:$A391,$A393,V$4:V391)=0,"",SUMIF($A$4:$A391,$A393,V$4:V391))</f>
        <v>6</v>
      </c>
      <c r="W393" s="28">
        <f>IF(SUMIF($A$4:$A391,$A393,W$4:W391)=0,"",SUMIF($A$4:$A391,$A393,W$4:W391))</f>
        <v>4</v>
      </c>
      <c r="X393" s="28">
        <f>IF(SUMIF($A$4:$A391,$A393,X$4:X391)=0,"",SUMIF($A$4:$A391,$A393,X$4:X391))</f>
        <v>4</v>
      </c>
      <c r="Y393" s="28">
        <f>IF(SUMIF($A$4:$A391,$A393,Y$4:Y391)=0,"",SUMIF($A$4:$A391,$A393,Y$4:Y391))</f>
        <v>3</v>
      </c>
      <c r="Z393" s="28">
        <f>IF(SUMIF($A$4:$A391,$A393,Z$4:Z391)=0,"",SUMIF($A$4:$A391,$A393,Z$4:Z391))</f>
        <v>4</v>
      </c>
      <c r="AA393" s="28">
        <f>IF(SUMIF($A$4:$A391,$A393,AA$4:AA391)=0,"",SUMIF($A$4:$A391,$A393,AA$4:AA391))</f>
        <v>3</v>
      </c>
      <c r="AB393" s="28">
        <f>IF(SUMIF($A$4:$A391,$A393,AB$4:AB391)=0,"",SUMIF($A$4:$A391,$A393,AB$4:AB391))</f>
        <v>5</v>
      </c>
      <c r="AC393" s="28" t="str">
        <f>IF(SUMIF($A$4:$A391,$A393,AC$4:AC391)=0,"",SUMIF($A$4:$A391,$A393,AC$4:AC391))</f>
        <v/>
      </c>
      <c r="AD393" s="28">
        <f>IF(SUMIF($A$4:$A391,$A393,AD$4:AD391)=0,"",SUMIF($A$4:$A391,$A393,AD$4:AD391))</f>
        <v>9</v>
      </c>
      <c r="AE393" s="28">
        <f>IF(SUMIF($A$4:$A391,$A393,AE$4:AE391)=0,"",SUMIF($A$4:$A391,$A393,AE$4:AE391))</f>
        <v>8</v>
      </c>
      <c r="AF393" s="28">
        <f>IF(SUMIF($A$4:$A391,$A393,AF$4:AF391)=0,"",SUMIF($A$4:$A391,$A393,AF$4:AF391))</f>
        <v>8</v>
      </c>
      <c r="AG393" s="28">
        <f>IF(SUMIF($A$4:$A391,$A393,AG$4:AG391)=0,"",SUMIF($A$4:$A391,$A393,AG$4:AG391))</f>
        <v>5</v>
      </c>
      <c r="AH393" s="34" t="str">
        <f>IF(SUMIF($A$4:$A391,$A393,AH$4:AH391)=0,"",SUMIF($A$4:$A391,$A393,AH$4:AH391))</f>
        <v/>
      </c>
      <c r="AI393" s="28">
        <f>IF(SUMIF($A$4:$A391,$A393,AI$4:AI391)=0,"",SUMIF($A$4:$A391,$A393,AI$4:AI391))</f>
        <v>4</v>
      </c>
      <c r="AJ393" s="28" t="str">
        <f>IF(SUMIF($A$4:$A391,$A393,AJ$4:AJ391)=0,"",SUMIF($A$4:$A391,$A393,AJ$4:AJ391))</f>
        <v/>
      </c>
      <c r="AK393" s="28" t="str">
        <f>IF(SUMIF($A$4:$A391,$A393,AK$4:AK391)=0,"",SUMIF($A$4:$A391,$A393,AK$4:AK391))</f>
        <v/>
      </c>
      <c r="AL393" s="50" t="str">
        <f>IF(SUMIF($A$4:$A391,$A393,AL$4:AL391)=0,"",SUMIF($A$4:$A391,$A393,AL$4:AL391))</f>
        <v/>
      </c>
      <c r="AM393" s="28" t="str">
        <f>IF(SUMIF($A$4:$A391,$A393,AM$4:AM391)=0,"",SUMIF($A$4:$A391,$A393,AM$4:AM391))</f>
        <v/>
      </c>
      <c r="AN393" s="28" t="str">
        <f>IF(SUMIF($A$4:$A391,$A393,AN$4:AN391)=0,"",SUMIF($A$4:$A391,$A393,AN$4:AN391))</f>
        <v/>
      </c>
      <c r="AO393" s="28" t="str">
        <f>IF(SUMIF($A$4:$A391,$A393,AO$4:AO391)=0,"",SUMIF($A$4:$A391,$A393,AO$4:AO391))</f>
        <v/>
      </c>
      <c r="AP393" s="34" t="str">
        <f>IF(SUMIF($A$4:$A391,$A393,AP$4:AP391)=0,"",SUMIF($A$4:$A391,$A393,AP$4:AP391))</f>
        <v/>
      </c>
      <c r="AQ393" s="28" t="str">
        <f>IF(SUMIF($A$4:$A391,$A393,AQ$4:AQ391)=0,"",SUMIF($A$4:$A391,$A393,AQ$4:AQ391))</f>
        <v/>
      </c>
      <c r="AR393" s="28" t="str">
        <f>IF(SUMIF($A$4:$A391,$A393,AR$4:AR391)=0,"",SUMIF($A$4:$A391,$A393,AR$4:AR391))</f>
        <v/>
      </c>
      <c r="AS393" s="205" t="str">
        <f>IF(SUMIF($A$4:$A391,$A393,AS$4:AS391)=0,"",SUMIF($A$4:$A391,$A393,AS$4:AS391))</f>
        <v/>
      </c>
      <c r="AT393" s="50" t="str">
        <f>IF(SUMIF($A$4:$A391,$A393,AT$4:AT391)=0,"",SUMIF($A$4:$A391,$A393,AT$4:AT391))</f>
        <v/>
      </c>
      <c r="AU393" s="436" t="str">
        <f>IF(SUMIF($A$4:$A391,$A393,AU$4:AU391)=0,"",SUMIF($A$4:$A391,$A393,AU$4:AU391))</f>
        <v/>
      </c>
      <c r="AV393" s="205" t="str">
        <f>IF(SUMIF($A$4:$A391,$A393,AV$4:AV391)=0,"",SUMIF($A$4:$A391,$A393,AV$4:AV391))</f>
        <v/>
      </c>
    </row>
    <row r="394" spans="1:48" ht="14.95" thickBot="1">
      <c r="A394" s="49" t="s">
        <v>4</v>
      </c>
      <c r="B394" s="37"/>
      <c r="C394" s="37"/>
      <c r="D394" s="37"/>
      <c r="E394" s="37"/>
      <c r="F394" s="37"/>
      <c r="G394" s="37"/>
      <c r="H394" s="37"/>
      <c r="I394" s="37"/>
      <c r="J394" s="36">
        <f>IF(SUMIF($A$4:$A392,$A394,J$4:J392)=0,"",SUMIF($A$4:$A392,$A394,J$4:J392))</f>
        <v>15</v>
      </c>
      <c r="K394" s="36">
        <f>IF(SUMIF($A$4:$A392,$A394,K$4:K392)=0,"",SUMIF($A$4:$A392,$A394,K$4:K392))</f>
        <v>23</v>
      </c>
      <c r="L394" s="36">
        <f>IF(SUMIF($A$4:$A392,$A394,L$4:L392)=0,"",SUMIF($A$4:$A392,$A394,L$4:L392))</f>
        <v>33</v>
      </c>
      <c r="M394" s="36">
        <f>IF(SUMIF($A$4:$A392,$A394,M$4:M392)=0,"",SUMIF($A$4:$A392,$A394,M$4:M392))</f>
        <v>38</v>
      </c>
      <c r="N394" s="36">
        <f>IF(SUMIF($A$4:$A392,$A394,N$4:N392)=0,"",SUMIF($A$4:$A392,$A394,N$4:N392))</f>
        <v>14</v>
      </c>
      <c r="O394" s="36">
        <f>IF(SUMIF($A$4:$A392,$A394,O$4:O392)=0,"",SUMIF($A$4:$A392,$A394,O$4:O392))</f>
        <v>38</v>
      </c>
      <c r="P394" s="36">
        <f>IF(SUMIF($A$4:$A392,$A394,P$4:P392)=0,"",SUMIF($A$4:$A392,$A394,P$4:P392))</f>
        <v>39</v>
      </c>
      <c r="Q394" s="37" t="str">
        <f>IF(SUMIF($A$4:$A392,$A394,Q$4:Q392)=0,"",SUMIF($A$4:$A392,$A394,Q$4:Q392))</f>
        <v/>
      </c>
      <c r="R394" s="37"/>
      <c r="S394" s="36">
        <f>IF(SUMIF($A$4:$A392,$A394,S$4:S392)=0,"",SUMIF($A$4:$A392,$A394,S$4:S392))</f>
        <v>3</v>
      </c>
      <c r="T394" s="36">
        <f>IF(SUMIF($A$4:$A392,$A394,T$4:T392)=0,"",SUMIF($A$4:$A392,$A394,T$4:T392))</f>
        <v>22</v>
      </c>
      <c r="U394" s="36">
        <f>IF(SUMIF($A$4:$A392,$A394,U$4:U392)=0,"",SUMIF($A$4:$A392,$A394,U$4:U392))</f>
        <v>27</v>
      </c>
      <c r="V394" s="36">
        <f>IF(SUMIF($A$4:$A392,$A394,V$4:V392)=0,"",SUMIF($A$4:$A392,$A394,V$4:V392))</f>
        <v>42</v>
      </c>
      <c r="W394" s="36">
        <f>IF(SUMIF($A$4:$A392,$A394,W$4:W392)=0,"",SUMIF($A$4:$A392,$A394,W$4:W392))</f>
        <v>31</v>
      </c>
      <c r="X394" s="36">
        <f>IF(SUMIF($A$4:$A392,$A394,X$4:X392)=0,"",SUMIF($A$4:$A392,$A394,X$4:X392))</f>
        <v>30</v>
      </c>
      <c r="Y394" s="36">
        <f>IF(SUMIF($A$4:$A392,$A394,Y$4:Y392)=0,"",SUMIF($A$4:$A392,$A394,Y$4:Y392))</f>
        <v>24</v>
      </c>
      <c r="Z394" s="36">
        <f>IF(SUMIF($A$4:$A392,$A394,Z$4:Z392)=0,"",SUMIF($A$4:$A392,$A394,Z$4:Z392))</f>
        <v>26</v>
      </c>
      <c r="AA394" s="36">
        <f>IF(SUMIF($A$4:$A392,$A394,AA$4:AA392)=0,"",SUMIF($A$4:$A392,$A394,AA$4:AA392))</f>
        <v>25</v>
      </c>
      <c r="AB394" s="36">
        <f>IF(SUMIF($A$4:$A392,$A394,AB$4:AB392)=0,"",SUMIF($A$4:$A392,$A394,AB$4:AB392))</f>
        <v>31</v>
      </c>
      <c r="AC394" s="36">
        <f>IF(SUMIF($A$4:$A392,$A394,AC$4:AC392)=0,"",SUMIF($A$4:$A392,$A394,AC$4:AC392))</f>
        <v>3</v>
      </c>
      <c r="AD394" s="36">
        <f>IF(SUMIF($A$4:$A392,$A394,AD$4:AD392)=0,"",SUMIF($A$4:$A392,$A394,AD$4:AD392))</f>
        <v>59</v>
      </c>
      <c r="AE394" s="36">
        <f>IF(SUMIF($A$4:$A392,$A394,AE$4:AE392)=0,"",SUMIF($A$4:$A392,$A394,AE$4:AE392))</f>
        <v>46</v>
      </c>
      <c r="AF394" s="36">
        <f>IF(SUMIF($A$4:$A392,$A394,AF$4:AF392)=0,"",SUMIF($A$4:$A392,$A394,AF$4:AF392))</f>
        <v>48</v>
      </c>
      <c r="AG394" s="36">
        <f>IF(SUMIF($A$4:$A392,$A394,AG$4:AG392)=0,"",SUMIF($A$4:$A392,$A394,AG$4:AG392))</f>
        <v>31</v>
      </c>
      <c r="AH394" s="37" t="str">
        <f>IF(SUMIF($A$4:$A392,$A394,AH$4:AH392)=0,"",SUMIF($A$4:$A392,$A394,AH$4:AH392))</f>
        <v/>
      </c>
      <c r="AI394" s="36">
        <f>IF(SUMIF($A$4:$A392,$A394,AI$4:AI392)=0,"",SUMIF($A$4:$A392,$A394,AI$4:AI392))</f>
        <v>31</v>
      </c>
      <c r="AJ394" s="36" t="str">
        <f>IF(SUMIF($A$4:$A392,$A394,AJ$4:AJ392)=0,"",SUMIF($A$4:$A392,$A394,AJ$4:AJ392))</f>
        <v/>
      </c>
      <c r="AK394" s="36" t="str">
        <f>IF(SUMIF($A$4:$A392,$A394,AK$4:AK392)=0,"",SUMIF($A$4:$A392,$A394,AK$4:AK392))</f>
        <v/>
      </c>
      <c r="AL394" s="51" t="str">
        <f>IF(SUMIF($A$4:$A392,$A394,AL$4:AL392)=0,"",SUMIF($A$4:$A392,$A394,AL$4:AL392))</f>
        <v/>
      </c>
      <c r="AM394" s="36" t="str">
        <f>IF(SUMIF($A$4:$A392,$A394,AM$4:AM392)=0,"",SUMIF($A$4:$A392,$A394,AM$4:AM392))</f>
        <v/>
      </c>
      <c r="AN394" s="36" t="str">
        <f>IF(SUMIF($A$4:$A392,$A394,AN$4:AN392)=0,"",SUMIF($A$4:$A392,$A394,AN$4:AN392))</f>
        <v/>
      </c>
      <c r="AO394" s="36" t="str">
        <f>IF(SUMIF($A$4:$A392,$A394,AO$4:AO392)=0,"",SUMIF($A$4:$A392,$A394,AO$4:AO392))</f>
        <v/>
      </c>
      <c r="AP394" s="37" t="str">
        <f>IF(SUMIF($A$4:$A392,$A394,AP$4:AP392)=0,"",SUMIF($A$4:$A392,$A394,AP$4:AP392))</f>
        <v/>
      </c>
      <c r="AQ394" s="36" t="str">
        <f>IF(SUMIF($A$4:$A392,$A394,AQ$4:AQ392)=0,"",SUMIF($A$4:$A392,$A394,AQ$4:AQ392))</f>
        <v/>
      </c>
      <c r="AR394" s="36" t="str">
        <f>IF(SUMIF($A$4:$A392,$A394,AR$4:AR392)=0,"",SUMIF($A$4:$A392,$A394,AR$4:AR392))</f>
        <v/>
      </c>
      <c r="AS394" s="72" t="str">
        <f>IF(SUMIF($A$4:$A392,$A394,AS$4:AS392)=0,"",SUMIF($A$4:$A392,$A394,AS$4:AS392))</f>
        <v/>
      </c>
      <c r="AT394" s="51" t="str">
        <f>IF(SUMIF($A$4:$A392,$A394,AT$4:AT392)=0,"",SUMIF($A$4:$A392,$A394,AT$4:AT392))</f>
        <v/>
      </c>
      <c r="AU394" s="437" t="str">
        <f>IF(SUMIF($A$4:$A392,$A394,AU$4:AU392)=0,"",SUMIF($A$4:$A392,$A394,AU$4:AU392))</f>
        <v/>
      </c>
      <c r="AV394" s="72" t="str">
        <f>IF(SUMIF($A$4:$A392,$A394,AV$4:AV392)=0,"",SUMIF($A$4:$A392,$A394,AV$4:AV392))</f>
        <v/>
      </c>
    </row>
    <row r="395" spans="1:48">
      <c r="A395" s="3" t="s">
        <v>997</v>
      </c>
      <c r="S395" s="15" t="s">
        <v>809</v>
      </c>
      <c r="AC395" s="15" t="s">
        <v>960</v>
      </c>
    </row>
    <row r="396" spans="1:48" ht="16.3">
      <c r="A396" s="528" t="s">
        <v>7</v>
      </c>
    </row>
    <row r="397" spans="1:48">
      <c r="A397" s="2"/>
    </row>
    <row r="398" spans="1:48">
      <c r="A398" s="2"/>
    </row>
    <row r="399" spans="1:48">
      <c r="A399" s="2"/>
    </row>
    <row r="400" spans="1:48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</sheetData>
  <mergeCells count="11">
    <mergeCell ref="A1:A3"/>
    <mergeCell ref="B1:I1"/>
    <mergeCell ref="B390:I390"/>
    <mergeCell ref="H2:I2"/>
    <mergeCell ref="B383:C383"/>
    <mergeCell ref="D383:E383"/>
    <mergeCell ref="F383:G383"/>
    <mergeCell ref="H383:I383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358:C363 B197:C208 B212:C212 B6:C46 B93:C143 B48:C55 B59 B269:C269 B307:C308 B312:C312 B183:C189 B215:C221 B227:C265 B222:B226 B350:C356 B273:C304 B64:C91 F385:H389 B318:C318 B148:C176 B180:C180 B321:C34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477"/>
  <sheetViews>
    <sheetView workbookViewId="0">
      <pane xSplit="7" ySplit="3" topLeftCell="S447" activePane="bottomRight" state="frozen"/>
      <selection pane="topRight" activeCell="H1" sqref="H1"/>
      <selection pane="bottomLeft" activeCell="A4" sqref="A4"/>
      <selection pane="bottomRight" activeCell="V465" sqref="V465"/>
    </sheetView>
  </sheetViews>
  <sheetFormatPr defaultColWidth="8.875" defaultRowHeight="14.3"/>
  <cols>
    <col min="1" max="1" width="41.5" bestFit="1" customWidth="1"/>
    <col min="2" max="7" width="5.625" customWidth="1"/>
    <col min="8" max="40" width="9.875" customWidth="1"/>
  </cols>
  <sheetData>
    <row r="1" spans="1:48" ht="17" thickBot="1">
      <c r="A1" s="893" t="s">
        <v>512</v>
      </c>
      <c r="B1" s="896" t="s">
        <v>347</v>
      </c>
      <c r="C1" s="897"/>
      <c r="D1" s="897"/>
      <c r="E1" s="897"/>
      <c r="F1" s="897"/>
      <c r="G1" s="898"/>
      <c r="H1" s="22" t="s">
        <v>529</v>
      </c>
      <c r="I1" s="22" t="s">
        <v>530</v>
      </c>
      <c r="J1" s="22" t="s">
        <v>531</v>
      </c>
      <c r="K1" s="22" t="s">
        <v>532</v>
      </c>
      <c r="L1" s="22" t="s">
        <v>533</v>
      </c>
      <c r="M1" s="22" t="s">
        <v>534</v>
      </c>
      <c r="N1" s="22" t="s">
        <v>535</v>
      </c>
      <c r="O1" s="22" t="s">
        <v>436</v>
      </c>
      <c r="P1" s="22" t="s">
        <v>9</v>
      </c>
      <c r="Q1" s="22" t="s">
        <v>536</v>
      </c>
      <c r="R1" s="22" t="s">
        <v>9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542</v>
      </c>
      <c r="AC1" s="22" t="s">
        <v>9</v>
      </c>
      <c r="AD1" s="22" t="s">
        <v>543</v>
      </c>
      <c r="AE1" s="22" t="s">
        <v>544</v>
      </c>
      <c r="AF1" s="22" t="s">
        <v>545</v>
      </c>
      <c r="AG1" s="22" t="s">
        <v>304</v>
      </c>
      <c r="AH1" s="22" t="s">
        <v>546</v>
      </c>
      <c r="AI1" s="22" t="s">
        <v>547</v>
      </c>
      <c r="AJ1" s="22" t="s">
        <v>548</v>
      </c>
      <c r="AK1" s="22" t="s">
        <v>9</v>
      </c>
      <c r="AL1" s="22" t="s">
        <v>9</v>
      </c>
      <c r="AM1" s="22" t="s">
        <v>551</v>
      </c>
      <c r="AN1" s="22" t="s">
        <v>552</v>
      </c>
      <c r="AO1" s="22" t="s">
        <v>9</v>
      </c>
      <c r="AP1" s="22" t="s">
        <v>554</v>
      </c>
      <c r="AQ1" s="22" t="s">
        <v>555</v>
      </c>
      <c r="AR1" s="22" t="s">
        <v>9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894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41153</v>
      </c>
      <c r="I2" s="42">
        <v>43709</v>
      </c>
      <c r="J2" s="4">
        <v>45901</v>
      </c>
      <c r="K2" s="4">
        <v>38626</v>
      </c>
      <c r="L2" s="5">
        <v>40817</v>
      </c>
      <c r="M2" s="5">
        <v>43009</v>
      </c>
      <c r="N2" s="5">
        <v>45931</v>
      </c>
      <c r="O2" s="42">
        <v>37561</v>
      </c>
      <c r="P2" s="56">
        <v>39753</v>
      </c>
      <c r="Q2" s="41">
        <v>41944</v>
      </c>
      <c r="R2" s="56">
        <v>44866</v>
      </c>
      <c r="S2" s="4">
        <v>47423</v>
      </c>
      <c r="T2" s="38">
        <v>39417</v>
      </c>
      <c r="U2" s="38">
        <v>41609</v>
      </c>
      <c r="V2" s="4">
        <v>43800</v>
      </c>
      <c r="W2" s="4">
        <v>10197</v>
      </c>
      <c r="X2" s="5">
        <v>37257</v>
      </c>
      <c r="Y2" s="38">
        <v>39814</v>
      </c>
      <c r="Z2" s="38">
        <v>42736</v>
      </c>
      <c r="AA2" s="4">
        <v>44927</v>
      </c>
      <c r="AB2" s="41">
        <v>36923</v>
      </c>
      <c r="AC2" s="56">
        <v>2589</v>
      </c>
      <c r="AD2" s="41">
        <v>41671</v>
      </c>
      <c r="AE2" s="41">
        <v>43862</v>
      </c>
      <c r="AF2" s="41">
        <v>46784</v>
      </c>
      <c r="AG2" s="41">
        <v>39508</v>
      </c>
      <c r="AH2" s="41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895"/>
      <c r="B3" s="66" t="s">
        <v>355</v>
      </c>
      <c r="C3" s="64" t="s">
        <v>349</v>
      </c>
      <c r="D3" s="67" t="s">
        <v>355</v>
      </c>
      <c r="E3" s="61" t="s">
        <v>349</v>
      </c>
      <c r="F3" s="67" t="s">
        <v>355</v>
      </c>
      <c r="G3" s="70" t="s">
        <v>349</v>
      </c>
      <c r="H3" s="7" t="s">
        <v>397</v>
      </c>
      <c r="I3" s="7" t="s">
        <v>380</v>
      </c>
      <c r="J3" s="80" t="s">
        <v>392</v>
      </c>
      <c r="K3" s="546" t="s">
        <v>639</v>
      </c>
      <c r="L3" s="577" t="s">
        <v>376</v>
      </c>
      <c r="M3" s="81" t="s">
        <v>380</v>
      </c>
      <c r="N3" s="577" t="s">
        <v>722</v>
      </c>
      <c r="O3" s="8" t="s">
        <v>392</v>
      </c>
      <c r="P3" s="7"/>
      <c r="Q3" s="9" t="s">
        <v>687</v>
      </c>
      <c r="R3" s="413"/>
      <c r="S3" s="9" t="s">
        <v>391</v>
      </c>
      <c r="T3" s="9" t="s">
        <v>861</v>
      </c>
      <c r="U3" s="664" t="s">
        <v>880</v>
      </c>
      <c r="V3" s="10" t="s">
        <v>403</v>
      </c>
      <c r="W3" s="21" t="s">
        <v>388</v>
      </c>
      <c r="X3" s="10" t="s">
        <v>593</v>
      </c>
      <c r="Y3" s="10" t="s">
        <v>933</v>
      </c>
      <c r="Z3" s="21" t="s">
        <v>955</v>
      </c>
      <c r="AA3" s="21" t="s">
        <v>687</v>
      </c>
      <c r="AB3" s="11" t="s">
        <v>700</v>
      </c>
      <c r="AC3" s="9"/>
      <c r="AD3" s="10" t="s">
        <v>722</v>
      </c>
      <c r="AE3" s="9" t="s">
        <v>706</v>
      </c>
      <c r="AF3" s="10" t="s">
        <v>376</v>
      </c>
      <c r="AG3" s="54"/>
      <c r="AH3" s="54"/>
      <c r="AI3" s="6"/>
      <c r="AJ3" s="9"/>
      <c r="AK3" s="7"/>
      <c r="AL3" s="9"/>
      <c r="AM3" s="7"/>
      <c r="AN3" s="11"/>
      <c r="AO3" s="7"/>
      <c r="AP3" s="9"/>
      <c r="AQ3" s="9"/>
      <c r="AR3" s="9"/>
      <c r="AS3" s="11"/>
      <c r="AT3" s="9"/>
      <c r="AU3" s="785"/>
      <c r="AV3" s="465"/>
    </row>
    <row r="4" spans="1:48" ht="21.1">
      <c r="A4" s="89" t="s">
        <v>683</v>
      </c>
      <c r="B4" s="209"/>
      <c r="C4" s="214"/>
      <c r="D4" s="133"/>
      <c r="E4" s="134"/>
      <c r="F4" s="135"/>
      <c r="G4" s="136"/>
      <c r="H4" s="96"/>
      <c r="I4" s="96"/>
      <c r="J4" s="75" t="s">
        <v>383</v>
      </c>
      <c r="K4" s="75" t="s">
        <v>383</v>
      </c>
      <c r="L4" s="75">
        <v>14</v>
      </c>
      <c r="M4" s="75" t="s">
        <v>383</v>
      </c>
      <c r="N4" s="75" t="s">
        <v>339</v>
      </c>
      <c r="O4" s="96" t="s">
        <v>339</v>
      </c>
      <c r="P4" s="163"/>
      <c r="Q4" s="109" t="s">
        <v>339</v>
      </c>
      <c r="R4" s="111"/>
      <c r="S4" s="102" t="s">
        <v>339</v>
      </c>
      <c r="T4" s="101" t="s">
        <v>339</v>
      </c>
      <c r="U4" s="101" t="s">
        <v>339</v>
      </c>
      <c r="V4" s="102" t="s">
        <v>339</v>
      </c>
      <c r="W4" s="102" t="s">
        <v>383</v>
      </c>
      <c r="X4" s="102" t="s">
        <v>339</v>
      </c>
      <c r="Y4" s="101" t="s">
        <v>339</v>
      </c>
      <c r="Z4" s="101" t="s">
        <v>339</v>
      </c>
      <c r="AA4" s="102" t="s">
        <v>339</v>
      </c>
      <c r="AB4" s="99" t="s">
        <v>339</v>
      </c>
      <c r="AC4" s="98"/>
      <c r="AD4" s="99" t="s">
        <v>339</v>
      </c>
      <c r="AE4" s="99" t="s">
        <v>339</v>
      </c>
      <c r="AF4" s="99" t="s">
        <v>339</v>
      </c>
      <c r="AG4" s="99"/>
      <c r="AH4" s="102"/>
      <c r="AI4" s="102"/>
      <c r="AJ4" s="138"/>
      <c r="AK4" s="446"/>
      <c r="AL4" s="103"/>
      <c r="AM4" s="102"/>
      <c r="AN4" s="102"/>
      <c r="AO4" s="103"/>
      <c r="AP4" s="102"/>
      <c r="AQ4" s="102"/>
      <c r="AR4" s="103"/>
      <c r="AS4" s="138"/>
      <c r="AT4" s="478"/>
    </row>
    <row r="5" spans="1:48" ht="16.3">
      <c r="A5" s="611" t="s">
        <v>1</v>
      </c>
      <c r="B5" s="210">
        <f>SUM(J5+K5+L5+M5+N5+S5+V5+W5+X5+AA5+AI5+AJ5+AI5+AM5+AP5+AQ5+AS5+AT5+AU5+AV5+AN5)</f>
        <v>5</v>
      </c>
      <c r="C5" s="215">
        <f>SUM(J5+K5+L5+M5+N5+S5+W5+X5+V5+AA5+AJ5+AI5+AJ5+AN5+AQ5+AM5+AT5+AU5+AV5+AW5+AP5+AS5)+56</f>
        <v>61</v>
      </c>
      <c r="D5" s="133"/>
      <c r="E5" s="134"/>
      <c r="F5" s="135"/>
      <c r="G5" s="136"/>
      <c r="H5" s="96"/>
      <c r="I5" s="96"/>
      <c r="J5" s="75">
        <v>1</v>
      </c>
      <c r="K5" s="75">
        <v>1</v>
      </c>
      <c r="L5" s="75">
        <v>1</v>
      </c>
      <c r="M5" s="75">
        <v>1</v>
      </c>
      <c r="N5" s="75"/>
      <c r="O5" s="96"/>
      <c r="P5" s="105"/>
      <c r="Q5" s="96"/>
      <c r="R5" s="107"/>
      <c r="S5" s="75"/>
      <c r="T5" s="106"/>
      <c r="U5" s="106"/>
      <c r="V5" s="75"/>
      <c r="W5" s="75">
        <v>1</v>
      </c>
      <c r="X5" s="75"/>
      <c r="Y5" s="106"/>
      <c r="Z5" s="106"/>
      <c r="AA5" s="75"/>
      <c r="AB5" s="96"/>
      <c r="AC5" s="105"/>
      <c r="AD5" s="96"/>
      <c r="AE5" s="96"/>
      <c r="AF5" s="96"/>
      <c r="AG5" s="96"/>
      <c r="AH5" s="75"/>
      <c r="AI5" s="75"/>
      <c r="AJ5" s="141"/>
      <c r="AK5" s="447"/>
      <c r="AL5" s="107"/>
      <c r="AM5" s="75"/>
      <c r="AN5" s="75"/>
      <c r="AO5" s="107"/>
      <c r="AP5" s="75"/>
      <c r="AQ5" s="75"/>
      <c r="AR5" s="107"/>
      <c r="AS5" s="141"/>
      <c r="AT5" s="168"/>
    </row>
    <row r="6" spans="1:48" ht="16.3">
      <c r="A6" s="611" t="s">
        <v>2</v>
      </c>
      <c r="B6" s="210">
        <f>SUM(J6+K6+L6+M6+N6+S6+V6+W6+X6+AA6+AI6+AJ6+AI6+AM6+AP6+AQ6+AS6+AT6+AU6+AV6)</f>
        <v>0</v>
      </c>
      <c r="C6" s="215">
        <f>SUM(J6+K6+L6+M6+N6+S6+W6+X6+V6+AA6+AJ6+AI6+AJ6+AN6+AQ6+AM6+AT6+AU6+AV6+AW6+AP6+AS6)+1</f>
        <v>1</v>
      </c>
      <c r="D6" s="133"/>
      <c r="E6" s="134"/>
      <c r="F6" s="135"/>
      <c r="G6" s="136"/>
      <c r="H6" s="96"/>
      <c r="I6" s="96"/>
      <c r="J6" s="75"/>
      <c r="K6" s="75"/>
      <c r="L6" s="75"/>
      <c r="M6" s="75"/>
      <c r="N6" s="75"/>
      <c r="O6" s="96"/>
      <c r="P6" s="163"/>
      <c r="Q6" s="109"/>
      <c r="R6" s="111"/>
      <c r="S6" s="100"/>
      <c r="T6" s="110"/>
      <c r="U6" s="110"/>
      <c r="V6" s="100"/>
      <c r="W6" s="100"/>
      <c r="X6" s="100"/>
      <c r="Y6" s="110"/>
      <c r="Z6" s="110"/>
      <c r="AA6" s="100"/>
      <c r="AB6" s="109"/>
      <c r="AC6" s="108"/>
      <c r="AD6" s="109"/>
      <c r="AE6" s="109"/>
      <c r="AF6" s="109"/>
      <c r="AG6" s="109"/>
      <c r="AH6" s="100"/>
      <c r="AI6" s="100"/>
      <c r="AJ6" s="142"/>
      <c r="AK6" s="448"/>
      <c r="AL6" s="111"/>
      <c r="AM6" s="100"/>
      <c r="AN6" s="100"/>
      <c r="AO6" s="111"/>
      <c r="AP6" s="100"/>
      <c r="AQ6" s="100"/>
      <c r="AR6" s="111"/>
      <c r="AS6" s="142"/>
      <c r="AT6" s="150"/>
    </row>
    <row r="7" spans="1:48" ht="16.3">
      <c r="A7" s="91" t="s">
        <v>363</v>
      </c>
      <c r="B7" s="209">
        <f>SUM(B5+B6)</f>
        <v>5</v>
      </c>
      <c r="C7" s="214">
        <f>SUM(C5+C6)</f>
        <v>62</v>
      </c>
      <c r="D7" s="133"/>
      <c r="E7" s="134"/>
      <c r="F7" s="135"/>
      <c r="G7" s="136"/>
      <c r="H7" s="96"/>
      <c r="I7" s="96"/>
      <c r="J7" s="75"/>
      <c r="K7" s="75"/>
      <c r="L7" s="75"/>
      <c r="M7" s="75"/>
      <c r="N7" s="75"/>
      <c r="O7" s="96"/>
      <c r="P7" s="163"/>
      <c r="Q7" s="109"/>
      <c r="R7" s="111"/>
      <c r="S7" s="100"/>
      <c r="T7" s="110"/>
      <c r="U7" s="110"/>
      <c r="V7" s="100"/>
      <c r="W7" s="100"/>
      <c r="X7" s="100"/>
      <c r="Y7" s="110"/>
      <c r="Z7" s="110"/>
      <c r="AA7" s="100"/>
      <c r="AB7" s="109"/>
      <c r="AC7" s="108"/>
      <c r="AD7" s="109"/>
      <c r="AE7" s="109"/>
      <c r="AF7" s="109"/>
      <c r="AG7" s="109"/>
      <c r="AH7" s="100"/>
      <c r="AI7" s="100"/>
      <c r="AJ7" s="142"/>
      <c r="AK7" s="448"/>
      <c r="AL7" s="111"/>
      <c r="AM7" s="100"/>
      <c r="AN7" s="100"/>
      <c r="AO7" s="111"/>
      <c r="AP7" s="100"/>
      <c r="AQ7" s="100"/>
      <c r="AR7" s="111"/>
      <c r="AS7" s="142"/>
      <c r="AT7" s="150"/>
    </row>
    <row r="8" spans="1:48" ht="16.3">
      <c r="A8" s="611" t="s">
        <v>362</v>
      </c>
      <c r="B8" s="210">
        <f>SUM(J8+K8+L8+M8+N8+S8+V8+W8+X8+AA8+AI8+AJ8+AI8+AM8+AP8+AQ8+AS8+AT8+AU8+AV8)</f>
        <v>0</v>
      </c>
      <c r="C8" s="215">
        <f>SUM(J8+K8+L8+M8+N8+S8+W8+X8+V8+AA8+AJ8+AI8+AJ8+AN8+AQ8+AM8+AT8+AU8+AV8+AW8+AP8+AS8)+3</f>
        <v>3</v>
      </c>
      <c r="D8" s="133"/>
      <c r="E8" s="134"/>
      <c r="F8" s="135"/>
      <c r="G8" s="136"/>
      <c r="H8" s="96"/>
      <c r="I8" s="96"/>
      <c r="J8" s="75"/>
      <c r="K8" s="75"/>
      <c r="L8" s="75"/>
      <c r="M8" s="75"/>
      <c r="N8" s="75"/>
      <c r="O8" s="96"/>
      <c r="P8" s="163"/>
      <c r="Q8" s="109"/>
      <c r="R8" s="111"/>
      <c r="S8" s="100"/>
      <c r="T8" s="110"/>
      <c r="U8" s="110"/>
      <c r="V8" s="100"/>
      <c r="W8" s="100"/>
      <c r="X8" s="100"/>
      <c r="Y8" s="110"/>
      <c r="Z8" s="110"/>
      <c r="AA8" s="100"/>
      <c r="AB8" s="109"/>
      <c r="AC8" s="108"/>
      <c r="AD8" s="109"/>
      <c r="AE8" s="109"/>
      <c r="AF8" s="109"/>
      <c r="AG8" s="109"/>
      <c r="AH8" s="100"/>
      <c r="AI8" s="100"/>
      <c r="AJ8" s="142"/>
      <c r="AK8" s="448"/>
      <c r="AL8" s="111"/>
      <c r="AM8" s="100"/>
      <c r="AN8" s="100"/>
      <c r="AO8" s="111"/>
      <c r="AP8" s="100"/>
      <c r="AQ8" s="100"/>
      <c r="AR8" s="111"/>
      <c r="AS8" s="142"/>
      <c r="AT8" s="150"/>
    </row>
    <row r="9" spans="1:48" ht="16.3">
      <c r="A9" s="91" t="s">
        <v>3</v>
      </c>
      <c r="B9" s="209">
        <f>SUM(J9+K9+L9+M9+N9+S9+V9+W9+X9+AA9+AI9+AJ9+AI9+AM9+AP9+AQ9+AS9+AT9+AU9+AV9)</f>
        <v>1</v>
      </c>
      <c r="C9" s="214">
        <f>SUM(J9+K9+L9+M9+N9+S9+W9+X9+V9+AA9+AJ9+AI9+AJ9+AN9+AQ9+AM9+AT9+AU9+AV9+AW9+AP9+AS9)+18</f>
        <v>19</v>
      </c>
      <c r="D9" s="133"/>
      <c r="E9" s="134"/>
      <c r="F9" s="135"/>
      <c r="G9" s="136"/>
      <c r="H9" s="96"/>
      <c r="I9" s="96"/>
      <c r="J9" s="75"/>
      <c r="K9" s="75"/>
      <c r="L9" s="75">
        <v>1</v>
      </c>
      <c r="M9" s="75"/>
      <c r="N9" s="75"/>
      <c r="O9" s="96"/>
      <c r="P9" s="163"/>
      <c r="Q9" s="109"/>
      <c r="R9" s="111"/>
      <c r="S9" s="100"/>
      <c r="T9" s="110"/>
      <c r="U9" s="110"/>
      <c r="V9" s="100"/>
      <c r="W9" s="100"/>
      <c r="X9" s="100"/>
      <c r="Y9" s="110"/>
      <c r="Z9" s="110"/>
      <c r="AA9" s="100"/>
      <c r="AB9" s="109"/>
      <c r="AC9" s="108"/>
      <c r="AD9" s="109"/>
      <c r="AE9" s="109"/>
      <c r="AF9" s="109"/>
      <c r="AG9" s="109"/>
      <c r="AH9" s="100"/>
      <c r="AI9" s="100"/>
      <c r="AJ9" s="142"/>
      <c r="AK9" s="448"/>
      <c r="AL9" s="111"/>
      <c r="AM9" s="100"/>
      <c r="AN9" s="100"/>
      <c r="AO9" s="111"/>
      <c r="AP9" s="100"/>
      <c r="AQ9" s="100"/>
      <c r="AR9" s="111"/>
      <c r="AS9" s="142"/>
      <c r="AT9" s="150"/>
    </row>
    <row r="10" spans="1:48" ht="17" thickBot="1">
      <c r="A10" s="92" t="s">
        <v>4</v>
      </c>
      <c r="B10" s="212">
        <f>SUM(J10+K10+L10+M10+N10+S10+V10+W10+X10+AA10+AI10+AJ10+AI10+AM10+AP10+AQ10+AS10+AT10+AU10+AV10)</f>
        <v>5</v>
      </c>
      <c r="C10" s="217">
        <f>SUM(J10+K10+L10+M10+N10+S10+W10+X10+V10+AA10+AJ10+AI10+AJ10+AN10+AQ10+AM10+AT10+AU10+AV10+AW10+AP10+AS10)+90</f>
        <v>95</v>
      </c>
      <c r="D10" s="144"/>
      <c r="E10" s="145"/>
      <c r="F10" s="146"/>
      <c r="G10" s="147"/>
      <c r="H10" s="114"/>
      <c r="I10" s="114"/>
      <c r="J10" s="112"/>
      <c r="K10" s="112"/>
      <c r="L10" s="112">
        <v>5</v>
      </c>
      <c r="M10" s="112"/>
      <c r="N10" s="112"/>
      <c r="O10" s="114"/>
      <c r="P10" s="164"/>
      <c r="Q10" s="118"/>
      <c r="R10" s="130"/>
      <c r="S10" s="116"/>
      <c r="T10" s="120"/>
      <c r="U10" s="120"/>
      <c r="V10" s="116"/>
      <c r="W10" s="116"/>
      <c r="X10" s="116"/>
      <c r="Y10" s="120"/>
      <c r="Z10" s="120"/>
      <c r="AA10" s="116"/>
      <c r="AB10" s="118"/>
      <c r="AC10" s="117"/>
      <c r="AD10" s="118"/>
      <c r="AE10" s="118"/>
      <c r="AF10" s="118"/>
      <c r="AG10" s="118"/>
      <c r="AH10" s="116"/>
      <c r="AI10" s="116"/>
      <c r="AJ10" s="149"/>
      <c r="AK10" s="449"/>
      <c r="AL10" s="121"/>
      <c r="AM10" s="116"/>
      <c r="AN10" s="116"/>
      <c r="AO10" s="121"/>
      <c r="AP10" s="116"/>
      <c r="AQ10" s="116"/>
      <c r="AR10" s="121"/>
      <c r="AS10" s="149"/>
      <c r="AT10" s="176"/>
    </row>
    <row r="11" spans="1:48" ht="21.1">
      <c r="A11" s="89" t="s">
        <v>209</v>
      </c>
      <c r="B11" s="209"/>
      <c r="C11" s="214"/>
      <c r="D11" s="133"/>
      <c r="E11" s="134"/>
      <c r="F11" s="135"/>
      <c r="G11" s="136"/>
      <c r="H11" s="109" t="s">
        <v>339</v>
      </c>
      <c r="I11" s="96" t="s">
        <v>339</v>
      </c>
      <c r="J11" s="75" t="s">
        <v>339</v>
      </c>
      <c r="K11" s="75" t="s">
        <v>339</v>
      </c>
      <c r="L11" s="75" t="s">
        <v>339</v>
      </c>
      <c r="M11" s="75" t="s">
        <v>339</v>
      </c>
      <c r="N11" s="75" t="s">
        <v>339</v>
      </c>
      <c r="O11" s="96" t="s">
        <v>383</v>
      </c>
      <c r="P11" s="163"/>
      <c r="Q11" s="109">
        <v>14</v>
      </c>
      <c r="R11" s="111"/>
      <c r="S11" s="100"/>
      <c r="T11" s="110"/>
      <c r="U11" s="110">
        <v>14</v>
      </c>
      <c r="V11" s="100" t="s">
        <v>375</v>
      </c>
      <c r="W11" s="100" t="s">
        <v>375</v>
      </c>
      <c r="X11" s="100" t="s">
        <v>375</v>
      </c>
      <c r="Y11" s="110" t="s">
        <v>367</v>
      </c>
      <c r="Z11" s="110">
        <v>14</v>
      </c>
      <c r="AA11" s="100" t="s">
        <v>383</v>
      </c>
      <c r="AB11" s="109">
        <v>14</v>
      </c>
      <c r="AC11" s="108"/>
      <c r="AD11" s="109"/>
      <c r="AE11" s="109">
        <v>14</v>
      </c>
      <c r="AF11" s="109"/>
      <c r="AG11" s="109"/>
      <c r="AH11" s="100"/>
      <c r="AI11" s="100"/>
      <c r="AJ11" s="142"/>
      <c r="AK11" s="448"/>
      <c r="AL11" s="111"/>
      <c r="AM11" s="100"/>
      <c r="AN11" s="100"/>
      <c r="AO11" s="111"/>
      <c r="AP11" s="100"/>
      <c r="AQ11" s="100"/>
      <c r="AR11" s="111"/>
      <c r="AS11" s="177"/>
      <c r="AT11" s="807"/>
    </row>
    <row r="12" spans="1:48" ht="16.3">
      <c r="A12" s="611" t="s">
        <v>1</v>
      </c>
      <c r="B12" s="210">
        <f>SUM(J12+K12+L12+M12+N12+S12+V12+W12+X12+AA12+AI12+AJ12+AI12+AM12+AP12+AQ12+AS12+AT12+AU12+AV12+AN12)+12</f>
        <v>13</v>
      </c>
      <c r="C12" s="215">
        <f>B12</f>
        <v>13</v>
      </c>
      <c r="D12" s="133"/>
      <c r="E12" s="134"/>
      <c r="F12" s="135"/>
      <c r="G12" s="136"/>
      <c r="H12" s="109"/>
      <c r="I12" s="96"/>
      <c r="J12" s="75"/>
      <c r="K12" s="75"/>
      <c r="L12" s="75"/>
      <c r="M12" s="75"/>
      <c r="N12" s="75"/>
      <c r="O12" s="96">
        <v>1</v>
      </c>
      <c r="P12" s="163"/>
      <c r="Q12" s="109">
        <v>1</v>
      </c>
      <c r="R12" s="111"/>
      <c r="S12" s="100"/>
      <c r="T12" s="110"/>
      <c r="U12" s="110">
        <v>1</v>
      </c>
      <c r="V12" s="100"/>
      <c r="W12" s="100"/>
      <c r="X12" s="100"/>
      <c r="Y12" s="110">
        <v>1</v>
      </c>
      <c r="Z12" s="110">
        <v>1</v>
      </c>
      <c r="AA12" s="100">
        <v>1</v>
      </c>
      <c r="AB12" s="109">
        <v>1</v>
      </c>
      <c r="AC12" s="108"/>
      <c r="AD12" s="109"/>
      <c r="AE12" s="109">
        <v>1</v>
      </c>
      <c r="AF12" s="109"/>
      <c r="AG12" s="109"/>
      <c r="AH12" s="100"/>
      <c r="AI12" s="100"/>
      <c r="AJ12" s="142"/>
      <c r="AK12" s="448"/>
      <c r="AL12" s="111"/>
      <c r="AM12" s="100"/>
      <c r="AN12" s="100"/>
      <c r="AO12" s="111"/>
      <c r="AP12" s="100"/>
      <c r="AQ12" s="100"/>
      <c r="AR12" s="111"/>
      <c r="AS12" s="141"/>
      <c r="AT12" s="807"/>
    </row>
    <row r="13" spans="1:48" ht="16.3">
      <c r="A13" s="611" t="s">
        <v>2</v>
      </c>
      <c r="B13" s="210">
        <f>SUM(J13+K13+L13+M13+N13+S13+V13+W13+X13+AA13+AI13+AJ13+AI13+AM13+AP13+AQ13+AS13+AT13+AU13+AV13)+6</f>
        <v>9</v>
      </c>
      <c r="C13" s="215">
        <f t="shared" ref="C13:C16" si="0">B13</f>
        <v>9</v>
      </c>
      <c r="D13" s="133"/>
      <c r="E13" s="134"/>
      <c r="F13" s="135"/>
      <c r="G13" s="136"/>
      <c r="H13" s="109"/>
      <c r="I13" s="96"/>
      <c r="J13" s="75"/>
      <c r="K13" s="75"/>
      <c r="L13" s="75"/>
      <c r="M13" s="75"/>
      <c r="N13" s="75"/>
      <c r="O13" s="96"/>
      <c r="P13" s="163"/>
      <c r="Q13" s="109"/>
      <c r="R13" s="111"/>
      <c r="S13" s="100"/>
      <c r="T13" s="110"/>
      <c r="U13" s="110"/>
      <c r="V13" s="100">
        <v>1</v>
      </c>
      <c r="W13" s="100">
        <v>1</v>
      </c>
      <c r="X13" s="100">
        <v>1</v>
      </c>
      <c r="Y13" s="110"/>
      <c r="Z13" s="110"/>
      <c r="AA13" s="100"/>
      <c r="AB13" s="109"/>
      <c r="AC13" s="108"/>
      <c r="AD13" s="109"/>
      <c r="AE13" s="109"/>
      <c r="AF13" s="109"/>
      <c r="AG13" s="109"/>
      <c r="AH13" s="100"/>
      <c r="AI13" s="100"/>
      <c r="AJ13" s="142"/>
      <c r="AK13" s="448"/>
      <c r="AL13" s="111"/>
      <c r="AM13" s="100"/>
      <c r="AN13" s="100"/>
      <c r="AO13" s="111"/>
      <c r="AP13" s="100"/>
      <c r="AQ13" s="100"/>
      <c r="AR13" s="111"/>
      <c r="AS13" s="141"/>
      <c r="AT13" s="807"/>
    </row>
    <row r="14" spans="1:48" ht="16.3">
      <c r="A14" s="91" t="s">
        <v>363</v>
      </c>
      <c r="B14" s="209">
        <f>SUM(B12+B13)</f>
        <v>22</v>
      </c>
      <c r="C14" s="214">
        <f t="shared" si="0"/>
        <v>22</v>
      </c>
      <c r="D14" s="133"/>
      <c r="E14" s="134"/>
      <c r="F14" s="135"/>
      <c r="G14" s="136"/>
      <c r="H14" s="109"/>
      <c r="I14" s="96"/>
      <c r="J14" s="75"/>
      <c r="K14" s="75"/>
      <c r="L14" s="75"/>
      <c r="M14" s="75"/>
      <c r="N14" s="75"/>
      <c r="O14" s="96"/>
      <c r="P14" s="163"/>
      <c r="Q14" s="109"/>
      <c r="R14" s="111"/>
      <c r="S14" s="100"/>
      <c r="T14" s="110"/>
      <c r="U14" s="110"/>
      <c r="V14" s="100"/>
      <c r="W14" s="100"/>
      <c r="X14" s="100"/>
      <c r="Y14" s="110"/>
      <c r="Z14" s="110"/>
      <c r="AA14" s="100"/>
      <c r="AB14" s="109"/>
      <c r="AC14" s="108"/>
      <c r="AD14" s="109"/>
      <c r="AE14" s="109"/>
      <c r="AF14" s="109"/>
      <c r="AG14" s="109"/>
      <c r="AH14" s="100"/>
      <c r="AI14" s="100"/>
      <c r="AJ14" s="142"/>
      <c r="AK14" s="448"/>
      <c r="AL14" s="111"/>
      <c r="AM14" s="100"/>
      <c r="AN14" s="100"/>
      <c r="AO14" s="111"/>
      <c r="AP14" s="100"/>
      <c r="AQ14" s="100"/>
      <c r="AR14" s="111"/>
      <c r="AS14" s="141"/>
      <c r="AT14" s="807"/>
    </row>
    <row r="15" spans="1:48" ht="16.3">
      <c r="A15" s="91" t="s">
        <v>3</v>
      </c>
      <c r="B15" s="209">
        <f>SUM(J15+K15+L15+M15+N15+S15+V15+W15+X15+AA15+AI15+AJ15+AI15+AM15+AP15+AQ15+AS15+AT15+AU15+AV15)+9</f>
        <v>10</v>
      </c>
      <c r="C15" s="214">
        <f t="shared" si="0"/>
        <v>10</v>
      </c>
      <c r="D15" s="133"/>
      <c r="E15" s="134"/>
      <c r="F15" s="135"/>
      <c r="G15" s="136"/>
      <c r="H15" s="96"/>
      <c r="I15" s="96"/>
      <c r="J15" s="75"/>
      <c r="K15" s="75"/>
      <c r="L15" s="75"/>
      <c r="M15" s="75"/>
      <c r="N15" s="75"/>
      <c r="O15" s="96"/>
      <c r="P15" s="163"/>
      <c r="Q15" s="109">
        <v>1</v>
      </c>
      <c r="R15" s="111"/>
      <c r="S15" s="100"/>
      <c r="T15" s="110"/>
      <c r="U15" s="110"/>
      <c r="V15" s="100">
        <v>1</v>
      </c>
      <c r="W15" s="100"/>
      <c r="X15" s="100"/>
      <c r="Y15" s="110">
        <v>1</v>
      </c>
      <c r="Z15" s="110"/>
      <c r="AA15" s="100"/>
      <c r="AB15" s="109"/>
      <c r="AC15" s="108"/>
      <c r="AD15" s="109"/>
      <c r="AE15" s="109">
        <v>1</v>
      </c>
      <c r="AF15" s="109"/>
      <c r="AG15" s="109"/>
      <c r="AH15" s="100"/>
      <c r="AI15" s="100"/>
      <c r="AJ15" s="142"/>
      <c r="AK15" s="448"/>
      <c r="AL15" s="111"/>
      <c r="AM15" s="100"/>
      <c r="AN15" s="150"/>
      <c r="AO15" s="111"/>
      <c r="AP15" s="100"/>
      <c r="AQ15" s="100"/>
      <c r="AR15" s="111"/>
      <c r="AS15" s="141"/>
      <c r="AT15" s="162"/>
    </row>
    <row r="16" spans="1:48" ht="17" thickBot="1">
      <c r="A16" s="92" t="s">
        <v>4</v>
      </c>
      <c r="B16" s="212">
        <f>SUM(J16+K16+L16+M16+N16+S16+V16+W16+X16+AA16+AI16+AJ16+AI16+AM16+AP16+AQ16+AS16+AT16+AU16+AV16)+45</f>
        <v>50</v>
      </c>
      <c r="C16" s="217">
        <f t="shared" si="0"/>
        <v>50</v>
      </c>
      <c r="D16" s="144"/>
      <c r="E16" s="145"/>
      <c r="F16" s="146"/>
      <c r="G16" s="147"/>
      <c r="H16" s="114"/>
      <c r="I16" s="96"/>
      <c r="J16" s="75"/>
      <c r="K16" s="75"/>
      <c r="L16" s="75"/>
      <c r="M16" s="75"/>
      <c r="N16" s="75"/>
      <c r="O16" s="96"/>
      <c r="P16" s="163"/>
      <c r="Q16" s="109">
        <v>5</v>
      </c>
      <c r="R16" s="111"/>
      <c r="S16" s="100"/>
      <c r="T16" s="110"/>
      <c r="U16" s="110"/>
      <c r="V16" s="100">
        <v>5</v>
      </c>
      <c r="W16" s="100"/>
      <c r="X16" s="100"/>
      <c r="Y16" s="110">
        <v>5</v>
      </c>
      <c r="Z16" s="110"/>
      <c r="AA16" s="100"/>
      <c r="AB16" s="109"/>
      <c r="AC16" s="108"/>
      <c r="AD16" s="109"/>
      <c r="AE16" s="109">
        <v>5</v>
      </c>
      <c r="AF16" s="109"/>
      <c r="AG16" s="109"/>
      <c r="AH16" s="100"/>
      <c r="AI16" s="100"/>
      <c r="AJ16" s="142"/>
      <c r="AK16" s="448"/>
      <c r="AL16" s="111"/>
      <c r="AM16" s="100"/>
      <c r="AN16" s="100"/>
      <c r="AO16" s="111"/>
      <c r="AP16" s="100"/>
      <c r="AQ16" s="100"/>
      <c r="AR16" s="111"/>
      <c r="AS16" s="178"/>
      <c r="AT16" s="582"/>
    </row>
    <row r="17" spans="1:46" ht="21.1">
      <c r="A17" s="90" t="s">
        <v>588</v>
      </c>
      <c r="B17" s="209"/>
      <c r="C17" s="214"/>
      <c r="D17" s="133"/>
      <c r="E17" s="134"/>
      <c r="F17" s="135"/>
      <c r="G17" s="136"/>
      <c r="H17" s="96" t="s">
        <v>432</v>
      </c>
      <c r="I17" s="124"/>
      <c r="J17" s="122" t="s">
        <v>393</v>
      </c>
      <c r="K17" s="122" t="s">
        <v>375</v>
      </c>
      <c r="L17" s="122" t="s">
        <v>375</v>
      </c>
      <c r="M17" s="122" t="s">
        <v>375</v>
      </c>
      <c r="N17" s="122" t="s">
        <v>339</v>
      </c>
      <c r="O17" s="124" t="s">
        <v>339</v>
      </c>
      <c r="P17" s="166"/>
      <c r="Q17" s="99" t="s">
        <v>339</v>
      </c>
      <c r="R17" s="103"/>
      <c r="S17" s="102" t="s">
        <v>339</v>
      </c>
      <c r="T17" s="101" t="s">
        <v>339</v>
      </c>
      <c r="U17" s="101" t="s">
        <v>339</v>
      </c>
      <c r="V17" s="102" t="s">
        <v>339</v>
      </c>
      <c r="W17" s="102" t="s">
        <v>339</v>
      </c>
      <c r="X17" s="102" t="s">
        <v>339</v>
      </c>
      <c r="Y17" s="101" t="s">
        <v>339</v>
      </c>
      <c r="Z17" s="101" t="s">
        <v>339</v>
      </c>
      <c r="AA17" s="102">
        <v>13</v>
      </c>
      <c r="AB17" s="99">
        <v>13</v>
      </c>
      <c r="AC17" s="98"/>
      <c r="AD17" s="99">
        <v>13</v>
      </c>
      <c r="AE17" s="99">
        <v>13</v>
      </c>
      <c r="AF17" s="99">
        <v>13</v>
      </c>
      <c r="AG17" s="99"/>
      <c r="AH17" s="102"/>
      <c r="AI17" s="102"/>
      <c r="AJ17" s="138"/>
      <c r="AK17" s="446"/>
      <c r="AL17" s="103"/>
      <c r="AM17" s="102"/>
      <c r="AN17" s="102"/>
      <c r="AO17" s="103"/>
      <c r="AP17" s="102"/>
      <c r="AQ17" s="102"/>
      <c r="AR17" s="103"/>
      <c r="AS17" s="138"/>
      <c r="AT17" s="168"/>
    </row>
    <row r="18" spans="1:46" ht="16.3">
      <c r="A18" s="611" t="s">
        <v>1</v>
      </c>
      <c r="B18" s="210">
        <f>SUM(J18+K18+L18+M18+N18+S18+V18+W18+X18+AA18+AI18+AJ18+AI18+AM18+AP18+AQ18+AS18+AT18+AU18+AV18+AN18)</f>
        <v>1</v>
      </c>
      <c r="C18" s="215">
        <f>B18</f>
        <v>1</v>
      </c>
      <c r="D18" s="133"/>
      <c r="E18" s="134"/>
      <c r="F18" s="135"/>
      <c r="G18" s="136"/>
      <c r="H18" s="96"/>
      <c r="I18" s="96"/>
      <c r="J18" s="75"/>
      <c r="K18" s="75"/>
      <c r="L18" s="75"/>
      <c r="M18" s="75"/>
      <c r="N18" s="75"/>
      <c r="O18" s="96"/>
      <c r="P18" s="163"/>
      <c r="Q18" s="109"/>
      <c r="R18" s="111"/>
      <c r="S18" s="100"/>
      <c r="T18" s="110"/>
      <c r="U18" s="110"/>
      <c r="V18" s="100"/>
      <c r="W18" s="100"/>
      <c r="X18" s="100"/>
      <c r="Y18" s="110"/>
      <c r="Z18" s="110"/>
      <c r="AA18" s="100">
        <v>1</v>
      </c>
      <c r="AB18" s="109">
        <v>1</v>
      </c>
      <c r="AC18" s="108"/>
      <c r="AD18" s="109">
        <v>1</v>
      </c>
      <c r="AE18" s="109">
        <v>1</v>
      </c>
      <c r="AF18" s="109">
        <v>1</v>
      </c>
      <c r="AG18" s="109"/>
      <c r="AH18" s="100"/>
      <c r="AI18" s="100"/>
      <c r="AJ18" s="142"/>
      <c r="AK18" s="448"/>
      <c r="AL18" s="111"/>
      <c r="AM18" s="100"/>
      <c r="AN18" s="100"/>
      <c r="AO18" s="111"/>
      <c r="AP18" s="100"/>
      <c r="AQ18" s="100"/>
      <c r="AR18" s="111"/>
      <c r="AS18" s="142"/>
      <c r="AT18" s="150"/>
    </row>
    <row r="19" spans="1:46" ht="16.3">
      <c r="A19" s="611" t="s">
        <v>2</v>
      </c>
      <c r="B19" s="210">
        <f>SUM(J19+K19+L19+M19+N19+S19+V19+W19+X19+AA19+AI19+AJ19+AI19+AM19+AP19+AQ19+AS19+AT19+AU19+AV19)</f>
        <v>3</v>
      </c>
      <c r="C19" s="215">
        <f t="shared" ref="C19:C22" si="1">B19</f>
        <v>3</v>
      </c>
      <c r="D19" s="133"/>
      <c r="E19" s="134"/>
      <c r="F19" s="135"/>
      <c r="G19" s="136"/>
      <c r="H19" s="96">
        <v>1</v>
      </c>
      <c r="I19" s="96"/>
      <c r="J19" s="75"/>
      <c r="K19" s="75">
        <v>1</v>
      </c>
      <c r="L19" s="75">
        <v>1</v>
      </c>
      <c r="M19" s="75">
        <v>1</v>
      </c>
      <c r="N19" s="75"/>
      <c r="O19" s="96"/>
      <c r="P19" s="163"/>
      <c r="Q19" s="109"/>
      <c r="R19" s="111"/>
      <c r="S19" s="100"/>
      <c r="T19" s="110"/>
      <c r="U19" s="110"/>
      <c r="V19" s="100"/>
      <c r="W19" s="100"/>
      <c r="X19" s="100"/>
      <c r="Y19" s="110"/>
      <c r="Z19" s="110"/>
      <c r="AA19" s="100"/>
      <c r="AB19" s="109"/>
      <c r="AC19" s="108"/>
      <c r="AD19" s="109"/>
      <c r="AE19" s="109"/>
      <c r="AF19" s="109"/>
      <c r="AG19" s="109"/>
      <c r="AH19" s="100"/>
      <c r="AI19" s="100"/>
      <c r="AJ19" s="142"/>
      <c r="AK19" s="448"/>
      <c r="AL19" s="111"/>
      <c r="AM19" s="100"/>
      <c r="AN19" s="100"/>
      <c r="AO19" s="111"/>
      <c r="AP19" s="100"/>
      <c r="AQ19" s="100"/>
      <c r="AR19" s="111"/>
      <c r="AS19" s="142"/>
      <c r="AT19" s="150"/>
    </row>
    <row r="20" spans="1:46" ht="16.3">
      <c r="A20" s="91" t="s">
        <v>363</v>
      </c>
      <c r="B20" s="209">
        <f>SUM(B18+B19)</f>
        <v>4</v>
      </c>
      <c r="C20" s="214">
        <f t="shared" si="1"/>
        <v>4</v>
      </c>
      <c r="D20" s="133"/>
      <c r="E20" s="134"/>
      <c r="F20" s="135"/>
      <c r="G20" s="136"/>
      <c r="H20" s="96"/>
      <c r="I20" s="96"/>
      <c r="J20" s="75"/>
      <c r="K20" s="75"/>
      <c r="L20" s="75"/>
      <c r="M20" s="75"/>
      <c r="N20" s="75"/>
      <c r="O20" s="96"/>
      <c r="P20" s="163"/>
      <c r="Q20" s="109"/>
      <c r="R20" s="111"/>
      <c r="S20" s="100"/>
      <c r="T20" s="110"/>
      <c r="U20" s="110"/>
      <c r="V20" s="100"/>
      <c r="W20" s="100"/>
      <c r="X20" s="100"/>
      <c r="Y20" s="110"/>
      <c r="Z20" s="110"/>
      <c r="AA20" s="100"/>
      <c r="AB20" s="109"/>
      <c r="AC20" s="108"/>
      <c r="AD20" s="109"/>
      <c r="AE20" s="109"/>
      <c r="AF20" s="109"/>
      <c r="AG20" s="109"/>
      <c r="AH20" s="100"/>
      <c r="AI20" s="100"/>
      <c r="AJ20" s="142"/>
      <c r="AK20" s="448"/>
      <c r="AL20" s="111"/>
      <c r="AM20" s="100"/>
      <c r="AN20" s="100"/>
      <c r="AO20" s="111"/>
      <c r="AP20" s="100"/>
      <c r="AQ20" s="100"/>
      <c r="AR20" s="111"/>
      <c r="AS20" s="142"/>
      <c r="AT20" s="150"/>
    </row>
    <row r="21" spans="1:46" ht="16.3">
      <c r="A21" s="91" t="s">
        <v>3</v>
      </c>
      <c r="B21" s="209">
        <f>SUM(J21+K21+L21+M21+N21+S21+V21+W21+X21+AA21+AI21+AJ21+AI21+AM21+AP21+AQ21+AS21+AT21+AU21+AV21)</f>
        <v>1</v>
      </c>
      <c r="C21" s="214">
        <f t="shared" si="1"/>
        <v>1</v>
      </c>
      <c r="D21" s="133"/>
      <c r="E21" s="134"/>
      <c r="F21" s="135"/>
      <c r="G21" s="136"/>
      <c r="H21" s="96">
        <v>1</v>
      </c>
      <c r="I21" s="96"/>
      <c r="J21" s="75"/>
      <c r="K21" s="75"/>
      <c r="L21" s="75"/>
      <c r="M21" s="75">
        <v>1</v>
      </c>
      <c r="N21" s="75"/>
      <c r="O21" s="96"/>
      <c r="P21" s="163"/>
      <c r="Q21" s="109"/>
      <c r="R21" s="111"/>
      <c r="S21" s="100"/>
      <c r="T21" s="110"/>
      <c r="U21" s="110"/>
      <c r="V21" s="100"/>
      <c r="W21" s="100"/>
      <c r="X21" s="100"/>
      <c r="Y21" s="110"/>
      <c r="Z21" s="110"/>
      <c r="AA21" s="100"/>
      <c r="AB21" s="109"/>
      <c r="AC21" s="108"/>
      <c r="AD21" s="109"/>
      <c r="AE21" s="109"/>
      <c r="AF21" s="109"/>
      <c r="AG21" s="109"/>
      <c r="AH21" s="100"/>
      <c r="AI21" s="150"/>
      <c r="AJ21" s="142"/>
      <c r="AK21" s="448"/>
      <c r="AL21" s="111"/>
      <c r="AM21" s="100"/>
      <c r="AN21" s="100"/>
      <c r="AO21" s="111"/>
      <c r="AP21" s="100"/>
      <c r="AQ21" s="100"/>
      <c r="AR21" s="111"/>
      <c r="AS21" s="142"/>
      <c r="AT21" s="150"/>
    </row>
    <row r="22" spans="1:46" ht="17" thickBot="1">
      <c r="A22" s="92" t="s">
        <v>4</v>
      </c>
      <c r="B22" s="212">
        <f>SUM(J22+K22+L22+M22+N22+S22+V22+W22+X22+AA22+AI22+AJ22+AI22+AM22+AP22+AQ22+AS22+AT22+AU22+AV22)</f>
        <v>5</v>
      </c>
      <c r="C22" s="217">
        <f t="shared" si="1"/>
        <v>5</v>
      </c>
      <c r="D22" s="144"/>
      <c r="E22" s="145"/>
      <c r="F22" s="146"/>
      <c r="G22" s="147"/>
      <c r="H22" s="96">
        <v>5</v>
      </c>
      <c r="I22" s="96"/>
      <c r="J22" s="75"/>
      <c r="K22" s="75"/>
      <c r="L22" s="75"/>
      <c r="M22" s="75">
        <v>5</v>
      </c>
      <c r="N22" s="75"/>
      <c r="O22" s="96"/>
      <c r="P22" s="163"/>
      <c r="Q22" s="109"/>
      <c r="R22" s="111"/>
      <c r="S22" s="100"/>
      <c r="T22" s="110"/>
      <c r="U22" s="110"/>
      <c r="V22" s="100"/>
      <c r="W22" s="100"/>
      <c r="X22" s="100"/>
      <c r="Y22" s="110"/>
      <c r="Z22" s="110"/>
      <c r="AA22" s="100"/>
      <c r="AB22" s="109"/>
      <c r="AC22" s="108"/>
      <c r="AD22" s="109"/>
      <c r="AE22" s="109"/>
      <c r="AF22" s="109"/>
      <c r="AG22" s="109"/>
      <c r="AH22" s="100"/>
      <c r="AI22" s="100"/>
      <c r="AJ22" s="142"/>
      <c r="AK22" s="448"/>
      <c r="AL22" s="111"/>
      <c r="AM22" s="100"/>
      <c r="AN22" s="100"/>
      <c r="AO22" s="111"/>
      <c r="AP22" s="100"/>
      <c r="AQ22" s="100"/>
      <c r="AR22" s="111"/>
      <c r="AS22" s="142"/>
      <c r="AT22" s="150"/>
    </row>
    <row r="23" spans="1:46" ht="21.1">
      <c r="A23" s="90" t="s">
        <v>63</v>
      </c>
      <c r="B23" s="209"/>
      <c r="C23" s="214"/>
      <c r="D23" s="133"/>
      <c r="E23" s="134"/>
      <c r="F23" s="135"/>
      <c r="G23" s="136"/>
      <c r="H23" s="124">
        <v>11</v>
      </c>
      <c r="I23" s="124"/>
      <c r="J23" s="122">
        <v>11</v>
      </c>
      <c r="K23" s="122">
        <v>11</v>
      </c>
      <c r="L23" s="122">
        <v>11</v>
      </c>
      <c r="M23" s="122" t="s">
        <v>367</v>
      </c>
      <c r="N23" s="122" t="s">
        <v>339</v>
      </c>
      <c r="O23" s="124" t="s">
        <v>339</v>
      </c>
      <c r="P23" s="166"/>
      <c r="Q23" s="99" t="s">
        <v>339</v>
      </c>
      <c r="R23" s="103"/>
      <c r="S23" s="102">
        <v>11</v>
      </c>
      <c r="T23" s="101">
        <v>11</v>
      </c>
      <c r="U23" s="101"/>
      <c r="V23" s="102">
        <v>11</v>
      </c>
      <c r="W23" s="102">
        <v>11</v>
      </c>
      <c r="X23" s="102" t="s">
        <v>367</v>
      </c>
      <c r="Y23" s="101" t="s">
        <v>703</v>
      </c>
      <c r="Z23" s="101" t="s">
        <v>703</v>
      </c>
      <c r="AA23" s="102">
        <v>11</v>
      </c>
      <c r="AB23" s="99">
        <v>11</v>
      </c>
      <c r="AC23" s="98"/>
      <c r="AD23" s="99">
        <v>11</v>
      </c>
      <c r="AE23" s="99">
        <v>11</v>
      </c>
      <c r="AF23" s="99">
        <v>11</v>
      </c>
      <c r="AG23" s="99"/>
      <c r="AH23" s="102"/>
      <c r="AI23" s="102"/>
      <c r="AJ23" s="138"/>
      <c r="AK23" s="446"/>
      <c r="AL23" s="103"/>
      <c r="AM23" s="102"/>
      <c r="AN23" s="102"/>
      <c r="AO23" s="103"/>
      <c r="AP23" s="102"/>
      <c r="AQ23" s="102"/>
      <c r="AR23" s="103"/>
      <c r="AS23" s="138"/>
      <c r="AT23" s="478"/>
    </row>
    <row r="24" spans="1:46" ht="16.3">
      <c r="A24" s="585" t="s">
        <v>1</v>
      </c>
      <c r="B24" s="210">
        <f>SUM(J24+K24+L24+M24+N24+S24+V24+W24+X24+AA24+AI24+AJ24+AI24+AM24+AP24+AQ24+AS24+AT24+AU24+AV24+AN24)+92</f>
        <v>101</v>
      </c>
      <c r="C24" s="215">
        <f>B24</f>
        <v>101</v>
      </c>
      <c r="D24" s="133"/>
      <c r="E24" s="134"/>
      <c r="F24" s="135"/>
      <c r="G24" s="136"/>
      <c r="H24" s="96">
        <v>1</v>
      </c>
      <c r="I24" s="96"/>
      <c r="J24" s="75">
        <v>1</v>
      </c>
      <c r="K24" s="75">
        <v>1</v>
      </c>
      <c r="L24" s="75">
        <v>1</v>
      </c>
      <c r="M24" s="75">
        <v>1</v>
      </c>
      <c r="N24" s="75"/>
      <c r="O24" s="96"/>
      <c r="P24" s="163"/>
      <c r="Q24" s="109"/>
      <c r="R24" s="111"/>
      <c r="S24" s="100">
        <v>1</v>
      </c>
      <c r="T24" s="110">
        <v>1</v>
      </c>
      <c r="U24" s="110"/>
      <c r="V24" s="100">
        <v>1</v>
      </c>
      <c r="W24" s="100">
        <v>1</v>
      </c>
      <c r="X24" s="100">
        <v>1</v>
      </c>
      <c r="Y24" s="110"/>
      <c r="Z24" s="110"/>
      <c r="AA24" s="100">
        <v>1</v>
      </c>
      <c r="AB24" s="109">
        <v>1</v>
      </c>
      <c r="AC24" s="108"/>
      <c r="AD24" s="109">
        <v>1</v>
      </c>
      <c r="AE24" s="109">
        <v>1</v>
      </c>
      <c r="AF24" s="109">
        <v>1</v>
      </c>
      <c r="AG24" s="109"/>
      <c r="AH24" s="100"/>
      <c r="AI24" s="100"/>
      <c r="AJ24" s="142"/>
      <c r="AK24" s="448"/>
      <c r="AL24" s="111"/>
      <c r="AM24" s="100"/>
      <c r="AN24" s="100"/>
      <c r="AO24" s="111"/>
      <c r="AP24" s="100"/>
      <c r="AQ24" s="100"/>
      <c r="AR24" s="111"/>
      <c r="AS24" s="142"/>
      <c r="AT24" s="150"/>
    </row>
    <row r="25" spans="1:46" ht="16.3">
      <c r="A25" s="585" t="s">
        <v>2</v>
      </c>
      <c r="B25" s="210">
        <f>SUM(J25+K25+L25+M25+N25+S25+V25+W25+X25+AA25+AI25+AJ25+AI25+AM25+AP25+AQ25+AS25+AT25+AU25+AV25)+8</f>
        <v>8</v>
      </c>
      <c r="C25" s="215">
        <f t="shared" ref="C25:C28" si="2">B25</f>
        <v>8</v>
      </c>
      <c r="D25" s="133"/>
      <c r="E25" s="134"/>
      <c r="F25" s="135"/>
      <c r="G25" s="136"/>
      <c r="H25" s="96"/>
      <c r="I25" s="96"/>
      <c r="J25" s="75"/>
      <c r="K25" s="75"/>
      <c r="L25" s="75"/>
      <c r="M25" s="75"/>
      <c r="N25" s="75"/>
      <c r="O25" s="96"/>
      <c r="P25" s="163"/>
      <c r="Q25" s="109"/>
      <c r="R25" s="111"/>
      <c r="S25" s="100"/>
      <c r="T25" s="110"/>
      <c r="U25" s="110"/>
      <c r="V25" s="100"/>
      <c r="W25" s="100"/>
      <c r="X25" s="100"/>
      <c r="Y25" s="110"/>
      <c r="Z25" s="110"/>
      <c r="AA25" s="100"/>
      <c r="AB25" s="109"/>
      <c r="AC25" s="108"/>
      <c r="AD25" s="109"/>
      <c r="AE25" s="109"/>
      <c r="AF25" s="109"/>
      <c r="AG25" s="109"/>
      <c r="AH25" s="100"/>
      <c r="AI25" s="100"/>
      <c r="AJ25" s="142"/>
      <c r="AK25" s="448"/>
      <c r="AL25" s="111"/>
      <c r="AM25" s="100"/>
      <c r="AN25" s="100"/>
      <c r="AO25" s="111"/>
      <c r="AP25" s="100"/>
      <c r="AQ25" s="100"/>
      <c r="AR25" s="111"/>
      <c r="AS25" s="142"/>
      <c r="AT25" s="150"/>
    </row>
    <row r="26" spans="1:46" ht="16.3">
      <c r="A26" s="91" t="s">
        <v>363</v>
      </c>
      <c r="B26" s="209">
        <f>SUM(B24+B25)</f>
        <v>109</v>
      </c>
      <c r="C26" s="214">
        <f t="shared" si="2"/>
        <v>109</v>
      </c>
      <c r="D26" s="133"/>
      <c r="E26" s="134"/>
      <c r="F26" s="135"/>
      <c r="G26" s="136"/>
      <c r="H26" s="96"/>
      <c r="I26" s="96"/>
      <c r="J26" s="75"/>
      <c r="K26" s="75"/>
      <c r="L26" s="75"/>
      <c r="M26" s="75"/>
      <c r="N26" s="75"/>
      <c r="O26" s="96"/>
      <c r="P26" s="163"/>
      <c r="Q26" s="109"/>
      <c r="R26" s="111"/>
      <c r="S26" s="100"/>
      <c r="T26" s="110"/>
      <c r="U26" s="110"/>
      <c r="V26" s="100"/>
      <c r="W26" s="100"/>
      <c r="X26" s="100"/>
      <c r="Y26" s="110"/>
      <c r="Z26" s="110"/>
      <c r="AA26" s="100"/>
      <c r="AB26" s="109"/>
      <c r="AC26" s="108"/>
      <c r="AD26" s="109"/>
      <c r="AE26" s="109"/>
      <c r="AF26" s="109"/>
      <c r="AG26" s="109"/>
      <c r="AH26" s="100"/>
      <c r="AI26" s="100"/>
      <c r="AJ26" s="142"/>
      <c r="AK26" s="448"/>
      <c r="AL26" s="111"/>
      <c r="AM26" s="100"/>
      <c r="AN26" s="100"/>
      <c r="AO26" s="111"/>
      <c r="AP26" s="100"/>
      <c r="AQ26" s="100"/>
      <c r="AR26" s="111"/>
      <c r="AS26" s="142"/>
      <c r="AT26" s="150"/>
    </row>
    <row r="27" spans="1:46" ht="16.3">
      <c r="A27" s="585" t="s">
        <v>364</v>
      </c>
      <c r="B27" s="210">
        <f>SUM(J27+K27+L27+M27+N27+S27+V27+W27+X27+AA27+AI27+AJ27+AI27+AM27+AP27+AQ27+AS27+AT27+AU27+AV27)+1</f>
        <v>1</v>
      </c>
      <c r="C27" s="215">
        <f t="shared" si="2"/>
        <v>1</v>
      </c>
      <c r="D27" s="133"/>
      <c r="E27" s="134"/>
      <c r="F27" s="135"/>
      <c r="G27" s="136"/>
      <c r="H27" s="96"/>
      <c r="I27" s="96"/>
      <c r="J27" s="75"/>
      <c r="K27" s="75"/>
      <c r="L27" s="75"/>
      <c r="M27" s="75"/>
      <c r="N27" s="75"/>
      <c r="O27" s="96"/>
      <c r="P27" s="163"/>
      <c r="Q27" s="109"/>
      <c r="R27" s="111"/>
      <c r="S27" s="100"/>
      <c r="T27" s="110"/>
      <c r="U27" s="110"/>
      <c r="V27" s="100"/>
      <c r="W27" s="100"/>
      <c r="X27" s="100"/>
      <c r="Y27" s="110"/>
      <c r="Z27" s="110"/>
      <c r="AA27" s="100"/>
      <c r="AB27" s="109"/>
      <c r="AC27" s="108"/>
      <c r="AD27" s="109"/>
      <c r="AE27" s="109"/>
      <c r="AF27" s="109"/>
      <c r="AG27" s="109"/>
      <c r="AH27" s="100"/>
      <c r="AI27" s="100"/>
      <c r="AJ27" s="142"/>
      <c r="AK27" s="448"/>
      <c r="AL27" s="111"/>
      <c r="AM27" s="100"/>
      <c r="AN27" s="100"/>
      <c r="AO27" s="111"/>
      <c r="AP27" s="100"/>
      <c r="AQ27" s="100"/>
      <c r="AR27" s="111"/>
      <c r="AS27" s="142"/>
      <c r="AT27" s="150"/>
    </row>
    <row r="28" spans="1:46" ht="16.3">
      <c r="A28" s="91" t="s">
        <v>3</v>
      </c>
      <c r="B28" s="209">
        <f>SUM(J28+K28+L28+M28+N28+S28+V28+W28+X28+AA28+AI28+AJ28+AI28+AM28+AP28+AQ28+AS28+AT28+AU28+AV28)+35</f>
        <v>38</v>
      </c>
      <c r="C28" s="214">
        <f t="shared" si="2"/>
        <v>38</v>
      </c>
      <c r="D28" s="133"/>
      <c r="E28" s="134"/>
      <c r="F28" s="135"/>
      <c r="G28" s="136"/>
      <c r="H28" s="96"/>
      <c r="I28" s="96"/>
      <c r="J28" s="75"/>
      <c r="K28" s="75"/>
      <c r="L28" s="75">
        <v>1</v>
      </c>
      <c r="M28" s="75"/>
      <c r="N28" s="75"/>
      <c r="O28" s="96"/>
      <c r="P28" s="163"/>
      <c r="Q28" s="109"/>
      <c r="R28" s="111"/>
      <c r="S28" s="100">
        <v>1</v>
      </c>
      <c r="T28" s="110"/>
      <c r="U28" s="110"/>
      <c r="V28" s="100"/>
      <c r="W28" s="100"/>
      <c r="X28" s="100">
        <v>1</v>
      </c>
      <c r="Y28" s="110"/>
      <c r="Z28" s="110"/>
      <c r="AA28" s="100"/>
      <c r="AB28" s="109"/>
      <c r="AC28" s="108"/>
      <c r="AD28" s="109"/>
      <c r="AE28" s="109"/>
      <c r="AF28" s="109">
        <v>1</v>
      </c>
      <c r="AG28" s="109"/>
      <c r="AH28" s="100"/>
      <c r="AI28" s="100"/>
      <c r="AJ28" s="142"/>
      <c r="AK28" s="448"/>
      <c r="AL28" s="111"/>
      <c r="AM28" s="100"/>
      <c r="AN28" s="100"/>
      <c r="AO28" s="111"/>
      <c r="AP28" s="100"/>
      <c r="AQ28" s="100"/>
      <c r="AR28" s="111"/>
      <c r="AS28" s="142"/>
      <c r="AT28" s="150"/>
    </row>
    <row r="29" spans="1:46" ht="17" thickBot="1">
      <c r="A29" s="92" t="s">
        <v>4</v>
      </c>
      <c r="B29" s="212">
        <f>SUM(J29+K29+L29+M29+N29+S29+V29+W29+X29+AA29+AI29+AJ29+AI29+AM29+AP29+AQ29+AS29+AT29+AU29+AV29)+175</f>
        <v>190</v>
      </c>
      <c r="C29" s="217">
        <f t="shared" ref="C29" si="3">B29</f>
        <v>190</v>
      </c>
      <c r="D29" s="144"/>
      <c r="E29" s="145"/>
      <c r="F29" s="146"/>
      <c r="G29" s="147"/>
      <c r="H29" s="114"/>
      <c r="I29" s="114"/>
      <c r="J29" s="112"/>
      <c r="K29" s="112"/>
      <c r="L29" s="112">
        <v>5</v>
      </c>
      <c r="M29" s="112"/>
      <c r="N29" s="112"/>
      <c r="O29" s="114"/>
      <c r="P29" s="164"/>
      <c r="Q29" s="118"/>
      <c r="R29" s="121"/>
      <c r="S29" s="116">
        <v>5</v>
      </c>
      <c r="T29" s="120"/>
      <c r="U29" s="120"/>
      <c r="V29" s="116"/>
      <c r="W29" s="116"/>
      <c r="X29" s="116">
        <v>5</v>
      </c>
      <c r="Y29" s="120"/>
      <c r="Z29" s="120"/>
      <c r="AA29" s="116"/>
      <c r="AB29" s="118"/>
      <c r="AC29" s="117"/>
      <c r="AD29" s="118"/>
      <c r="AE29" s="118"/>
      <c r="AF29" s="118">
        <v>5</v>
      </c>
      <c r="AG29" s="118"/>
      <c r="AH29" s="116"/>
      <c r="AI29" s="116"/>
      <c r="AJ29" s="149"/>
      <c r="AK29" s="449"/>
      <c r="AL29" s="121"/>
      <c r="AM29" s="116"/>
      <c r="AN29" s="116"/>
      <c r="AO29" s="121"/>
      <c r="AP29" s="116"/>
      <c r="AQ29" s="116"/>
      <c r="AR29" s="121"/>
      <c r="AS29" s="149"/>
      <c r="AT29" s="176"/>
    </row>
    <row r="30" spans="1:46" ht="21.1">
      <c r="A30" s="89" t="s">
        <v>464</v>
      </c>
      <c r="B30" s="209"/>
      <c r="C30" s="214"/>
      <c r="D30" s="133"/>
      <c r="E30" s="134"/>
      <c r="F30" s="135"/>
      <c r="G30" s="136"/>
      <c r="H30" s="96"/>
      <c r="I30" s="96">
        <v>15</v>
      </c>
      <c r="J30" s="75"/>
      <c r="K30" s="75"/>
      <c r="L30" s="75"/>
      <c r="M30" s="75"/>
      <c r="N30" s="75"/>
      <c r="O30" s="96" t="s">
        <v>375</v>
      </c>
      <c r="P30" s="163"/>
      <c r="Q30" s="109">
        <v>15</v>
      </c>
      <c r="R30" s="111"/>
      <c r="S30" s="100"/>
      <c r="T30" s="110"/>
      <c r="U30" s="110"/>
      <c r="V30" s="100"/>
      <c r="W30" s="100"/>
      <c r="X30" s="100"/>
      <c r="Y30" s="110" t="s">
        <v>375</v>
      </c>
      <c r="Z30" s="110" t="s">
        <v>375</v>
      </c>
      <c r="AA30" s="100"/>
      <c r="AB30" s="109"/>
      <c r="AC30" s="108"/>
      <c r="AD30" s="109"/>
      <c r="AE30" s="109"/>
      <c r="AF30" s="109"/>
      <c r="AG30" s="109"/>
      <c r="AH30" s="100"/>
      <c r="AI30" s="100"/>
      <c r="AJ30" s="142"/>
      <c r="AK30" s="448"/>
      <c r="AL30" s="111"/>
      <c r="AM30" s="100"/>
      <c r="AN30" s="100"/>
      <c r="AO30" s="111"/>
      <c r="AP30" s="100"/>
      <c r="AQ30" s="100"/>
      <c r="AR30" s="111"/>
      <c r="AS30" s="142"/>
      <c r="AT30" s="150"/>
    </row>
    <row r="31" spans="1:46" ht="16.3">
      <c r="A31" s="611" t="s">
        <v>1</v>
      </c>
      <c r="B31" s="210">
        <f>SUM(J31+K31+L31+M31+N31+S31+V31+W31+X31+AA31+AI31+AJ31+AI31+AM31+AP31+AQ31+AS31+AT31+AU31+AV31+AN31)+15</f>
        <v>15</v>
      </c>
      <c r="C31" s="215">
        <f>B31</f>
        <v>15</v>
      </c>
      <c r="D31" s="133"/>
      <c r="E31" s="134"/>
      <c r="F31" s="135"/>
      <c r="G31" s="136"/>
      <c r="H31" s="96"/>
      <c r="I31" s="96">
        <v>1</v>
      </c>
      <c r="J31" s="75"/>
      <c r="K31" s="75"/>
      <c r="L31" s="75"/>
      <c r="M31" s="75"/>
      <c r="N31" s="75"/>
      <c r="O31" s="96"/>
      <c r="P31" s="163"/>
      <c r="Q31" s="109">
        <v>1</v>
      </c>
      <c r="R31" s="111"/>
      <c r="S31" s="100"/>
      <c r="T31" s="110"/>
      <c r="U31" s="110"/>
      <c r="V31" s="100"/>
      <c r="W31" s="100"/>
      <c r="X31" s="100"/>
      <c r="Y31" s="110"/>
      <c r="Z31" s="110"/>
      <c r="AA31" s="100"/>
      <c r="AB31" s="109"/>
      <c r="AC31" s="108"/>
      <c r="AD31" s="109"/>
      <c r="AE31" s="109"/>
      <c r="AF31" s="109"/>
      <c r="AG31" s="109"/>
      <c r="AH31" s="100"/>
      <c r="AI31" s="100"/>
      <c r="AJ31" s="142"/>
      <c r="AK31" s="448"/>
      <c r="AL31" s="111"/>
      <c r="AM31" s="100"/>
      <c r="AN31" s="100"/>
      <c r="AO31" s="111"/>
      <c r="AP31" s="100"/>
      <c r="AQ31" s="100"/>
      <c r="AR31" s="111"/>
      <c r="AS31" s="142"/>
      <c r="AT31" s="150"/>
    </row>
    <row r="32" spans="1:46" ht="16.3">
      <c r="A32" s="611" t="s">
        <v>2</v>
      </c>
      <c r="B32" s="210">
        <f>SUM(J32+K32+L32+M32+N32+S32+V32+W32+X32+AA32+AI32+AJ32+AI32+AM32+AP32+AQ32+AS32+AT32+AU32+AV32)+3</f>
        <v>3</v>
      </c>
      <c r="C32" s="215">
        <f t="shared" ref="C32:C36" si="4">B32</f>
        <v>3</v>
      </c>
      <c r="D32" s="133"/>
      <c r="E32" s="134"/>
      <c r="F32" s="135"/>
      <c r="G32" s="136"/>
      <c r="H32" s="96"/>
      <c r="I32" s="96"/>
      <c r="J32" s="75"/>
      <c r="K32" s="75"/>
      <c r="L32" s="75"/>
      <c r="M32" s="75"/>
      <c r="N32" s="75"/>
      <c r="O32" s="96">
        <v>1</v>
      </c>
      <c r="P32" s="163"/>
      <c r="Q32" s="109"/>
      <c r="R32" s="111"/>
      <c r="S32" s="100"/>
      <c r="T32" s="110"/>
      <c r="U32" s="110"/>
      <c r="V32" s="100"/>
      <c r="W32" s="100"/>
      <c r="X32" s="100"/>
      <c r="Y32" s="110">
        <v>1</v>
      </c>
      <c r="Z32" s="110">
        <v>1</v>
      </c>
      <c r="AA32" s="100"/>
      <c r="AB32" s="109"/>
      <c r="AC32" s="108"/>
      <c r="AD32" s="109"/>
      <c r="AE32" s="109"/>
      <c r="AF32" s="109"/>
      <c r="AG32" s="109"/>
      <c r="AH32" s="100"/>
      <c r="AI32" s="100"/>
      <c r="AJ32" s="142"/>
      <c r="AK32" s="448"/>
      <c r="AL32" s="111"/>
      <c r="AM32" s="100"/>
      <c r="AN32" s="100"/>
      <c r="AO32" s="111"/>
      <c r="AP32" s="100"/>
      <c r="AQ32" s="100"/>
      <c r="AR32" s="111"/>
      <c r="AS32" s="142"/>
      <c r="AT32" s="150"/>
    </row>
    <row r="33" spans="1:46" ht="16.3">
      <c r="A33" s="91" t="s">
        <v>363</v>
      </c>
      <c r="B33" s="209">
        <f>SUM(B31+B32)</f>
        <v>18</v>
      </c>
      <c r="C33" s="214">
        <f t="shared" si="4"/>
        <v>18</v>
      </c>
      <c r="D33" s="133"/>
      <c r="E33" s="134"/>
      <c r="F33" s="135"/>
      <c r="G33" s="136"/>
      <c r="H33" s="96"/>
      <c r="I33" s="96"/>
      <c r="J33" s="75"/>
      <c r="K33" s="75"/>
      <c r="L33" s="75"/>
      <c r="M33" s="75"/>
      <c r="N33" s="75"/>
      <c r="O33" s="96"/>
      <c r="P33" s="163"/>
      <c r="Q33" s="109"/>
      <c r="R33" s="111"/>
      <c r="S33" s="100"/>
      <c r="T33" s="110"/>
      <c r="U33" s="110"/>
      <c r="V33" s="100"/>
      <c r="W33" s="100"/>
      <c r="X33" s="100"/>
      <c r="Y33" s="110"/>
      <c r="Z33" s="110"/>
      <c r="AA33" s="100"/>
      <c r="AB33" s="109"/>
      <c r="AC33" s="108"/>
      <c r="AD33" s="109"/>
      <c r="AE33" s="109"/>
      <c r="AF33" s="109"/>
      <c r="AG33" s="109"/>
      <c r="AH33" s="100"/>
      <c r="AI33" s="100"/>
      <c r="AJ33" s="142"/>
      <c r="AK33" s="448"/>
      <c r="AL33" s="111"/>
      <c r="AM33" s="100"/>
      <c r="AN33" s="100"/>
      <c r="AO33" s="111"/>
      <c r="AP33" s="100"/>
      <c r="AQ33" s="100"/>
      <c r="AR33" s="111"/>
      <c r="AS33" s="142"/>
      <c r="AT33" s="150"/>
    </row>
    <row r="34" spans="1:46" ht="16.3">
      <c r="A34" s="611" t="s">
        <v>362</v>
      </c>
      <c r="B34" s="210">
        <f>SUM(J34+K34+L34+M34+N34+S34+V34+W34+X34+AA34+AI34+AJ34+AI34+AM34+AP34+AQ34+AS34+AT34+AU34+AV34)+1</f>
        <v>1</v>
      </c>
      <c r="C34" s="215">
        <f t="shared" si="4"/>
        <v>1</v>
      </c>
      <c r="D34" s="133"/>
      <c r="E34" s="134"/>
      <c r="F34" s="135"/>
      <c r="G34" s="136"/>
      <c r="H34" s="96"/>
      <c r="I34" s="96"/>
      <c r="J34" s="75"/>
      <c r="K34" s="75"/>
      <c r="L34" s="75"/>
      <c r="M34" s="75"/>
      <c r="N34" s="75"/>
      <c r="O34" s="96"/>
      <c r="P34" s="163"/>
      <c r="Q34" s="109"/>
      <c r="R34" s="111"/>
      <c r="S34" s="100"/>
      <c r="T34" s="110"/>
      <c r="U34" s="110"/>
      <c r="V34" s="100"/>
      <c r="W34" s="100"/>
      <c r="X34" s="100"/>
      <c r="Y34" s="110"/>
      <c r="Z34" s="110"/>
      <c r="AA34" s="100"/>
      <c r="AB34" s="109"/>
      <c r="AC34" s="108"/>
      <c r="AD34" s="109"/>
      <c r="AE34" s="109"/>
      <c r="AF34" s="109"/>
      <c r="AG34" s="109"/>
      <c r="AH34" s="100"/>
      <c r="AI34" s="100"/>
      <c r="AJ34" s="142"/>
      <c r="AK34" s="448"/>
      <c r="AL34" s="111"/>
      <c r="AM34" s="100"/>
      <c r="AN34" s="100"/>
      <c r="AO34" s="111"/>
      <c r="AP34" s="100"/>
      <c r="AQ34" s="100"/>
      <c r="AR34" s="111"/>
      <c r="AS34" s="142"/>
      <c r="AT34" s="150"/>
    </row>
    <row r="35" spans="1:46" ht="16.3">
      <c r="A35" s="611" t="s">
        <v>5</v>
      </c>
      <c r="B35" s="210">
        <f>SUM(J35+K35+L35+M35+N35+S35+V35+W35+X35+AA35+AI35+AJ35+AI35+AM35+AP35+AQ35+AS35+AT35+AU35+AV35)+2</f>
        <v>2</v>
      </c>
      <c r="C35" s="215">
        <f t="shared" si="4"/>
        <v>2</v>
      </c>
      <c r="D35" s="133"/>
      <c r="E35" s="134"/>
      <c r="F35" s="135"/>
      <c r="G35" s="136"/>
      <c r="H35" s="96"/>
      <c r="I35" s="96"/>
      <c r="J35" s="75"/>
      <c r="K35" s="75"/>
      <c r="L35" s="75"/>
      <c r="M35" s="75"/>
      <c r="N35" s="75"/>
      <c r="O35" s="96"/>
      <c r="P35" s="163"/>
      <c r="Q35" s="109"/>
      <c r="R35" s="111"/>
      <c r="S35" s="100"/>
      <c r="T35" s="110"/>
      <c r="U35" s="110"/>
      <c r="V35" s="100"/>
      <c r="W35" s="100"/>
      <c r="X35" s="100"/>
      <c r="Y35" s="110"/>
      <c r="Z35" s="110"/>
      <c r="AA35" s="100"/>
      <c r="AB35" s="109"/>
      <c r="AC35" s="108"/>
      <c r="AD35" s="109"/>
      <c r="AE35" s="109"/>
      <c r="AF35" s="109"/>
      <c r="AG35" s="109"/>
      <c r="AH35" s="100"/>
      <c r="AI35" s="100"/>
      <c r="AJ35" s="142"/>
      <c r="AK35" s="448"/>
      <c r="AL35" s="111"/>
      <c r="AM35" s="100"/>
      <c r="AN35" s="100"/>
      <c r="AO35" s="111"/>
      <c r="AP35" s="100"/>
      <c r="AQ35" s="100"/>
      <c r="AR35" s="111"/>
      <c r="AS35" s="142"/>
      <c r="AT35" s="150"/>
    </row>
    <row r="36" spans="1:46" ht="16.3">
      <c r="A36" s="611" t="s">
        <v>6</v>
      </c>
      <c r="B36" s="210">
        <f>SUM(J36+K36+L36+M36+N36+S36+V36+W36+X36+AA36+AI36+AJ36+AI36+AM36+AP36+AQ36+AS36+AT36+AU36+AV36)+2</f>
        <v>2</v>
      </c>
      <c r="C36" s="215">
        <f t="shared" si="4"/>
        <v>2</v>
      </c>
      <c r="D36" s="133"/>
      <c r="E36" s="134"/>
      <c r="F36" s="135"/>
      <c r="G36" s="136"/>
      <c r="H36" s="96"/>
      <c r="I36" s="96"/>
      <c r="J36" s="75"/>
      <c r="K36" s="75"/>
      <c r="L36" s="75"/>
      <c r="M36" s="75"/>
      <c r="N36" s="75"/>
      <c r="O36" s="96"/>
      <c r="P36" s="163"/>
      <c r="Q36" s="109"/>
      <c r="R36" s="111"/>
      <c r="S36" s="100"/>
      <c r="T36" s="110"/>
      <c r="U36" s="110"/>
      <c r="V36" s="100"/>
      <c r="W36" s="100"/>
      <c r="X36" s="100"/>
      <c r="Y36" s="110"/>
      <c r="Z36" s="110"/>
      <c r="AA36" s="100"/>
      <c r="AB36" s="109"/>
      <c r="AC36" s="108"/>
      <c r="AD36" s="109"/>
      <c r="AE36" s="109"/>
      <c r="AF36" s="109"/>
      <c r="AG36" s="109"/>
      <c r="AH36" s="100"/>
      <c r="AI36" s="100"/>
      <c r="AJ36" s="142"/>
      <c r="AK36" s="448"/>
      <c r="AL36" s="111"/>
      <c r="AM36" s="100"/>
      <c r="AN36" s="100"/>
      <c r="AO36" s="111"/>
      <c r="AP36" s="100"/>
      <c r="AQ36" s="100"/>
      <c r="AR36" s="111"/>
      <c r="AS36" s="142"/>
      <c r="AT36" s="150"/>
    </row>
    <row r="37" spans="1:46" ht="16.3">
      <c r="A37" s="611" t="s">
        <v>368</v>
      </c>
      <c r="B37" s="211">
        <f>SUM(B35/B36)*100</f>
        <v>100</v>
      </c>
      <c r="C37" s="216">
        <f>SUM(C35/C36)*100</f>
        <v>100</v>
      </c>
      <c r="D37" s="133"/>
      <c r="E37" s="134"/>
      <c r="F37" s="135"/>
      <c r="G37" s="136"/>
      <c r="H37" s="96"/>
      <c r="I37" s="96"/>
      <c r="J37" s="75"/>
      <c r="K37" s="75"/>
      <c r="L37" s="75"/>
      <c r="M37" s="75"/>
      <c r="N37" s="75"/>
      <c r="O37" s="96"/>
      <c r="P37" s="163"/>
      <c r="Q37" s="109"/>
      <c r="R37" s="111"/>
      <c r="S37" s="100"/>
      <c r="T37" s="110"/>
      <c r="U37" s="110"/>
      <c r="V37" s="100"/>
      <c r="W37" s="100"/>
      <c r="X37" s="100"/>
      <c r="Y37" s="110"/>
      <c r="Z37" s="110"/>
      <c r="AA37" s="100"/>
      <c r="AB37" s="109"/>
      <c r="AC37" s="108"/>
      <c r="AD37" s="109"/>
      <c r="AE37" s="109"/>
      <c r="AF37" s="109"/>
      <c r="AG37" s="109"/>
      <c r="AH37" s="100"/>
      <c r="AI37" s="100"/>
      <c r="AJ37" s="142"/>
      <c r="AK37" s="448"/>
      <c r="AL37" s="111"/>
      <c r="AM37" s="100"/>
      <c r="AN37" s="100"/>
      <c r="AO37" s="111"/>
      <c r="AP37" s="100"/>
      <c r="AQ37" s="100"/>
      <c r="AR37" s="111"/>
      <c r="AS37" s="142"/>
      <c r="AT37" s="150"/>
    </row>
    <row r="38" spans="1:46" ht="16.3">
      <c r="A38" s="91" t="s">
        <v>3</v>
      </c>
      <c r="B38" s="209">
        <f>SUM(J38+K38+L38+M38+N38+S38+V38+W38+X38+AA38+AI38+AJ38+AI38+AM38+AP38+AQ38+AS38+AT38+AU38+AV38)+2</f>
        <v>2</v>
      </c>
      <c r="C38" s="214">
        <f t="shared" ref="C38:C39" si="5">B38</f>
        <v>2</v>
      </c>
      <c r="D38" s="133"/>
      <c r="E38" s="134"/>
      <c r="F38" s="135"/>
      <c r="G38" s="136"/>
      <c r="H38" s="96"/>
      <c r="I38" s="96"/>
      <c r="J38" s="75"/>
      <c r="K38" s="75"/>
      <c r="L38" s="75"/>
      <c r="M38" s="75"/>
      <c r="N38" s="75"/>
      <c r="O38" s="96"/>
      <c r="P38" s="163"/>
      <c r="Q38" s="109"/>
      <c r="R38" s="111"/>
      <c r="S38" s="100"/>
      <c r="T38" s="110"/>
      <c r="U38" s="110"/>
      <c r="V38" s="100"/>
      <c r="W38" s="100"/>
      <c r="X38" s="100"/>
      <c r="Y38" s="110"/>
      <c r="Z38" s="110"/>
      <c r="AA38" s="100"/>
      <c r="AB38" s="109"/>
      <c r="AC38" s="108"/>
      <c r="AD38" s="109"/>
      <c r="AE38" s="109"/>
      <c r="AF38" s="109"/>
      <c r="AG38" s="109"/>
      <c r="AH38" s="100"/>
      <c r="AI38" s="100"/>
      <c r="AJ38" s="142"/>
      <c r="AK38" s="448"/>
      <c r="AL38" s="111"/>
      <c r="AM38" s="100"/>
      <c r="AN38" s="100"/>
      <c r="AO38" s="111"/>
      <c r="AP38" s="100"/>
      <c r="AQ38" s="100"/>
      <c r="AR38" s="111"/>
      <c r="AS38" s="142"/>
      <c r="AT38" s="150"/>
    </row>
    <row r="39" spans="1:46" ht="17" thickBot="1">
      <c r="A39" s="92" t="s">
        <v>4</v>
      </c>
      <c r="B39" s="212">
        <f>SUM(J39+K39+L39+M39+N39+S39+V39+W39+X39+AA39+AI39+AJ39+AI39+AM39+AP39+AQ39+AS39+AT39+AU39+AV39)+14</f>
        <v>14</v>
      </c>
      <c r="C39" s="217">
        <f t="shared" si="5"/>
        <v>14</v>
      </c>
      <c r="D39" s="144"/>
      <c r="E39" s="145"/>
      <c r="F39" s="146"/>
      <c r="G39" s="147"/>
      <c r="H39" s="114"/>
      <c r="I39" s="114"/>
      <c r="J39" s="112"/>
      <c r="K39" s="112"/>
      <c r="L39" s="112"/>
      <c r="M39" s="112"/>
      <c r="N39" s="112"/>
      <c r="O39" s="114"/>
      <c r="P39" s="164"/>
      <c r="Q39" s="118"/>
      <c r="R39" s="121"/>
      <c r="S39" s="116"/>
      <c r="T39" s="120"/>
      <c r="U39" s="120"/>
      <c r="V39" s="116"/>
      <c r="W39" s="116"/>
      <c r="X39" s="116"/>
      <c r="Y39" s="120"/>
      <c r="Z39" s="120"/>
      <c r="AA39" s="116"/>
      <c r="AB39" s="118"/>
      <c r="AC39" s="117"/>
      <c r="AD39" s="118"/>
      <c r="AE39" s="118"/>
      <c r="AF39" s="118"/>
      <c r="AG39" s="118"/>
      <c r="AH39" s="116"/>
      <c r="AI39" s="116"/>
      <c r="AJ39" s="149"/>
      <c r="AK39" s="449"/>
      <c r="AL39" s="121"/>
      <c r="AM39" s="116"/>
      <c r="AN39" s="116"/>
      <c r="AO39" s="121"/>
      <c r="AP39" s="116"/>
      <c r="AQ39" s="116"/>
      <c r="AR39" s="121"/>
      <c r="AS39" s="149"/>
      <c r="AT39" s="176"/>
    </row>
    <row r="40" spans="1:46" ht="21.1">
      <c r="A40" s="89" t="s">
        <v>745</v>
      </c>
      <c r="B40" s="209"/>
      <c r="C40" s="214"/>
      <c r="D40" s="133"/>
      <c r="E40" s="134"/>
      <c r="F40" s="135"/>
      <c r="G40" s="136"/>
      <c r="H40" s="96" t="s">
        <v>339</v>
      </c>
      <c r="I40" s="96" t="s">
        <v>339</v>
      </c>
      <c r="J40" s="75" t="s">
        <v>339</v>
      </c>
      <c r="K40" s="75" t="s">
        <v>339</v>
      </c>
      <c r="L40" s="75" t="s">
        <v>339</v>
      </c>
      <c r="M40" s="75" t="s">
        <v>339</v>
      </c>
      <c r="N40" s="75" t="s">
        <v>766</v>
      </c>
      <c r="O40" s="96">
        <v>15</v>
      </c>
      <c r="P40" s="163"/>
      <c r="Q40" s="109"/>
      <c r="R40" s="111"/>
      <c r="S40" s="100" t="s">
        <v>771</v>
      </c>
      <c r="T40" s="110" t="s">
        <v>379</v>
      </c>
      <c r="U40" s="110" t="s">
        <v>339</v>
      </c>
      <c r="V40" s="100" t="s">
        <v>339</v>
      </c>
      <c r="W40" s="100" t="s">
        <v>339</v>
      </c>
      <c r="X40" s="100" t="s">
        <v>339</v>
      </c>
      <c r="Y40" s="110" t="s">
        <v>339</v>
      </c>
      <c r="Z40" s="110" t="s">
        <v>339</v>
      </c>
      <c r="AA40" s="100" t="s">
        <v>339</v>
      </c>
      <c r="AB40" s="109" t="s">
        <v>339</v>
      </c>
      <c r="AC40" s="108"/>
      <c r="AD40" s="109">
        <v>14</v>
      </c>
      <c r="AE40" s="109" t="s">
        <v>379</v>
      </c>
      <c r="AF40" s="109" t="s">
        <v>379</v>
      </c>
      <c r="AG40" s="109"/>
      <c r="AH40" s="100"/>
      <c r="AI40" s="100"/>
      <c r="AJ40" s="142"/>
      <c r="AK40" s="448"/>
      <c r="AL40" s="111"/>
      <c r="AM40" s="100"/>
      <c r="AN40" s="100"/>
      <c r="AO40" s="111"/>
      <c r="AP40" s="100"/>
      <c r="AQ40" s="100"/>
      <c r="AR40" s="111"/>
      <c r="AS40" s="142"/>
      <c r="AT40" s="150"/>
    </row>
    <row r="41" spans="1:46" ht="16.3">
      <c r="A41" s="611" t="s">
        <v>1</v>
      </c>
      <c r="B41" s="210">
        <f>SUM(J41+K41+L41+M41+N41+S41+V41+W41+X41+AA41+AI41+AJ41+AI41+AM41+AP41+AQ41+AS41+AT41+AU41+AV41+AN41)</f>
        <v>2</v>
      </c>
      <c r="C41" s="215">
        <f>SUM(J41+K41+L41+M41+N41+S41+W41+X41+V41+AA41+AJ41+AI41+AJ41+AN41+AQ41+AM41+AT41+AU41+AV41+AW41+AP41+AS41)+14</f>
        <v>16</v>
      </c>
      <c r="D41" s="133"/>
      <c r="E41" s="134"/>
      <c r="F41" s="135"/>
      <c r="G41" s="136"/>
      <c r="H41" s="96"/>
      <c r="I41" s="96"/>
      <c r="J41" s="75"/>
      <c r="K41" s="75"/>
      <c r="L41" s="75"/>
      <c r="M41" s="75"/>
      <c r="N41" s="75">
        <v>1</v>
      </c>
      <c r="O41" s="96">
        <v>1</v>
      </c>
      <c r="P41" s="163"/>
      <c r="Q41" s="109"/>
      <c r="R41" s="111"/>
      <c r="S41" s="100">
        <v>1</v>
      </c>
      <c r="T41" s="110">
        <v>1</v>
      </c>
      <c r="U41" s="110"/>
      <c r="V41" s="100"/>
      <c r="W41" s="100"/>
      <c r="X41" s="100"/>
      <c r="Y41" s="110"/>
      <c r="Z41" s="110"/>
      <c r="AA41" s="100"/>
      <c r="AB41" s="109"/>
      <c r="AC41" s="108"/>
      <c r="AD41" s="109">
        <v>1</v>
      </c>
      <c r="AE41" s="109">
        <v>1</v>
      </c>
      <c r="AF41" s="109">
        <v>1</v>
      </c>
      <c r="AG41" s="109"/>
      <c r="AH41" s="100"/>
      <c r="AI41" s="100"/>
      <c r="AJ41" s="142"/>
      <c r="AK41" s="448"/>
      <c r="AL41" s="111"/>
      <c r="AM41" s="100"/>
      <c r="AN41" s="100"/>
      <c r="AO41" s="111"/>
      <c r="AP41" s="100"/>
      <c r="AQ41" s="100"/>
      <c r="AR41" s="111"/>
      <c r="AS41" s="142"/>
      <c r="AT41" s="150"/>
    </row>
    <row r="42" spans="1:46" ht="16.3">
      <c r="A42" s="611" t="s">
        <v>2</v>
      </c>
      <c r="B42" s="210">
        <f>SUM(J42+K42+L42+M42+N42+S42+V42+W42+X42+AA42+AI42+AJ42+AI42+AM42+AP42+AQ42+AS42+AT42+AU42+AV42)</f>
        <v>0</v>
      </c>
      <c r="C42" s="215">
        <f>SUM(J42+K42+L42+M42+N42+S42+W42+X42+V42+AA42+AJ42+AI42+AJ42+AN42+AQ42+AM42+AT42+AU42+AV42+AW42+AP42+AS42)+2</f>
        <v>2</v>
      </c>
      <c r="D42" s="133"/>
      <c r="E42" s="134"/>
      <c r="F42" s="135"/>
      <c r="G42" s="136"/>
      <c r="H42" s="96"/>
      <c r="I42" s="96"/>
      <c r="J42" s="75"/>
      <c r="K42" s="75"/>
      <c r="L42" s="75"/>
      <c r="M42" s="75"/>
      <c r="N42" s="75"/>
      <c r="O42" s="96"/>
      <c r="P42" s="163"/>
      <c r="Q42" s="109"/>
      <c r="R42" s="111"/>
      <c r="S42" s="100"/>
      <c r="T42" s="110"/>
      <c r="U42" s="110"/>
      <c r="V42" s="100"/>
      <c r="W42" s="100"/>
      <c r="X42" s="100"/>
      <c r="Y42" s="110"/>
      <c r="Z42" s="110"/>
      <c r="AA42" s="100"/>
      <c r="AB42" s="109"/>
      <c r="AC42" s="108"/>
      <c r="AD42" s="109"/>
      <c r="AE42" s="109"/>
      <c r="AF42" s="109"/>
      <c r="AG42" s="109"/>
      <c r="AH42" s="100"/>
      <c r="AI42" s="100"/>
      <c r="AJ42" s="142"/>
      <c r="AK42" s="448"/>
      <c r="AL42" s="111"/>
      <c r="AM42" s="100"/>
      <c r="AN42" s="100"/>
      <c r="AO42" s="111"/>
      <c r="AP42" s="100"/>
      <c r="AQ42" s="100"/>
      <c r="AR42" s="111"/>
      <c r="AS42" s="142"/>
      <c r="AT42" s="150"/>
    </row>
    <row r="43" spans="1:46" ht="16.3">
      <c r="A43" s="91" t="s">
        <v>363</v>
      </c>
      <c r="B43" s="209">
        <f>SUM(B41+B42)</f>
        <v>2</v>
      </c>
      <c r="C43" s="214">
        <f>SUM(C41+C42)</f>
        <v>18</v>
      </c>
      <c r="D43" s="133"/>
      <c r="E43" s="134"/>
      <c r="F43" s="135"/>
      <c r="G43" s="136"/>
      <c r="H43" s="96"/>
      <c r="I43" s="96"/>
      <c r="J43" s="75"/>
      <c r="K43" s="75"/>
      <c r="L43" s="75"/>
      <c r="M43" s="75"/>
      <c r="N43" s="75"/>
      <c r="O43" s="96"/>
      <c r="P43" s="163"/>
      <c r="Q43" s="109"/>
      <c r="R43" s="111"/>
      <c r="S43" s="100"/>
      <c r="T43" s="110"/>
      <c r="U43" s="110"/>
      <c r="V43" s="100"/>
      <c r="W43" s="100"/>
      <c r="X43" s="100"/>
      <c r="Y43" s="110"/>
      <c r="Z43" s="110"/>
      <c r="AA43" s="100"/>
      <c r="AB43" s="109"/>
      <c r="AC43" s="108"/>
      <c r="AD43" s="109"/>
      <c r="AE43" s="109"/>
      <c r="AF43" s="109"/>
      <c r="AG43" s="109"/>
      <c r="AH43" s="100"/>
      <c r="AI43" s="100"/>
      <c r="AJ43" s="142"/>
      <c r="AK43" s="448"/>
      <c r="AL43" s="111"/>
      <c r="AM43" s="100"/>
      <c r="AN43" s="100"/>
      <c r="AO43" s="111"/>
      <c r="AP43" s="100"/>
      <c r="AQ43" s="100"/>
      <c r="AR43" s="111"/>
      <c r="AS43" s="142"/>
      <c r="AT43" s="150"/>
    </row>
    <row r="44" spans="1:46" ht="16.3">
      <c r="A44" s="91" t="s">
        <v>3</v>
      </c>
      <c r="B44" s="209">
        <f>SUM(J44+K44+L44+M44+N44+S44+V44+W44+X44+AA44+AI44+AJ44+AI44+AM44+AP44+AQ44+AS44+AT44+AU44+AV44)</f>
        <v>2</v>
      </c>
      <c r="C44" s="214">
        <f>SUM(J44+K44+L44+M44+N44+S44+W44+X44+V44+AA44+AJ44+AI44+AJ44+AN44+AQ44+AM44+AT44+AU44+AV44+AW44+AP44+AS44)+3</f>
        <v>5</v>
      </c>
      <c r="D44" s="133"/>
      <c r="E44" s="134"/>
      <c r="F44" s="135"/>
      <c r="G44" s="136"/>
      <c r="H44" s="96"/>
      <c r="I44" s="96"/>
      <c r="J44" s="75"/>
      <c r="K44" s="75"/>
      <c r="L44" s="75"/>
      <c r="M44" s="75"/>
      <c r="N44" s="75"/>
      <c r="O44" s="96"/>
      <c r="P44" s="163"/>
      <c r="Q44" s="109"/>
      <c r="R44" s="111"/>
      <c r="S44" s="100">
        <v>2</v>
      </c>
      <c r="T44" s="110"/>
      <c r="U44" s="110"/>
      <c r="V44" s="100"/>
      <c r="W44" s="100"/>
      <c r="X44" s="100"/>
      <c r="Y44" s="110"/>
      <c r="Z44" s="110"/>
      <c r="AA44" s="100"/>
      <c r="AB44" s="109"/>
      <c r="AC44" s="108"/>
      <c r="AD44" s="109"/>
      <c r="AE44" s="109">
        <v>2</v>
      </c>
      <c r="AF44" s="109">
        <v>1</v>
      </c>
      <c r="AG44" s="109"/>
      <c r="AH44" s="100"/>
      <c r="AI44" s="100"/>
      <c r="AJ44" s="142"/>
      <c r="AK44" s="448"/>
      <c r="AL44" s="111"/>
      <c r="AM44" s="100"/>
      <c r="AN44" s="100"/>
      <c r="AO44" s="111"/>
      <c r="AP44" s="100"/>
      <c r="AQ44" s="100"/>
      <c r="AR44" s="111"/>
      <c r="AS44" s="142"/>
      <c r="AT44" s="150"/>
    </row>
    <row r="45" spans="1:46" ht="17" thickBot="1">
      <c r="A45" s="92" t="s">
        <v>4</v>
      </c>
      <c r="B45" s="212">
        <f>SUM(J45+K45+L45+M45+N45+S45+V45+W45+X45+AA45+AI45+AJ45+AI45+AM45+AP45+AQ45+AS45+AT45+AU45+AV45)</f>
        <v>10</v>
      </c>
      <c r="C45" s="217">
        <f>SUM(J45+K45+L45+M45+N45+S45+W45+X45+V45+AA45+AJ45+AI45+AJ45+AN45+AQ45+AM45+AT45+AU45+AV45+AW45+AP45+AS45)+15</f>
        <v>25</v>
      </c>
      <c r="D45" s="144"/>
      <c r="E45" s="145"/>
      <c r="F45" s="146"/>
      <c r="G45" s="147"/>
      <c r="H45" s="114"/>
      <c r="I45" s="114"/>
      <c r="J45" s="112"/>
      <c r="K45" s="112"/>
      <c r="L45" s="112"/>
      <c r="M45" s="112"/>
      <c r="N45" s="112"/>
      <c r="O45" s="114"/>
      <c r="P45" s="164"/>
      <c r="Q45" s="118"/>
      <c r="R45" s="121"/>
      <c r="S45" s="116">
        <v>10</v>
      </c>
      <c r="T45" s="120"/>
      <c r="U45" s="120"/>
      <c r="V45" s="116"/>
      <c r="W45" s="116"/>
      <c r="X45" s="116"/>
      <c r="Y45" s="120"/>
      <c r="Z45" s="120"/>
      <c r="AA45" s="116"/>
      <c r="AB45" s="118"/>
      <c r="AC45" s="117"/>
      <c r="AD45" s="118"/>
      <c r="AE45" s="118">
        <v>10</v>
      </c>
      <c r="AF45" s="118">
        <v>5</v>
      </c>
      <c r="AG45" s="118"/>
      <c r="AH45" s="116"/>
      <c r="AI45" s="116"/>
      <c r="AJ45" s="149"/>
      <c r="AK45" s="449"/>
      <c r="AL45" s="121"/>
      <c r="AM45" s="116"/>
      <c r="AN45" s="116"/>
      <c r="AO45" s="121"/>
      <c r="AP45" s="116"/>
      <c r="AQ45" s="116"/>
      <c r="AR45" s="121"/>
      <c r="AS45" s="149"/>
      <c r="AT45" s="176"/>
    </row>
    <row r="46" spans="1:46" ht="21.1">
      <c r="A46" s="89" t="s">
        <v>633</v>
      </c>
      <c r="B46" s="209"/>
      <c r="C46" s="214"/>
      <c r="D46" s="133"/>
      <c r="E46" s="134"/>
      <c r="F46" s="135"/>
      <c r="G46" s="136"/>
      <c r="H46" s="96"/>
      <c r="I46" s="96" t="s">
        <v>432</v>
      </c>
      <c r="J46" s="75"/>
      <c r="K46" s="75"/>
      <c r="L46" s="75"/>
      <c r="M46" s="75"/>
      <c r="N46" s="75"/>
      <c r="O46" s="96"/>
      <c r="P46" s="163"/>
      <c r="Q46" s="109"/>
      <c r="R46" s="111"/>
      <c r="S46" s="100"/>
      <c r="T46" s="110"/>
      <c r="U46" s="110"/>
      <c r="V46" s="100"/>
      <c r="W46" s="100"/>
      <c r="X46" s="100"/>
      <c r="Y46" s="110"/>
      <c r="Z46" s="110"/>
      <c r="AA46" s="100"/>
      <c r="AB46" s="109"/>
      <c r="AC46" s="108"/>
      <c r="AD46" s="109"/>
      <c r="AE46" s="109"/>
      <c r="AF46" s="109"/>
      <c r="AG46" s="109"/>
      <c r="AH46" s="100"/>
      <c r="AI46" s="100"/>
      <c r="AJ46" s="142"/>
      <c r="AK46" s="448"/>
      <c r="AL46" s="111"/>
      <c r="AM46" s="100"/>
      <c r="AN46" s="100"/>
      <c r="AO46" s="111"/>
      <c r="AP46" s="100"/>
      <c r="AQ46" s="100"/>
      <c r="AR46" s="111"/>
      <c r="AS46" s="142"/>
      <c r="AT46" s="150"/>
    </row>
    <row r="47" spans="1:46" ht="16.3">
      <c r="A47" s="611" t="s">
        <v>1</v>
      </c>
      <c r="B47" s="210">
        <f>SUM(J47+K47+L47+M47+N47+S47+V47+W47+X47+AA47+AI47+AJ47+AI47+AM47+AP47+AQ47+AS47+AT47+AU47+AV47+AN47)</f>
        <v>0</v>
      </c>
      <c r="C47" s="215">
        <f>B47</f>
        <v>0</v>
      </c>
      <c r="D47" s="133"/>
      <c r="E47" s="134"/>
      <c r="F47" s="135"/>
      <c r="G47" s="136"/>
      <c r="H47" s="96"/>
      <c r="I47" s="96"/>
      <c r="J47" s="75"/>
      <c r="K47" s="75"/>
      <c r="L47" s="75"/>
      <c r="M47" s="75"/>
      <c r="N47" s="75"/>
      <c r="O47" s="96"/>
      <c r="P47" s="163"/>
      <c r="Q47" s="109"/>
      <c r="R47" s="111"/>
      <c r="S47" s="100"/>
      <c r="T47" s="110"/>
      <c r="U47" s="110"/>
      <c r="V47" s="100"/>
      <c r="W47" s="100"/>
      <c r="X47" s="100"/>
      <c r="Y47" s="110"/>
      <c r="Z47" s="110"/>
      <c r="AA47" s="100"/>
      <c r="AB47" s="109"/>
      <c r="AC47" s="108"/>
      <c r="AD47" s="109"/>
      <c r="AE47" s="109"/>
      <c r="AF47" s="109"/>
      <c r="AG47" s="109"/>
      <c r="AH47" s="100"/>
      <c r="AI47" s="100"/>
      <c r="AJ47" s="142"/>
      <c r="AK47" s="448"/>
      <c r="AL47" s="111"/>
      <c r="AM47" s="100"/>
      <c r="AN47" s="100"/>
      <c r="AO47" s="111"/>
      <c r="AP47" s="100"/>
      <c r="AQ47" s="100"/>
      <c r="AR47" s="111"/>
      <c r="AS47" s="142"/>
      <c r="AT47" s="150"/>
    </row>
    <row r="48" spans="1:46" ht="16.3">
      <c r="A48" s="611" t="s">
        <v>2</v>
      </c>
      <c r="B48" s="210">
        <f>SUM(J48+K48+L48+M48+N48+S48+V48+W48+X48+AA48+AI48+AJ48+AI48+AM48+AP48+AQ48+AS48+AT48+AU48+AV48)</f>
        <v>0</v>
      </c>
      <c r="C48" s="215">
        <f t="shared" ref="C48:C51" si="6">B48</f>
        <v>0</v>
      </c>
      <c r="D48" s="133"/>
      <c r="E48" s="134"/>
      <c r="F48" s="135"/>
      <c r="G48" s="136"/>
      <c r="H48" s="96"/>
      <c r="I48" s="96">
        <v>1</v>
      </c>
      <c r="J48" s="75"/>
      <c r="K48" s="75"/>
      <c r="L48" s="75"/>
      <c r="M48" s="75"/>
      <c r="N48" s="75"/>
      <c r="O48" s="96"/>
      <c r="P48" s="163"/>
      <c r="Q48" s="109"/>
      <c r="R48" s="111"/>
      <c r="S48" s="100"/>
      <c r="T48" s="110"/>
      <c r="U48" s="110"/>
      <c r="V48" s="100"/>
      <c r="W48" s="100"/>
      <c r="X48" s="100"/>
      <c r="Y48" s="110"/>
      <c r="Z48" s="110"/>
      <c r="AA48" s="100"/>
      <c r="AB48" s="109"/>
      <c r="AC48" s="108"/>
      <c r="AD48" s="109"/>
      <c r="AE48" s="109"/>
      <c r="AF48" s="109"/>
      <c r="AG48" s="109"/>
      <c r="AH48" s="100"/>
      <c r="AI48" s="100"/>
      <c r="AJ48" s="142"/>
      <c r="AK48" s="448"/>
      <c r="AL48" s="111"/>
      <c r="AM48" s="100"/>
      <c r="AN48" s="100"/>
      <c r="AO48" s="111"/>
      <c r="AP48" s="100"/>
      <c r="AQ48" s="100"/>
      <c r="AR48" s="111"/>
      <c r="AS48" s="142"/>
      <c r="AT48" s="150"/>
    </row>
    <row r="49" spans="1:48" ht="16.3">
      <c r="A49" s="91" t="s">
        <v>363</v>
      </c>
      <c r="B49" s="209">
        <f>SUM(B47+B48)</f>
        <v>0</v>
      </c>
      <c r="C49" s="214">
        <f t="shared" si="6"/>
        <v>0</v>
      </c>
      <c r="D49" s="133"/>
      <c r="E49" s="134"/>
      <c r="F49" s="135"/>
      <c r="G49" s="136"/>
      <c r="H49" s="96"/>
      <c r="I49" s="96"/>
      <c r="J49" s="75"/>
      <c r="K49" s="75"/>
      <c r="L49" s="75"/>
      <c r="M49" s="75"/>
      <c r="N49" s="75"/>
      <c r="O49" s="96"/>
      <c r="P49" s="163"/>
      <c r="Q49" s="109"/>
      <c r="R49" s="111"/>
      <c r="S49" s="100"/>
      <c r="T49" s="110"/>
      <c r="U49" s="110"/>
      <c r="V49" s="100"/>
      <c r="W49" s="100"/>
      <c r="X49" s="100"/>
      <c r="Y49" s="110"/>
      <c r="Z49" s="110"/>
      <c r="AA49" s="100"/>
      <c r="AB49" s="109"/>
      <c r="AC49" s="108"/>
      <c r="AD49" s="109"/>
      <c r="AE49" s="109"/>
      <c r="AF49" s="109"/>
      <c r="AG49" s="109"/>
      <c r="AH49" s="100"/>
      <c r="AI49" s="100"/>
      <c r="AJ49" s="142"/>
      <c r="AK49" s="448"/>
      <c r="AL49" s="111"/>
      <c r="AM49" s="100"/>
      <c r="AN49" s="100"/>
      <c r="AO49" s="111"/>
      <c r="AP49" s="100"/>
      <c r="AQ49" s="100"/>
      <c r="AR49" s="111"/>
      <c r="AS49" s="142"/>
      <c r="AT49" s="150"/>
    </row>
    <row r="50" spans="1:48" ht="16.3">
      <c r="A50" s="91" t="s">
        <v>3</v>
      </c>
      <c r="B50" s="209">
        <f>SUM(J50+K50+L50+M50+N50+S50+V50+W50+X50+AA50+AI50+AJ50+AI50+AM50+AP50+AQ50+AS50+AT50+AU50+AV50)</f>
        <v>0</v>
      </c>
      <c r="C50" s="214">
        <f t="shared" si="6"/>
        <v>0</v>
      </c>
      <c r="D50" s="133"/>
      <c r="E50" s="134"/>
      <c r="F50" s="135"/>
      <c r="G50" s="136"/>
      <c r="H50" s="96"/>
      <c r="I50" s="96"/>
      <c r="J50" s="75"/>
      <c r="K50" s="75"/>
      <c r="L50" s="75"/>
      <c r="M50" s="75"/>
      <c r="N50" s="75"/>
      <c r="O50" s="96"/>
      <c r="P50" s="163"/>
      <c r="Q50" s="109"/>
      <c r="R50" s="111"/>
      <c r="S50" s="100"/>
      <c r="T50" s="110"/>
      <c r="U50" s="110"/>
      <c r="V50" s="100"/>
      <c r="W50" s="100"/>
      <c r="X50" s="100"/>
      <c r="Y50" s="110"/>
      <c r="Z50" s="110"/>
      <c r="AA50" s="100"/>
      <c r="AB50" s="109"/>
      <c r="AC50" s="108"/>
      <c r="AD50" s="109"/>
      <c r="AE50" s="109"/>
      <c r="AF50" s="109"/>
      <c r="AG50" s="109"/>
      <c r="AH50" s="100"/>
      <c r="AI50" s="100"/>
      <c r="AJ50" s="142"/>
      <c r="AK50" s="448"/>
      <c r="AL50" s="111"/>
      <c r="AM50" s="100"/>
      <c r="AN50" s="100"/>
      <c r="AO50" s="111"/>
      <c r="AP50" s="100"/>
      <c r="AQ50" s="100"/>
      <c r="AR50" s="111"/>
      <c r="AS50" s="142"/>
      <c r="AT50" s="150"/>
    </row>
    <row r="51" spans="1:48" ht="17" thickBot="1">
      <c r="A51" s="92" t="s">
        <v>4</v>
      </c>
      <c r="B51" s="212">
        <f>SUM(J51+K51+L51+M51+N51+S51+V51+W51+X51+AA51+AI51+AJ51+AI51+AM51+AP51+AQ51+AS51+AT51+AU51+AV51)</f>
        <v>0</v>
      </c>
      <c r="C51" s="217">
        <f t="shared" si="6"/>
        <v>0</v>
      </c>
      <c r="D51" s="144"/>
      <c r="E51" s="145"/>
      <c r="F51" s="146"/>
      <c r="G51" s="147"/>
      <c r="H51" s="114"/>
      <c r="I51" s="114"/>
      <c r="J51" s="112"/>
      <c r="K51" s="112"/>
      <c r="L51" s="112"/>
      <c r="M51" s="112"/>
      <c r="N51" s="112"/>
      <c r="O51" s="114"/>
      <c r="P51" s="164"/>
      <c r="Q51" s="118"/>
      <c r="R51" s="121"/>
      <c r="S51" s="116"/>
      <c r="T51" s="119"/>
      <c r="U51" s="120"/>
      <c r="V51" s="116"/>
      <c r="W51" s="116"/>
      <c r="X51" s="116"/>
      <c r="Y51" s="120"/>
      <c r="Z51" s="120"/>
      <c r="AA51" s="116"/>
      <c r="AB51" s="118"/>
      <c r="AC51" s="117"/>
      <c r="AD51" s="118"/>
      <c r="AE51" s="118"/>
      <c r="AF51" s="118"/>
      <c r="AG51" s="118"/>
      <c r="AH51" s="116"/>
      <c r="AI51" s="116"/>
      <c r="AJ51" s="149"/>
      <c r="AK51" s="449"/>
      <c r="AL51" s="121"/>
      <c r="AM51" s="116"/>
      <c r="AN51" s="116"/>
      <c r="AO51" s="121"/>
      <c r="AP51" s="116"/>
      <c r="AQ51" s="116"/>
      <c r="AR51" s="121"/>
      <c r="AS51" s="149"/>
      <c r="AT51" s="176"/>
    </row>
    <row r="52" spans="1:48" ht="21.1">
      <c r="A52" s="89" t="s">
        <v>748</v>
      </c>
      <c r="B52" s="209"/>
      <c r="C52" s="214"/>
      <c r="D52" s="133"/>
      <c r="E52" s="134"/>
      <c r="F52" s="135"/>
      <c r="G52" s="136"/>
      <c r="H52" s="96" t="s">
        <v>339</v>
      </c>
      <c r="I52" s="96" t="s">
        <v>339</v>
      </c>
      <c r="J52" s="75" t="s">
        <v>339</v>
      </c>
      <c r="K52" s="75" t="s">
        <v>339</v>
      </c>
      <c r="L52" s="75" t="s">
        <v>339</v>
      </c>
      <c r="M52" s="75" t="s">
        <v>339</v>
      </c>
      <c r="N52" s="75" t="s">
        <v>339</v>
      </c>
      <c r="O52" s="96" t="s">
        <v>339</v>
      </c>
      <c r="P52" s="163"/>
      <c r="Q52" s="109" t="s">
        <v>432</v>
      </c>
      <c r="R52" s="111"/>
      <c r="S52" s="100" t="s">
        <v>383</v>
      </c>
      <c r="T52" s="110" t="s">
        <v>375</v>
      </c>
      <c r="U52" s="110" t="s">
        <v>367</v>
      </c>
      <c r="V52" s="100" t="s">
        <v>383</v>
      </c>
      <c r="W52" s="100" t="s">
        <v>339</v>
      </c>
      <c r="X52" s="100" t="s">
        <v>339</v>
      </c>
      <c r="Y52" s="110" t="s">
        <v>339</v>
      </c>
      <c r="Z52" s="110" t="s">
        <v>339</v>
      </c>
      <c r="AA52" s="100" t="s">
        <v>339</v>
      </c>
      <c r="AB52" s="109" t="s">
        <v>339</v>
      </c>
      <c r="AC52" s="108"/>
      <c r="AD52" s="109" t="s">
        <v>339</v>
      </c>
      <c r="AE52" s="109" t="s">
        <v>339</v>
      </c>
      <c r="AF52" s="109" t="s">
        <v>339</v>
      </c>
      <c r="AG52" s="109"/>
      <c r="AH52" s="100"/>
      <c r="AI52" s="100"/>
      <c r="AJ52" s="142"/>
      <c r="AK52" s="448"/>
      <c r="AL52" s="111"/>
      <c r="AM52" s="100"/>
      <c r="AN52" s="100"/>
      <c r="AO52" s="111"/>
      <c r="AP52" s="100"/>
      <c r="AQ52" s="100"/>
      <c r="AR52" s="111"/>
      <c r="AS52" s="142"/>
      <c r="AT52" s="150"/>
    </row>
    <row r="53" spans="1:48" ht="16.3">
      <c r="A53" s="611" t="s">
        <v>1</v>
      </c>
      <c r="B53" s="210">
        <f>SUM(J53+K53+L53+M53+N53+S53+V53+W53+X53+AA53+AI53+AJ53+AI53+AM53+AP53+AQ53+AS53+AT53+AU53+AV53+AN53)</f>
        <v>2</v>
      </c>
      <c r="C53" s="215">
        <f>B53</f>
        <v>2</v>
      </c>
      <c r="D53" s="133"/>
      <c r="E53" s="134"/>
      <c r="F53" s="135"/>
      <c r="G53" s="136"/>
      <c r="H53" s="96"/>
      <c r="I53" s="96"/>
      <c r="J53" s="75"/>
      <c r="K53" s="75"/>
      <c r="L53" s="75"/>
      <c r="M53" s="75"/>
      <c r="N53" s="75"/>
      <c r="O53" s="96"/>
      <c r="P53" s="163"/>
      <c r="Q53" s="109"/>
      <c r="R53" s="111"/>
      <c r="S53" s="100">
        <v>1</v>
      </c>
      <c r="T53" s="110"/>
      <c r="U53" s="110">
        <v>1</v>
      </c>
      <c r="V53" s="100">
        <v>1</v>
      </c>
      <c r="W53" s="100"/>
      <c r="X53" s="100"/>
      <c r="Y53" s="110"/>
      <c r="Z53" s="110"/>
      <c r="AA53" s="100"/>
      <c r="AB53" s="109"/>
      <c r="AC53" s="108"/>
      <c r="AD53" s="109"/>
      <c r="AE53" s="109"/>
      <c r="AF53" s="109"/>
      <c r="AG53" s="109"/>
      <c r="AH53" s="100"/>
      <c r="AI53" s="100"/>
      <c r="AJ53" s="142"/>
      <c r="AK53" s="448"/>
      <c r="AL53" s="111"/>
      <c r="AM53" s="100"/>
      <c r="AN53" s="100"/>
      <c r="AO53" s="111"/>
      <c r="AP53" s="100"/>
      <c r="AQ53" s="100"/>
      <c r="AR53" s="111"/>
      <c r="AS53" s="142"/>
      <c r="AT53" s="150"/>
    </row>
    <row r="54" spans="1:48" ht="16.3">
      <c r="A54" s="611" t="s">
        <v>2</v>
      </c>
      <c r="B54" s="210">
        <f>SUM(J54+K54+L54+M54+N54+S54+V54+W54+X54+AA54+AI54+AJ54+AI54+AM54+AP54+AQ54+AS54+AT54+AU54+AV54)</f>
        <v>0</v>
      </c>
      <c r="C54" s="215">
        <f t="shared" ref="C54:C57" si="7">B54</f>
        <v>0</v>
      </c>
      <c r="D54" s="133"/>
      <c r="E54" s="134"/>
      <c r="F54" s="135"/>
      <c r="G54" s="136"/>
      <c r="H54" s="96"/>
      <c r="I54" s="96"/>
      <c r="J54" s="75"/>
      <c r="K54" s="75"/>
      <c r="L54" s="75"/>
      <c r="M54" s="75"/>
      <c r="N54" s="75"/>
      <c r="O54" s="96"/>
      <c r="P54" s="163"/>
      <c r="Q54" s="109">
        <v>1</v>
      </c>
      <c r="R54" s="111"/>
      <c r="S54" s="100"/>
      <c r="T54" s="110">
        <v>1</v>
      </c>
      <c r="U54" s="110"/>
      <c r="V54" s="100"/>
      <c r="W54" s="100"/>
      <c r="X54" s="100"/>
      <c r="Y54" s="110"/>
      <c r="Z54" s="110"/>
      <c r="AA54" s="100"/>
      <c r="AB54" s="109"/>
      <c r="AC54" s="108"/>
      <c r="AD54" s="109"/>
      <c r="AE54" s="109"/>
      <c r="AF54" s="109"/>
      <c r="AG54" s="109"/>
      <c r="AH54" s="100"/>
      <c r="AI54" s="100"/>
      <c r="AJ54" s="142"/>
      <c r="AK54" s="448"/>
      <c r="AL54" s="111"/>
      <c r="AM54" s="100"/>
      <c r="AN54" s="100"/>
      <c r="AO54" s="111"/>
      <c r="AP54" s="100"/>
      <c r="AQ54" s="100"/>
      <c r="AR54" s="111"/>
      <c r="AS54" s="142"/>
      <c r="AT54" s="150"/>
    </row>
    <row r="55" spans="1:48" ht="16.3">
      <c r="A55" s="91" t="s">
        <v>363</v>
      </c>
      <c r="B55" s="209">
        <f>SUM(B53+B54)</f>
        <v>2</v>
      </c>
      <c r="C55" s="214">
        <f t="shared" si="7"/>
        <v>2</v>
      </c>
      <c r="D55" s="133"/>
      <c r="E55" s="134"/>
      <c r="F55" s="135"/>
      <c r="G55" s="136"/>
      <c r="H55" s="96"/>
      <c r="I55" s="96"/>
      <c r="J55" s="75"/>
      <c r="K55" s="75"/>
      <c r="L55" s="75"/>
      <c r="M55" s="75"/>
      <c r="N55" s="75"/>
      <c r="O55" s="96"/>
      <c r="P55" s="163"/>
      <c r="Q55" s="109"/>
      <c r="R55" s="111"/>
      <c r="S55" s="100"/>
      <c r="T55" s="110"/>
      <c r="U55" s="110"/>
      <c r="V55" s="100"/>
      <c r="W55" s="100"/>
      <c r="X55" s="100"/>
      <c r="Y55" s="110"/>
      <c r="Z55" s="110"/>
      <c r="AA55" s="100"/>
      <c r="AB55" s="109"/>
      <c r="AC55" s="108"/>
      <c r="AD55" s="109"/>
      <c r="AE55" s="109"/>
      <c r="AF55" s="109"/>
      <c r="AG55" s="109"/>
      <c r="AH55" s="100"/>
      <c r="AI55" s="100"/>
      <c r="AJ55" s="142"/>
      <c r="AK55" s="448"/>
      <c r="AL55" s="111"/>
      <c r="AM55" s="100"/>
      <c r="AN55" s="100"/>
      <c r="AO55" s="111"/>
      <c r="AP55" s="100"/>
      <c r="AQ55" s="100"/>
      <c r="AR55" s="111"/>
      <c r="AS55" s="142"/>
      <c r="AT55" s="150"/>
    </row>
    <row r="56" spans="1:48" ht="16.3">
      <c r="A56" s="91" t="s">
        <v>3</v>
      </c>
      <c r="B56" s="209">
        <f>SUM(J56+K56+L56+M56+N56+S56+V56+W56+X56+AA56+AI56+AJ56+AI56+AM56+AP56+AQ56+AS56+AT56+AU56+AV56)</f>
        <v>0</v>
      </c>
      <c r="C56" s="214">
        <f t="shared" si="7"/>
        <v>0</v>
      </c>
      <c r="D56" s="133"/>
      <c r="E56" s="134"/>
      <c r="F56" s="135"/>
      <c r="G56" s="136"/>
      <c r="H56" s="96"/>
      <c r="I56" s="96"/>
      <c r="J56" s="75"/>
      <c r="K56" s="75"/>
      <c r="L56" s="75"/>
      <c r="M56" s="75"/>
      <c r="N56" s="75"/>
      <c r="O56" s="96"/>
      <c r="P56" s="163"/>
      <c r="Q56" s="109"/>
      <c r="R56" s="111"/>
      <c r="S56" s="100"/>
      <c r="T56" s="110"/>
      <c r="U56" s="110"/>
      <c r="V56" s="100"/>
      <c r="W56" s="100"/>
      <c r="X56" s="100"/>
      <c r="Y56" s="110"/>
      <c r="Z56" s="110"/>
      <c r="AA56" s="100"/>
      <c r="AB56" s="109"/>
      <c r="AC56" s="108"/>
      <c r="AD56" s="109"/>
      <c r="AE56" s="109"/>
      <c r="AF56" s="109"/>
      <c r="AG56" s="109"/>
      <c r="AH56" s="100"/>
      <c r="AI56" s="100"/>
      <c r="AJ56" s="142"/>
      <c r="AK56" s="448"/>
      <c r="AL56" s="111"/>
      <c r="AM56" s="100"/>
      <c r="AN56" s="100"/>
      <c r="AO56" s="111"/>
      <c r="AP56" s="100"/>
      <c r="AQ56" s="100"/>
      <c r="AR56" s="111"/>
      <c r="AS56" s="142"/>
      <c r="AT56" s="150"/>
    </row>
    <row r="57" spans="1:48" ht="17" thickBot="1">
      <c r="A57" s="92" t="s">
        <v>4</v>
      </c>
      <c r="B57" s="212">
        <f>SUM(J57+K57+L57+M57+N57+S57+V57+W57+X57+AA57+AI57+AJ57+AI57+AM57+AP57+AQ57+AS57+AT57+AU57+AV57)</f>
        <v>0</v>
      </c>
      <c r="C57" s="217">
        <f t="shared" si="7"/>
        <v>0</v>
      </c>
      <c r="D57" s="144"/>
      <c r="E57" s="145"/>
      <c r="F57" s="146"/>
      <c r="G57" s="147"/>
      <c r="H57" s="114"/>
      <c r="I57" s="114"/>
      <c r="J57" s="112"/>
      <c r="K57" s="112"/>
      <c r="L57" s="112"/>
      <c r="M57" s="112"/>
      <c r="N57" s="112"/>
      <c r="O57" s="114"/>
      <c r="P57" s="164"/>
      <c r="Q57" s="118"/>
      <c r="R57" s="121"/>
      <c r="S57" s="116"/>
      <c r="T57" s="120"/>
      <c r="U57" s="120"/>
      <c r="V57" s="116"/>
      <c r="W57" s="116"/>
      <c r="X57" s="116"/>
      <c r="Y57" s="120"/>
      <c r="Z57" s="120"/>
      <c r="AA57" s="116"/>
      <c r="AB57" s="118"/>
      <c r="AC57" s="117"/>
      <c r="AD57" s="118"/>
      <c r="AE57" s="118"/>
      <c r="AF57" s="118"/>
      <c r="AG57" s="118"/>
      <c r="AH57" s="116"/>
      <c r="AI57" s="116"/>
      <c r="AJ57" s="149"/>
      <c r="AK57" s="449"/>
      <c r="AL57" s="121"/>
      <c r="AM57" s="116"/>
      <c r="AN57" s="116"/>
      <c r="AO57" s="121"/>
      <c r="AP57" s="116"/>
      <c r="AQ57" s="116"/>
      <c r="AR57" s="121"/>
      <c r="AS57" s="149"/>
      <c r="AT57" s="176"/>
    </row>
    <row r="58" spans="1:48" ht="21.1">
      <c r="A58" s="89" t="s">
        <v>619</v>
      </c>
      <c r="B58" s="209"/>
      <c r="C58" s="214"/>
      <c r="D58" s="133"/>
      <c r="E58" s="134"/>
      <c r="F58" s="135"/>
      <c r="G58" s="136"/>
      <c r="H58" s="96"/>
      <c r="I58" s="96" t="s">
        <v>627</v>
      </c>
      <c r="J58" s="75"/>
      <c r="K58" s="75"/>
      <c r="L58" s="75"/>
      <c r="M58" s="75"/>
      <c r="N58" s="75"/>
      <c r="O58" s="96"/>
      <c r="P58" s="163"/>
      <c r="Q58" s="109"/>
      <c r="R58" s="111"/>
      <c r="S58" s="100"/>
      <c r="T58" s="110"/>
      <c r="U58" s="110"/>
      <c r="V58" s="100"/>
      <c r="W58" s="100"/>
      <c r="X58" s="100"/>
      <c r="Y58" s="110"/>
      <c r="Z58" s="110"/>
      <c r="AA58" s="100"/>
      <c r="AB58" s="109"/>
      <c r="AC58" s="108"/>
      <c r="AD58" s="109"/>
      <c r="AE58" s="109"/>
      <c r="AF58" s="109"/>
      <c r="AG58" s="109"/>
      <c r="AH58" s="100"/>
      <c r="AI58" s="100"/>
      <c r="AJ58" s="142"/>
      <c r="AK58" s="448"/>
      <c r="AL58" s="111"/>
      <c r="AM58" s="100"/>
      <c r="AN58" s="100"/>
      <c r="AO58" s="111"/>
      <c r="AP58" s="100"/>
      <c r="AQ58" s="100"/>
      <c r="AR58" s="111"/>
      <c r="AS58" s="142"/>
      <c r="AT58" s="150"/>
    </row>
    <row r="59" spans="1:48" ht="16.3">
      <c r="A59" s="611" t="s">
        <v>1</v>
      </c>
      <c r="B59" s="210">
        <f>SUM(J59+K59+L59+M59+N59+S59+V59+W59+X59+AA59+AI59+AJ59+AI59+AM59+AP59+AQ59+AS59+AT59+AU59+AV59+AN59)</f>
        <v>0</v>
      </c>
      <c r="C59" s="215">
        <f>B59</f>
        <v>0</v>
      </c>
      <c r="D59" s="133"/>
      <c r="E59" s="134"/>
      <c r="F59" s="135"/>
      <c r="G59" s="136"/>
      <c r="H59" s="96"/>
      <c r="I59" s="96">
        <v>1</v>
      </c>
      <c r="J59" s="75"/>
      <c r="K59" s="75"/>
      <c r="L59" s="75"/>
      <c r="M59" s="75"/>
      <c r="N59" s="75"/>
      <c r="O59" s="96"/>
      <c r="P59" s="163"/>
      <c r="Q59" s="109"/>
      <c r="R59" s="111"/>
      <c r="S59" s="100"/>
      <c r="T59" s="110"/>
      <c r="U59" s="110"/>
      <c r="V59" s="100"/>
      <c r="W59" s="100"/>
      <c r="X59" s="100"/>
      <c r="Y59" s="110"/>
      <c r="Z59" s="110"/>
      <c r="AA59" s="100"/>
      <c r="AB59" s="109"/>
      <c r="AC59" s="108"/>
      <c r="AD59" s="109"/>
      <c r="AE59" s="109"/>
      <c r="AF59" s="109"/>
      <c r="AG59" s="109"/>
      <c r="AH59" s="100"/>
      <c r="AI59" s="100"/>
      <c r="AJ59" s="142"/>
      <c r="AK59" s="448"/>
      <c r="AL59" s="111"/>
      <c r="AM59" s="100"/>
      <c r="AN59" s="100"/>
      <c r="AO59" s="111"/>
      <c r="AP59" s="100"/>
      <c r="AQ59" s="100"/>
      <c r="AR59" s="111"/>
      <c r="AS59" s="142"/>
      <c r="AT59" s="150"/>
    </row>
    <row r="60" spans="1:48" ht="16.3">
      <c r="A60" s="611" t="s">
        <v>2</v>
      </c>
      <c r="B60" s="210">
        <f>SUM(J60+K60+L60+M60+N60+S60+V60+W60+X60+AA60+AI60+AJ60+AI60+AM60+AP60+AQ60+AS60+AT60+AU60+AV60)</f>
        <v>0</v>
      </c>
      <c r="C60" s="215">
        <f t="shared" ref="C60:C63" si="8">B60</f>
        <v>0</v>
      </c>
      <c r="D60" s="133"/>
      <c r="E60" s="134"/>
      <c r="F60" s="135"/>
      <c r="G60" s="136"/>
      <c r="H60" s="96"/>
      <c r="I60" s="96"/>
      <c r="J60" s="75"/>
      <c r="K60" s="75"/>
      <c r="L60" s="75"/>
      <c r="M60" s="75"/>
      <c r="N60" s="75"/>
      <c r="O60" s="96"/>
      <c r="P60" s="163"/>
      <c r="Q60" s="109"/>
      <c r="R60" s="111"/>
      <c r="S60" s="100"/>
      <c r="T60" s="110"/>
      <c r="U60" s="110"/>
      <c r="V60" s="100"/>
      <c r="W60" s="100"/>
      <c r="X60" s="100"/>
      <c r="Y60" s="110"/>
      <c r="Z60" s="110"/>
      <c r="AA60" s="100"/>
      <c r="AB60" s="109"/>
      <c r="AC60" s="108"/>
      <c r="AD60" s="109"/>
      <c r="AE60" s="109"/>
      <c r="AF60" s="109"/>
      <c r="AG60" s="109"/>
      <c r="AH60" s="100"/>
      <c r="AI60" s="100"/>
      <c r="AJ60" s="142"/>
      <c r="AK60" s="448"/>
      <c r="AL60" s="111"/>
      <c r="AM60" s="100"/>
      <c r="AN60" s="100"/>
      <c r="AO60" s="111"/>
      <c r="AP60" s="100"/>
      <c r="AQ60" s="100"/>
      <c r="AR60" s="111"/>
      <c r="AS60" s="142"/>
      <c r="AT60" s="150"/>
    </row>
    <row r="61" spans="1:48" ht="16.3">
      <c r="A61" s="91" t="s">
        <v>363</v>
      </c>
      <c r="B61" s="209">
        <f>SUM(B59+B60)</f>
        <v>0</v>
      </c>
      <c r="C61" s="214">
        <f t="shared" si="8"/>
        <v>0</v>
      </c>
      <c r="D61" s="133"/>
      <c r="E61" s="134"/>
      <c r="F61" s="135"/>
      <c r="G61" s="136"/>
      <c r="H61" s="96"/>
      <c r="I61" s="96"/>
      <c r="J61" s="75"/>
      <c r="K61" s="75"/>
      <c r="L61" s="75"/>
      <c r="M61" s="75"/>
      <c r="N61" s="75"/>
      <c r="O61" s="96"/>
      <c r="P61" s="163"/>
      <c r="Q61" s="109"/>
      <c r="R61" s="111"/>
      <c r="S61" s="100"/>
      <c r="T61" s="110"/>
      <c r="U61" s="110"/>
      <c r="V61" s="100"/>
      <c r="W61" s="100"/>
      <c r="X61" s="100"/>
      <c r="Y61" s="110"/>
      <c r="Z61" s="110"/>
      <c r="AA61" s="100"/>
      <c r="AB61" s="109"/>
      <c r="AC61" s="108"/>
      <c r="AD61" s="109"/>
      <c r="AE61" s="109"/>
      <c r="AF61" s="109"/>
      <c r="AG61" s="109"/>
      <c r="AH61" s="100"/>
      <c r="AI61" s="100"/>
      <c r="AJ61" s="142"/>
      <c r="AK61" s="448"/>
      <c r="AL61" s="111"/>
      <c r="AM61" s="100"/>
      <c r="AN61" s="100"/>
      <c r="AO61" s="111"/>
      <c r="AP61" s="100"/>
      <c r="AQ61" s="100"/>
      <c r="AR61" s="111"/>
      <c r="AS61" s="142"/>
      <c r="AT61" s="150"/>
    </row>
    <row r="62" spans="1:48" ht="16.3">
      <c r="A62" s="91" t="s">
        <v>3</v>
      </c>
      <c r="B62" s="209">
        <f>SUM(J62+K62+L62+M62+N62+S62+V62+W62+X62+AA62+AI62+AJ62+AI62+AM62+AP62+AQ62+AS62+AT62+AU62+AV62)</f>
        <v>0</v>
      </c>
      <c r="C62" s="214">
        <f t="shared" si="8"/>
        <v>0</v>
      </c>
      <c r="D62" s="133"/>
      <c r="E62" s="134"/>
      <c r="F62" s="135"/>
      <c r="G62" s="136"/>
      <c r="H62" s="96"/>
      <c r="I62" s="96">
        <v>1</v>
      </c>
      <c r="J62" s="75"/>
      <c r="K62" s="75"/>
      <c r="L62" s="75"/>
      <c r="M62" s="75"/>
      <c r="N62" s="75"/>
      <c r="O62" s="96"/>
      <c r="P62" s="163"/>
      <c r="Q62" s="109"/>
      <c r="R62" s="111"/>
      <c r="S62" s="100"/>
      <c r="T62" s="110"/>
      <c r="U62" s="110"/>
      <c r="V62" s="100"/>
      <c r="W62" s="100"/>
      <c r="X62" s="100"/>
      <c r="Y62" s="110"/>
      <c r="Z62" s="110"/>
      <c r="AA62" s="100"/>
      <c r="AB62" s="109"/>
      <c r="AC62" s="108"/>
      <c r="AD62" s="109"/>
      <c r="AE62" s="109"/>
      <c r="AF62" s="109"/>
      <c r="AG62" s="109"/>
      <c r="AH62" s="100"/>
      <c r="AI62" s="100"/>
      <c r="AJ62" s="142"/>
      <c r="AK62" s="448"/>
      <c r="AL62" s="111"/>
      <c r="AM62" s="100"/>
      <c r="AN62" s="100"/>
      <c r="AO62" s="111"/>
      <c r="AP62" s="100"/>
      <c r="AQ62" s="100"/>
      <c r="AR62" s="111"/>
      <c r="AS62" s="142"/>
      <c r="AT62" s="150"/>
    </row>
    <row r="63" spans="1:48" ht="17" thickBot="1">
      <c r="A63" s="92" t="s">
        <v>4</v>
      </c>
      <c r="B63" s="212">
        <f>SUM(J63+K63+L63+M63+N63+S63+V63+W63+X63+AA63+AI63+AJ63+AI63+AM63+AP63+AQ63+AS63+AT63+AU63+AV63)</f>
        <v>0</v>
      </c>
      <c r="C63" s="217">
        <f t="shared" si="8"/>
        <v>0</v>
      </c>
      <c r="D63" s="144"/>
      <c r="E63" s="145"/>
      <c r="F63" s="146"/>
      <c r="G63" s="147"/>
      <c r="H63" s="114"/>
      <c r="I63" s="114">
        <v>5</v>
      </c>
      <c r="J63" s="112"/>
      <c r="K63" s="112"/>
      <c r="L63" s="112"/>
      <c r="M63" s="112"/>
      <c r="N63" s="112"/>
      <c r="O63" s="114"/>
      <c r="P63" s="164"/>
      <c r="Q63" s="118"/>
      <c r="R63" s="121"/>
      <c r="S63" s="116"/>
      <c r="T63" s="120"/>
      <c r="U63" s="119"/>
      <c r="V63" s="100"/>
      <c r="W63" s="100"/>
      <c r="X63" s="100"/>
      <c r="Y63" s="110"/>
      <c r="Z63" s="110"/>
      <c r="AA63" s="100"/>
      <c r="AB63" s="109"/>
      <c r="AC63" s="108"/>
      <c r="AD63" s="114"/>
      <c r="AE63" s="109"/>
      <c r="AF63" s="109"/>
      <c r="AG63" s="109"/>
      <c r="AH63" s="100"/>
      <c r="AI63" s="100"/>
      <c r="AJ63" s="142"/>
      <c r="AK63" s="448"/>
      <c r="AL63" s="111"/>
      <c r="AM63" s="100"/>
      <c r="AN63" s="100"/>
      <c r="AO63" s="111"/>
      <c r="AP63" s="100"/>
      <c r="AQ63" s="100"/>
      <c r="AR63" s="111"/>
      <c r="AS63" s="142"/>
      <c r="AT63" s="150"/>
    </row>
    <row r="64" spans="1:48" ht="21.1">
      <c r="A64" s="89" t="s">
        <v>620</v>
      </c>
      <c r="B64" s="209"/>
      <c r="C64" s="214"/>
      <c r="D64" s="133"/>
      <c r="E64" s="134"/>
      <c r="F64" s="135"/>
      <c r="G64" s="136"/>
      <c r="H64" s="96"/>
      <c r="I64" s="96" t="s">
        <v>626</v>
      </c>
      <c r="J64" s="75"/>
      <c r="K64" s="75"/>
      <c r="L64" s="75"/>
      <c r="M64" s="75"/>
      <c r="N64" s="75" t="s">
        <v>375</v>
      </c>
      <c r="O64" s="96">
        <v>13</v>
      </c>
      <c r="P64" s="163"/>
      <c r="Q64" s="109">
        <v>13</v>
      </c>
      <c r="R64" s="111"/>
      <c r="S64" s="100"/>
      <c r="T64" s="110"/>
      <c r="U64" s="110">
        <v>13</v>
      </c>
      <c r="V64" s="102" t="s">
        <v>375</v>
      </c>
      <c r="W64" s="102" t="s">
        <v>375</v>
      </c>
      <c r="X64" s="102" t="s">
        <v>377</v>
      </c>
      <c r="Y64" s="101"/>
      <c r="Z64" s="101" t="s">
        <v>984</v>
      </c>
      <c r="AA64" s="102" t="s">
        <v>984</v>
      </c>
      <c r="AB64" s="99" t="s">
        <v>984</v>
      </c>
      <c r="AC64" s="98"/>
      <c r="AD64" s="109" t="s">
        <v>984</v>
      </c>
      <c r="AE64" s="99"/>
      <c r="AF64" s="99"/>
      <c r="AG64" s="99"/>
      <c r="AH64" s="102"/>
      <c r="AI64" s="102"/>
      <c r="AJ64" s="138"/>
      <c r="AK64" s="446"/>
      <c r="AL64" s="103"/>
      <c r="AM64" s="102"/>
      <c r="AN64" s="102"/>
      <c r="AO64" s="103"/>
      <c r="AP64" s="102"/>
      <c r="AQ64" s="102"/>
      <c r="AR64" s="103"/>
      <c r="AS64" s="138"/>
      <c r="AT64" s="478"/>
      <c r="AU64" s="15"/>
      <c r="AV64" s="15"/>
    </row>
    <row r="65" spans="1:48" ht="16.3">
      <c r="A65" s="611" t="s">
        <v>1</v>
      </c>
      <c r="B65" s="210">
        <f>SUM(J65+K65+L65+M65+N65+S65+V65+W65+X65+AA65+AI65+AJ65+AI65+AM65+AP65+AQ65+AS65+AT65+AU65+AV65+AN65)</f>
        <v>1</v>
      </c>
      <c r="C65" s="215">
        <f>B65</f>
        <v>1</v>
      </c>
      <c r="D65" s="133"/>
      <c r="E65" s="134"/>
      <c r="F65" s="135"/>
      <c r="G65" s="136"/>
      <c r="H65" s="96"/>
      <c r="I65" s="96">
        <v>1</v>
      </c>
      <c r="J65" s="75"/>
      <c r="K65" s="75"/>
      <c r="L65" s="75"/>
      <c r="M65" s="75"/>
      <c r="N65" s="75"/>
      <c r="O65" s="96">
        <v>1</v>
      </c>
      <c r="P65" s="163"/>
      <c r="Q65" s="109">
        <v>1</v>
      </c>
      <c r="R65" s="111"/>
      <c r="S65" s="100"/>
      <c r="T65" s="110"/>
      <c r="U65" s="110">
        <v>1</v>
      </c>
      <c r="V65" s="100"/>
      <c r="W65" s="100"/>
      <c r="X65" s="100">
        <v>1</v>
      </c>
      <c r="Y65" s="110"/>
      <c r="Z65" s="110"/>
      <c r="AA65" s="100"/>
      <c r="AB65" s="109"/>
      <c r="AC65" s="108"/>
      <c r="AD65" s="109"/>
      <c r="AE65" s="109"/>
      <c r="AF65" s="109"/>
      <c r="AG65" s="109"/>
      <c r="AH65" s="100"/>
      <c r="AI65" s="100"/>
      <c r="AJ65" s="142"/>
      <c r="AK65" s="448"/>
      <c r="AL65" s="111"/>
      <c r="AM65" s="100"/>
      <c r="AN65" s="100"/>
      <c r="AO65" s="111"/>
      <c r="AP65" s="100"/>
      <c r="AQ65" s="100"/>
      <c r="AR65" s="111"/>
      <c r="AS65" s="142"/>
      <c r="AT65" s="150"/>
      <c r="AU65" s="15"/>
      <c r="AV65" s="15"/>
    </row>
    <row r="66" spans="1:48" ht="16.3">
      <c r="A66" s="611" t="s">
        <v>2</v>
      </c>
      <c r="B66" s="210">
        <f>SUM(J66+K66+L66+M66+N66+S66+V66+W66+X66+AA66+AI66+AJ66+AI66+AM66+AP66+AQ66+AS66+AT66+AU66+AV66)</f>
        <v>3</v>
      </c>
      <c r="C66" s="215">
        <f t="shared" ref="C66:C69" si="9">B66</f>
        <v>3</v>
      </c>
      <c r="D66" s="133"/>
      <c r="E66" s="134"/>
      <c r="F66" s="135"/>
      <c r="G66" s="136"/>
      <c r="H66" s="96"/>
      <c r="I66" s="96"/>
      <c r="J66" s="75"/>
      <c r="K66" s="75"/>
      <c r="L66" s="75"/>
      <c r="M66" s="75"/>
      <c r="N66" s="75">
        <v>1</v>
      </c>
      <c r="O66" s="96"/>
      <c r="P66" s="163"/>
      <c r="Q66" s="109"/>
      <c r="R66" s="111"/>
      <c r="S66" s="100"/>
      <c r="T66" s="110"/>
      <c r="U66" s="110"/>
      <c r="V66" s="100">
        <v>1</v>
      </c>
      <c r="W66" s="100">
        <v>1</v>
      </c>
      <c r="X66" s="100"/>
      <c r="Y66" s="110"/>
      <c r="Z66" s="110"/>
      <c r="AA66" s="100"/>
      <c r="AB66" s="109"/>
      <c r="AC66" s="108"/>
      <c r="AD66" s="109"/>
      <c r="AE66" s="109"/>
      <c r="AF66" s="109"/>
      <c r="AG66" s="109"/>
      <c r="AH66" s="100"/>
      <c r="AI66" s="100"/>
      <c r="AJ66" s="142"/>
      <c r="AK66" s="448"/>
      <c r="AL66" s="111"/>
      <c r="AM66" s="100"/>
      <c r="AN66" s="100"/>
      <c r="AO66" s="111"/>
      <c r="AP66" s="100"/>
      <c r="AQ66" s="100"/>
      <c r="AR66" s="111"/>
      <c r="AS66" s="142"/>
      <c r="AT66" s="150"/>
      <c r="AU66" s="15"/>
      <c r="AV66" s="15"/>
    </row>
    <row r="67" spans="1:48" ht="16.3">
      <c r="A67" s="91" t="s">
        <v>363</v>
      </c>
      <c r="B67" s="209">
        <f>SUM(B65+B66)</f>
        <v>4</v>
      </c>
      <c r="C67" s="214">
        <f t="shared" si="9"/>
        <v>4</v>
      </c>
      <c r="D67" s="133"/>
      <c r="E67" s="134"/>
      <c r="F67" s="135"/>
      <c r="G67" s="136"/>
      <c r="H67" s="96"/>
      <c r="I67" s="96"/>
      <c r="J67" s="75"/>
      <c r="K67" s="75"/>
      <c r="L67" s="75"/>
      <c r="M67" s="75"/>
      <c r="N67" s="75"/>
      <c r="O67" s="96"/>
      <c r="P67" s="163"/>
      <c r="Q67" s="109"/>
      <c r="R67" s="111"/>
      <c r="S67" s="100"/>
      <c r="T67" s="110"/>
      <c r="U67" s="110"/>
      <c r="V67" s="100"/>
      <c r="W67" s="100"/>
      <c r="X67" s="100"/>
      <c r="Y67" s="110"/>
      <c r="Z67" s="110"/>
      <c r="AA67" s="100"/>
      <c r="AB67" s="109"/>
      <c r="AC67" s="108"/>
      <c r="AD67" s="109"/>
      <c r="AE67" s="109"/>
      <c r="AF67" s="109"/>
      <c r="AG67" s="109"/>
      <c r="AH67" s="100"/>
      <c r="AI67" s="100"/>
      <c r="AJ67" s="142"/>
      <c r="AK67" s="448"/>
      <c r="AL67" s="111"/>
      <c r="AM67" s="100"/>
      <c r="AN67" s="100"/>
      <c r="AO67" s="111"/>
      <c r="AP67" s="100"/>
      <c r="AQ67" s="100"/>
      <c r="AR67" s="111"/>
      <c r="AS67" s="142"/>
      <c r="AT67" s="150"/>
      <c r="AU67" s="15"/>
      <c r="AV67" s="15"/>
    </row>
    <row r="68" spans="1:48" ht="16.3">
      <c r="A68" s="91" t="s">
        <v>3</v>
      </c>
      <c r="B68" s="209">
        <f>SUM(J68+K68+L68+M68+N68+S68+V68+W68+X68+AA68+AI68+AJ68+AI68+AM68+AP68+AQ68+AS68+AT68+AU68+AV68)</f>
        <v>1</v>
      </c>
      <c r="C68" s="214">
        <f t="shared" si="9"/>
        <v>1</v>
      </c>
      <c r="D68" s="133"/>
      <c r="E68" s="134"/>
      <c r="F68" s="135"/>
      <c r="G68" s="136"/>
      <c r="H68" s="96"/>
      <c r="I68" s="96">
        <v>1</v>
      </c>
      <c r="J68" s="75"/>
      <c r="K68" s="75"/>
      <c r="L68" s="75"/>
      <c r="M68" s="75"/>
      <c r="N68" s="75"/>
      <c r="O68" s="96"/>
      <c r="P68" s="163"/>
      <c r="Q68" s="109">
        <v>1</v>
      </c>
      <c r="R68" s="111"/>
      <c r="S68" s="100"/>
      <c r="T68" s="110"/>
      <c r="U68" s="110"/>
      <c r="V68" s="100"/>
      <c r="W68" s="100">
        <v>1</v>
      </c>
      <c r="X68" s="100"/>
      <c r="Y68" s="110"/>
      <c r="Z68" s="110"/>
      <c r="AA68" s="100"/>
      <c r="AB68" s="109"/>
      <c r="AC68" s="108"/>
      <c r="AD68" s="109"/>
      <c r="AE68" s="109"/>
      <c r="AF68" s="109"/>
      <c r="AG68" s="109"/>
      <c r="AH68" s="100"/>
      <c r="AI68" s="100"/>
      <c r="AJ68" s="142"/>
      <c r="AK68" s="448"/>
      <c r="AL68" s="111"/>
      <c r="AM68" s="100"/>
      <c r="AN68" s="100"/>
      <c r="AO68" s="111"/>
      <c r="AP68" s="100"/>
      <c r="AQ68" s="100"/>
      <c r="AR68" s="111"/>
      <c r="AS68" s="142"/>
      <c r="AT68" s="150"/>
      <c r="AU68" s="15"/>
      <c r="AV68" s="15"/>
    </row>
    <row r="69" spans="1:48" ht="17" thickBot="1">
      <c r="A69" s="92" t="s">
        <v>4</v>
      </c>
      <c r="B69" s="212">
        <f>SUM(J69+K69+L69+M69+N69+S69+V69+W69+X69+AA69+AI69+AJ69+AI69+AM69+AP69+AQ69+AS69+AT69+AU69+AV69)</f>
        <v>5</v>
      </c>
      <c r="C69" s="217">
        <f t="shared" si="9"/>
        <v>5</v>
      </c>
      <c r="D69" s="144"/>
      <c r="E69" s="145"/>
      <c r="F69" s="146"/>
      <c r="G69" s="147"/>
      <c r="H69" s="114"/>
      <c r="I69" s="114">
        <v>5</v>
      </c>
      <c r="J69" s="112"/>
      <c r="K69" s="112"/>
      <c r="L69" s="112"/>
      <c r="M69" s="112"/>
      <c r="N69" s="112"/>
      <c r="O69" s="114"/>
      <c r="P69" s="164"/>
      <c r="Q69" s="118">
        <v>5</v>
      </c>
      <c r="R69" s="130"/>
      <c r="S69" s="116"/>
      <c r="T69" s="120"/>
      <c r="U69" s="120"/>
      <c r="V69" s="116"/>
      <c r="W69" s="116">
        <v>5</v>
      </c>
      <c r="X69" s="116"/>
      <c r="Y69" s="120"/>
      <c r="Z69" s="120"/>
      <c r="AA69" s="116"/>
      <c r="AB69" s="118"/>
      <c r="AC69" s="117"/>
      <c r="AD69" s="118"/>
      <c r="AE69" s="118"/>
      <c r="AF69" s="118"/>
      <c r="AG69" s="118"/>
      <c r="AH69" s="116"/>
      <c r="AI69" s="116"/>
      <c r="AJ69" s="149"/>
      <c r="AK69" s="449"/>
      <c r="AL69" s="121"/>
      <c r="AM69" s="116"/>
      <c r="AN69" s="116"/>
      <c r="AO69" s="121"/>
      <c r="AP69" s="116"/>
      <c r="AQ69" s="116"/>
      <c r="AR69" s="121"/>
      <c r="AS69" s="149"/>
      <c r="AT69" s="176"/>
      <c r="AU69" s="15"/>
      <c r="AV69" s="15"/>
    </row>
    <row r="70" spans="1:48" ht="21.1">
      <c r="A70" s="89" t="s">
        <v>468</v>
      </c>
      <c r="B70" s="209"/>
      <c r="C70" s="214"/>
      <c r="D70" s="133"/>
      <c r="E70" s="134"/>
      <c r="F70" s="135"/>
      <c r="G70" s="136"/>
      <c r="H70" s="96"/>
      <c r="I70" s="96" t="s">
        <v>367</v>
      </c>
      <c r="J70" s="75"/>
      <c r="K70" s="75"/>
      <c r="L70" s="75"/>
      <c r="M70" s="75"/>
      <c r="N70" s="75">
        <v>11</v>
      </c>
      <c r="O70" s="96">
        <v>11</v>
      </c>
      <c r="P70" s="163"/>
      <c r="Q70" s="109" t="s">
        <v>367</v>
      </c>
      <c r="R70" s="111"/>
      <c r="S70" s="100" t="s">
        <v>375</v>
      </c>
      <c r="T70" s="110"/>
      <c r="U70" s="110" t="s">
        <v>375</v>
      </c>
      <c r="V70" s="100"/>
      <c r="W70" s="100"/>
      <c r="X70" s="100">
        <v>14</v>
      </c>
      <c r="Y70" s="110">
        <v>14</v>
      </c>
      <c r="Z70" s="110" t="s">
        <v>367</v>
      </c>
      <c r="AA70" s="100" t="s">
        <v>375</v>
      </c>
      <c r="AB70" s="109"/>
      <c r="AC70" s="108"/>
      <c r="AD70" s="109"/>
      <c r="AE70" s="109"/>
      <c r="AF70" s="109"/>
      <c r="AG70" s="109"/>
      <c r="AH70" s="100"/>
      <c r="AI70" s="100"/>
      <c r="AJ70" s="142"/>
      <c r="AK70" s="448"/>
      <c r="AL70" s="111"/>
      <c r="AM70" s="100"/>
      <c r="AN70" s="100"/>
      <c r="AO70" s="111"/>
      <c r="AP70" s="100"/>
      <c r="AQ70" s="100"/>
      <c r="AR70" s="111"/>
      <c r="AS70" s="142"/>
      <c r="AT70" s="150"/>
    </row>
    <row r="71" spans="1:48" ht="16.3">
      <c r="A71" s="611" t="s">
        <v>1</v>
      </c>
      <c r="B71" s="210">
        <f>SUM(J71+K71+L71+M71+N71+S71+V71+W71+X71+AA71+AI71+AJ71+AI71+AM71+AP71+AQ71+AS71+AT71+AU71+AV71+AN71)+2</f>
        <v>4</v>
      </c>
      <c r="C71" s="215">
        <f>B71</f>
        <v>4</v>
      </c>
      <c r="D71" s="133"/>
      <c r="E71" s="134"/>
      <c r="F71" s="135"/>
      <c r="G71" s="136"/>
      <c r="H71" s="96"/>
      <c r="I71" s="96">
        <v>1</v>
      </c>
      <c r="J71" s="75"/>
      <c r="K71" s="75"/>
      <c r="L71" s="75"/>
      <c r="M71" s="75"/>
      <c r="N71" s="75">
        <v>1</v>
      </c>
      <c r="O71" s="96">
        <v>1</v>
      </c>
      <c r="P71" s="163"/>
      <c r="Q71" s="109">
        <v>1</v>
      </c>
      <c r="R71" s="111"/>
      <c r="S71" s="100"/>
      <c r="T71" s="110"/>
      <c r="U71" s="110"/>
      <c r="V71" s="100"/>
      <c r="W71" s="100"/>
      <c r="X71" s="100">
        <v>1</v>
      </c>
      <c r="Y71" s="110">
        <v>1</v>
      </c>
      <c r="Z71" s="110">
        <v>1</v>
      </c>
      <c r="AA71" s="100"/>
      <c r="AB71" s="109"/>
      <c r="AC71" s="108"/>
      <c r="AD71" s="109"/>
      <c r="AE71" s="109"/>
      <c r="AF71" s="109"/>
      <c r="AG71" s="109"/>
      <c r="AH71" s="100"/>
      <c r="AI71" s="100"/>
      <c r="AJ71" s="142"/>
      <c r="AK71" s="448"/>
      <c r="AL71" s="111"/>
      <c r="AM71" s="100"/>
      <c r="AN71" s="100"/>
      <c r="AO71" s="111"/>
      <c r="AP71" s="100"/>
      <c r="AQ71" s="100"/>
      <c r="AR71" s="111"/>
      <c r="AS71" s="142"/>
      <c r="AT71" s="150"/>
    </row>
    <row r="72" spans="1:48" ht="16.3">
      <c r="A72" s="611" t="s">
        <v>2</v>
      </c>
      <c r="B72" s="210">
        <f>SUM(J72+K72+L72+M72+N72+S72+V72+W72+X72+AA72+AI72+AJ72+AI72+AM72+AP72+AQ72+AS72+AT72+AU72+AV72)+3</f>
        <v>5</v>
      </c>
      <c r="C72" s="215">
        <f t="shared" ref="C72:C76" si="10">B72</f>
        <v>5</v>
      </c>
      <c r="D72" s="133"/>
      <c r="E72" s="134"/>
      <c r="F72" s="135"/>
      <c r="G72" s="136"/>
      <c r="H72" s="96"/>
      <c r="I72" s="96"/>
      <c r="J72" s="75"/>
      <c r="K72" s="75"/>
      <c r="L72" s="75"/>
      <c r="M72" s="75"/>
      <c r="N72" s="75"/>
      <c r="O72" s="96"/>
      <c r="P72" s="163"/>
      <c r="Q72" s="109"/>
      <c r="R72" s="111"/>
      <c r="S72" s="100">
        <v>1</v>
      </c>
      <c r="T72" s="110"/>
      <c r="U72" s="110">
        <v>1</v>
      </c>
      <c r="V72" s="100"/>
      <c r="W72" s="100"/>
      <c r="X72" s="100"/>
      <c r="Y72" s="110"/>
      <c r="Z72" s="110"/>
      <c r="AA72" s="100">
        <v>1</v>
      </c>
      <c r="AB72" s="109"/>
      <c r="AC72" s="108"/>
      <c r="AD72" s="109"/>
      <c r="AE72" s="109"/>
      <c r="AF72" s="109"/>
      <c r="AG72" s="109"/>
      <c r="AH72" s="100"/>
      <c r="AI72" s="100"/>
      <c r="AJ72" s="142"/>
      <c r="AK72" s="448"/>
      <c r="AL72" s="111"/>
      <c r="AM72" s="100"/>
      <c r="AN72" s="100"/>
      <c r="AO72" s="111"/>
      <c r="AP72" s="100"/>
      <c r="AQ72" s="100"/>
      <c r="AR72" s="111"/>
      <c r="AS72" s="142"/>
      <c r="AT72" s="150"/>
    </row>
    <row r="73" spans="1:48" ht="16.3">
      <c r="A73" s="91" t="s">
        <v>363</v>
      </c>
      <c r="B73" s="209">
        <f>SUM(B71+B72)</f>
        <v>9</v>
      </c>
      <c r="C73" s="214">
        <f t="shared" si="10"/>
        <v>9</v>
      </c>
      <c r="D73" s="133"/>
      <c r="E73" s="134"/>
      <c r="F73" s="135"/>
      <c r="G73" s="136"/>
      <c r="H73" s="96"/>
      <c r="I73" s="96"/>
      <c r="J73" s="75"/>
      <c r="K73" s="75"/>
      <c r="L73" s="75"/>
      <c r="M73" s="75"/>
      <c r="N73" s="75"/>
      <c r="O73" s="96"/>
      <c r="P73" s="163"/>
      <c r="Q73" s="109"/>
      <c r="R73" s="111"/>
      <c r="S73" s="100"/>
      <c r="T73" s="110"/>
      <c r="U73" s="110"/>
      <c r="V73" s="100"/>
      <c r="W73" s="100"/>
      <c r="X73" s="100"/>
      <c r="Y73" s="110"/>
      <c r="Z73" s="110"/>
      <c r="AA73" s="100"/>
      <c r="AB73" s="109"/>
      <c r="AC73" s="108"/>
      <c r="AD73" s="109"/>
      <c r="AE73" s="109"/>
      <c r="AF73" s="109"/>
      <c r="AG73" s="109"/>
      <c r="AH73" s="100"/>
      <c r="AI73" s="100"/>
      <c r="AJ73" s="142"/>
      <c r="AK73" s="448"/>
      <c r="AL73" s="111"/>
      <c r="AM73" s="100"/>
      <c r="AN73" s="100"/>
      <c r="AO73" s="111"/>
      <c r="AP73" s="100"/>
      <c r="AQ73" s="100"/>
      <c r="AR73" s="111"/>
      <c r="AS73" s="142"/>
      <c r="AT73" s="150"/>
    </row>
    <row r="74" spans="1:48" ht="16.3">
      <c r="A74" s="585" t="s">
        <v>746</v>
      </c>
      <c r="B74" s="210">
        <f>SUM(J74+K74+L74+M74+N74+S74+V74+W74+X74+AA74+AI74+AJ74+AI74+AM74+AP74+AQ74+AS74+AT74+AU74+AV74)+1</f>
        <v>1</v>
      </c>
      <c r="C74" s="215">
        <f t="shared" ref="C74" si="11">B74</f>
        <v>1</v>
      </c>
      <c r="D74" s="133"/>
      <c r="E74" s="134"/>
      <c r="F74" s="135"/>
      <c r="G74" s="136"/>
      <c r="H74" s="96"/>
      <c r="I74" s="96"/>
      <c r="J74" s="75"/>
      <c r="K74" s="75"/>
      <c r="L74" s="75"/>
      <c r="M74" s="75"/>
      <c r="N74" s="75"/>
      <c r="O74" s="96"/>
      <c r="P74" s="163"/>
      <c r="Q74" s="109"/>
      <c r="R74" s="111"/>
      <c r="S74" s="100"/>
      <c r="T74" s="110"/>
      <c r="U74" s="110"/>
      <c r="V74" s="100"/>
      <c r="W74" s="100"/>
      <c r="X74" s="100"/>
      <c r="Y74" s="110"/>
      <c r="Z74" s="110"/>
      <c r="AA74" s="100"/>
      <c r="AB74" s="109"/>
      <c r="AC74" s="108"/>
      <c r="AD74" s="109"/>
      <c r="AE74" s="109"/>
      <c r="AF74" s="109"/>
      <c r="AG74" s="109"/>
      <c r="AH74" s="100"/>
      <c r="AI74" s="100"/>
      <c r="AJ74" s="142"/>
      <c r="AK74" s="448"/>
      <c r="AL74" s="111"/>
      <c r="AM74" s="100"/>
      <c r="AN74" s="100"/>
      <c r="AO74" s="111"/>
      <c r="AP74" s="100"/>
      <c r="AQ74" s="100"/>
      <c r="AR74" s="111"/>
      <c r="AS74" s="142"/>
      <c r="AT74" s="150"/>
    </row>
    <row r="75" spans="1:48" ht="16.3">
      <c r="A75" s="91" t="s">
        <v>3</v>
      </c>
      <c r="B75" s="209">
        <f>SUM(J75+K75+L75+M75+N75+S75+V75+W75+X75+AA75+AI75+AJ75+AI75+AM75+AP75+AQ75+AS75+AT75+AU75+AV75)+5</f>
        <v>5</v>
      </c>
      <c r="C75" s="214">
        <f t="shared" si="10"/>
        <v>5</v>
      </c>
      <c r="D75" s="133"/>
      <c r="E75" s="134"/>
      <c r="F75" s="135"/>
      <c r="G75" s="136"/>
      <c r="H75" s="96"/>
      <c r="I75" s="96"/>
      <c r="J75" s="75"/>
      <c r="K75" s="75"/>
      <c r="L75" s="75"/>
      <c r="M75" s="75"/>
      <c r="N75" s="75"/>
      <c r="O75" s="96">
        <v>1</v>
      </c>
      <c r="P75" s="163"/>
      <c r="Q75" s="109"/>
      <c r="R75" s="111"/>
      <c r="S75" s="100"/>
      <c r="T75" s="110"/>
      <c r="U75" s="110"/>
      <c r="V75" s="100"/>
      <c r="W75" s="100"/>
      <c r="X75" s="100"/>
      <c r="Y75" s="110"/>
      <c r="Z75" s="110"/>
      <c r="AA75" s="100"/>
      <c r="AB75" s="109"/>
      <c r="AC75" s="108"/>
      <c r="AD75" s="109"/>
      <c r="AE75" s="109"/>
      <c r="AF75" s="109"/>
      <c r="AG75" s="109"/>
      <c r="AH75" s="100"/>
      <c r="AI75" s="100"/>
      <c r="AJ75" s="142"/>
      <c r="AK75" s="448"/>
      <c r="AL75" s="111"/>
      <c r="AM75" s="100"/>
      <c r="AN75" s="100"/>
      <c r="AO75" s="111"/>
      <c r="AP75" s="100"/>
      <c r="AQ75" s="100"/>
      <c r="AR75" s="422"/>
      <c r="AS75" s="142"/>
      <c r="AT75" s="150"/>
    </row>
    <row r="76" spans="1:48" ht="17" thickBot="1">
      <c r="A76" s="92" t="s">
        <v>4</v>
      </c>
      <c r="B76" s="212">
        <f>SUM(J76+K76+L76+M76+N76+S76+V76+W76+X76+AA76+AI76+AJ76+AI76+AM76+AP76+AQ76+AS76+AT76+AU76+AV76)+25</f>
        <v>25</v>
      </c>
      <c r="C76" s="217">
        <f t="shared" si="10"/>
        <v>25</v>
      </c>
      <c r="D76" s="144"/>
      <c r="E76" s="145"/>
      <c r="F76" s="146"/>
      <c r="G76" s="147"/>
      <c r="H76" s="114"/>
      <c r="I76" s="114"/>
      <c r="J76" s="112"/>
      <c r="K76" s="112"/>
      <c r="L76" s="112"/>
      <c r="M76" s="112"/>
      <c r="N76" s="112"/>
      <c r="O76" s="114">
        <v>5</v>
      </c>
      <c r="P76" s="164"/>
      <c r="Q76" s="118"/>
      <c r="R76" s="121"/>
      <c r="S76" s="112"/>
      <c r="T76" s="110"/>
      <c r="U76" s="110"/>
      <c r="V76" s="100"/>
      <c r="W76" s="100"/>
      <c r="X76" s="100"/>
      <c r="Y76" s="110"/>
      <c r="Z76" s="110"/>
      <c r="AA76" s="100"/>
      <c r="AB76" s="109"/>
      <c r="AC76" s="108"/>
      <c r="AD76" s="109"/>
      <c r="AE76" s="109"/>
      <c r="AF76" s="109"/>
      <c r="AG76" s="109"/>
      <c r="AH76" s="100"/>
      <c r="AI76" s="100"/>
      <c r="AJ76" s="142"/>
      <c r="AK76" s="448"/>
      <c r="AL76" s="111"/>
      <c r="AM76" s="100"/>
      <c r="AN76" s="100"/>
      <c r="AO76" s="111"/>
      <c r="AP76" s="100"/>
      <c r="AQ76" s="100"/>
      <c r="AR76" s="111"/>
      <c r="AS76" s="142"/>
      <c r="AT76" s="150"/>
    </row>
    <row r="77" spans="1:48" ht="21.1">
      <c r="A77" s="89" t="s">
        <v>582</v>
      </c>
      <c r="B77" s="209"/>
      <c r="C77" s="214"/>
      <c r="D77" s="133"/>
      <c r="E77" s="134"/>
      <c r="F77" s="135"/>
      <c r="G77" s="136"/>
      <c r="H77" s="96">
        <v>14</v>
      </c>
      <c r="I77" s="96"/>
      <c r="J77" s="75" t="s">
        <v>375</v>
      </c>
      <c r="K77" s="75">
        <v>13</v>
      </c>
      <c r="L77" s="75">
        <v>13</v>
      </c>
      <c r="M77" s="75">
        <v>13</v>
      </c>
      <c r="N77" s="75" t="s">
        <v>377</v>
      </c>
      <c r="O77" s="96"/>
      <c r="P77" s="163"/>
      <c r="Q77" s="109"/>
      <c r="R77" s="111"/>
      <c r="S77" s="100">
        <v>13</v>
      </c>
      <c r="T77" s="101" t="s">
        <v>383</v>
      </c>
      <c r="U77" s="101" t="s">
        <v>339</v>
      </c>
      <c r="V77" s="102" t="s">
        <v>339</v>
      </c>
      <c r="W77" s="102" t="s">
        <v>339</v>
      </c>
      <c r="X77" s="102" t="s">
        <v>339</v>
      </c>
      <c r="Y77" s="101" t="s">
        <v>339</v>
      </c>
      <c r="Z77" s="101" t="s">
        <v>339</v>
      </c>
      <c r="AA77" s="102" t="s">
        <v>339</v>
      </c>
      <c r="AB77" s="99" t="s">
        <v>339</v>
      </c>
      <c r="AC77" s="98"/>
      <c r="AD77" s="99" t="s">
        <v>339</v>
      </c>
      <c r="AE77" s="99" t="s">
        <v>339</v>
      </c>
      <c r="AF77" s="99">
        <v>14</v>
      </c>
      <c r="AG77" s="99"/>
      <c r="AH77" s="102"/>
      <c r="AI77" s="102"/>
      <c r="AJ77" s="138"/>
      <c r="AK77" s="446"/>
      <c r="AL77" s="103"/>
      <c r="AM77" s="102"/>
      <c r="AN77" s="102"/>
      <c r="AO77" s="103"/>
      <c r="AP77" s="102"/>
      <c r="AQ77" s="102"/>
      <c r="AR77" s="103"/>
      <c r="AS77" s="138"/>
      <c r="AT77" s="478"/>
    </row>
    <row r="78" spans="1:48" ht="16.3">
      <c r="A78" s="585" t="s">
        <v>1</v>
      </c>
      <c r="B78" s="210">
        <f>SUM(J78+K78+L78+M78+N78+S78+V78+W78+X78+AA78+AI78+AJ78+AI78+AM78+AP78+AQ78+AS78+AT78+AU78+AV78+AN78)</f>
        <v>5</v>
      </c>
      <c r="C78" s="215">
        <f>SUM(J78+K78+L78+M78+N78+S78+W78+X78+V78+AA78+AJ78+AI78+AJ78+AN78+AQ78+AM78+AT78+AU78+AV78+AW78+AP78+AS78)+16</f>
        <v>21</v>
      </c>
      <c r="D78" s="133"/>
      <c r="E78" s="134"/>
      <c r="F78" s="135"/>
      <c r="G78" s="136"/>
      <c r="H78" s="96">
        <v>1</v>
      </c>
      <c r="I78" s="96"/>
      <c r="J78" s="75"/>
      <c r="K78" s="75">
        <v>1</v>
      </c>
      <c r="L78" s="75">
        <v>1</v>
      </c>
      <c r="M78" s="75">
        <v>1</v>
      </c>
      <c r="N78" s="75">
        <v>1</v>
      </c>
      <c r="O78" s="96"/>
      <c r="P78" s="163"/>
      <c r="Q78" s="109"/>
      <c r="R78" s="111"/>
      <c r="S78" s="100">
        <v>1</v>
      </c>
      <c r="T78" s="110">
        <v>1</v>
      </c>
      <c r="U78" s="110"/>
      <c r="V78" s="100"/>
      <c r="W78" s="100"/>
      <c r="X78" s="100"/>
      <c r="Y78" s="110"/>
      <c r="Z78" s="110"/>
      <c r="AA78" s="100"/>
      <c r="AB78" s="109"/>
      <c r="AC78" s="108"/>
      <c r="AD78" s="109"/>
      <c r="AE78" s="109"/>
      <c r="AF78" s="109">
        <v>1</v>
      </c>
      <c r="AG78" s="109"/>
      <c r="AH78" s="100"/>
      <c r="AI78" s="100"/>
      <c r="AJ78" s="142"/>
      <c r="AK78" s="448"/>
      <c r="AL78" s="111"/>
      <c r="AM78" s="100"/>
      <c r="AN78" s="100"/>
      <c r="AO78" s="111"/>
      <c r="AP78" s="100"/>
      <c r="AQ78" s="100"/>
      <c r="AR78" s="111"/>
      <c r="AS78" s="142"/>
      <c r="AT78" s="150"/>
    </row>
    <row r="79" spans="1:48" ht="16.3">
      <c r="A79" s="585" t="s">
        <v>2</v>
      </c>
      <c r="B79" s="210">
        <f>SUM(J79+K79+L79+M79+N79+S79+V79+W79+X79+AA79+AI79+AJ79+AI79+AM79+AP79+AQ79+AS79+AT79+AU79+AV79)</f>
        <v>1</v>
      </c>
      <c r="C79" s="215">
        <f>SUM(J79+K79+L79+M79+N79+S79+W79+X79+V79+AA79+AJ79+AI79+AJ79+AN79+AQ79+AM79+AT79+AU79+AV79+AW79+AP79+AS79)+12</f>
        <v>13</v>
      </c>
      <c r="D79" s="133"/>
      <c r="E79" s="134"/>
      <c r="F79" s="135"/>
      <c r="G79" s="136"/>
      <c r="H79" s="96"/>
      <c r="I79" s="96"/>
      <c r="J79" s="75">
        <v>1</v>
      </c>
      <c r="K79" s="75"/>
      <c r="L79" s="75"/>
      <c r="M79" s="75"/>
      <c r="N79" s="75"/>
      <c r="O79" s="96"/>
      <c r="P79" s="163"/>
      <c r="Q79" s="109"/>
      <c r="R79" s="111"/>
      <c r="S79" s="100"/>
      <c r="T79" s="110"/>
      <c r="U79" s="110"/>
      <c r="V79" s="100"/>
      <c r="W79" s="100"/>
      <c r="X79" s="100"/>
      <c r="Y79" s="110"/>
      <c r="Z79" s="110"/>
      <c r="AA79" s="100"/>
      <c r="AB79" s="109"/>
      <c r="AC79" s="108"/>
      <c r="AD79" s="109"/>
      <c r="AE79" s="109"/>
      <c r="AF79" s="109"/>
      <c r="AG79" s="109"/>
      <c r="AH79" s="100"/>
      <c r="AI79" s="100"/>
      <c r="AJ79" s="142"/>
      <c r="AK79" s="448"/>
      <c r="AL79" s="111"/>
      <c r="AM79" s="100"/>
      <c r="AN79" s="100"/>
      <c r="AO79" s="111"/>
      <c r="AP79" s="100"/>
      <c r="AQ79" s="100"/>
      <c r="AR79" s="111"/>
      <c r="AS79" s="142"/>
      <c r="AT79" s="150"/>
    </row>
    <row r="80" spans="1:48" ht="16.3">
      <c r="A80" s="91" t="s">
        <v>363</v>
      </c>
      <c r="B80" s="209">
        <f>SUM(B78+B79)</f>
        <v>6</v>
      </c>
      <c r="C80" s="214">
        <f>SUM(C78+C79)</f>
        <v>34</v>
      </c>
      <c r="D80" s="133"/>
      <c r="E80" s="134"/>
      <c r="F80" s="135"/>
      <c r="G80" s="136"/>
      <c r="H80" s="96"/>
      <c r="I80" s="96"/>
      <c r="J80" s="75"/>
      <c r="K80" s="75"/>
      <c r="L80" s="75"/>
      <c r="M80" s="75"/>
      <c r="N80" s="75"/>
      <c r="O80" s="96"/>
      <c r="P80" s="163"/>
      <c r="Q80" s="109"/>
      <c r="R80" s="111"/>
      <c r="S80" s="100"/>
      <c r="T80" s="110"/>
      <c r="U80" s="110"/>
      <c r="V80" s="100"/>
      <c r="W80" s="100"/>
      <c r="X80" s="100"/>
      <c r="Y80" s="110"/>
      <c r="Z80" s="110"/>
      <c r="AA80" s="100"/>
      <c r="AB80" s="109"/>
      <c r="AC80" s="108"/>
      <c r="AD80" s="109"/>
      <c r="AE80" s="109"/>
      <c r="AF80" s="109"/>
      <c r="AG80" s="109"/>
      <c r="AH80" s="100"/>
      <c r="AI80" s="100"/>
      <c r="AJ80" s="142"/>
      <c r="AK80" s="448"/>
      <c r="AL80" s="111"/>
      <c r="AM80" s="100"/>
      <c r="AN80" s="100"/>
      <c r="AO80" s="111"/>
      <c r="AP80" s="100"/>
      <c r="AQ80" s="100"/>
      <c r="AR80" s="111"/>
      <c r="AS80" s="142"/>
      <c r="AT80" s="150"/>
    </row>
    <row r="81" spans="1:46" ht="16.3">
      <c r="A81" s="91" t="s">
        <v>3</v>
      </c>
      <c r="B81" s="209">
        <f>SUM(J81+K81+L81+M81+N81+S81+V81+W81+X81+AA81+AI81+AJ81+AI81+AM81+AP81+AQ81+AS81+AT81+AU81+AV81)</f>
        <v>4</v>
      </c>
      <c r="C81" s="214">
        <f>SUM(J81+K81+L81+M81+N81+S81+W81+X81+V81+AA81+AJ81+AI81+AJ81+AN81+AQ81+AM81+AT81+AU81+AV81+AW81+AP81+AS81)+6</f>
        <v>10</v>
      </c>
      <c r="D81" s="133"/>
      <c r="E81" s="134"/>
      <c r="F81" s="135"/>
      <c r="G81" s="136"/>
      <c r="H81" s="96"/>
      <c r="I81" s="96"/>
      <c r="J81" s="75"/>
      <c r="K81" s="75">
        <v>1</v>
      </c>
      <c r="L81" s="75">
        <v>1</v>
      </c>
      <c r="M81" s="75">
        <v>1</v>
      </c>
      <c r="N81" s="75">
        <v>1</v>
      </c>
      <c r="O81" s="96"/>
      <c r="P81" s="163"/>
      <c r="Q81" s="109"/>
      <c r="R81" s="111"/>
      <c r="S81" s="100"/>
      <c r="T81" s="110"/>
      <c r="U81" s="110"/>
      <c r="V81" s="100"/>
      <c r="W81" s="100"/>
      <c r="X81" s="100"/>
      <c r="Y81" s="110"/>
      <c r="Z81" s="110"/>
      <c r="AA81" s="100"/>
      <c r="AB81" s="109"/>
      <c r="AC81" s="108"/>
      <c r="AD81" s="109"/>
      <c r="AE81" s="109"/>
      <c r="AF81" s="109"/>
      <c r="AG81" s="109"/>
      <c r="AH81" s="100"/>
      <c r="AI81" s="100"/>
      <c r="AJ81" s="142"/>
      <c r="AK81" s="448"/>
      <c r="AL81" s="111"/>
      <c r="AM81" s="100"/>
      <c r="AN81" s="100"/>
      <c r="AO81" s="111"/>
      <c r="AP81" s="100"/>
      <c r="AQ81" s="100"/>
      <c r="AR81" s="111"/>
      <c r="AS81" s="142"/>
      <c r="AT81" s="150"/>
    </row>
    <row r="82" spans="1:46" ht="17" thickBot="1">
      <c r="A82" s="92" t="s">
        <v>4</v>
      </c>
      <c r="B82" s="212">
        <f>SUM(J82+K82+L82+M82+N82+S82+V82+W82+X82+AA82+AI82+AJ82+AI82+AM82+AP82+AQ82+AS82+AT82+AU82+AV82)</f>
        <v>20</v>
      </c>
      <c r="C82" s="217">
        <f>SUM(J82+K82+L82+M82+N82+S82+W82+X82+V82+AA82+AJ82+AI82+AJ82+AN82+AQ82+AM82+AT82+AU82+AV82+AW82+AP82+AS82)+30</f>
        <v>50</v>
      </c>
      <c r="D82" s="144"/>
      <c r="E82" s="145"/>
      <c r="F82" s="146"/>
      <c r="G82" s="147"/>
      <c r="H82" s="114"/>
      <c r="I82" s="114"/>
      <c r="J82" s="112"/>
      <c r="K82" s="112">
        <v>5</v>
      </c>
      <c r="L82" s="112">
        <v>5</v>
      </c>
      <c r="M82" s="112">
        <v>5</v>
      </c>
      <c r="N82" s="112">
        <v>5</v>
      </c>
      <c r="O82" s="114"/>
      <c r="P82" s="164"/>
      <c r="Q82" s="118"/>
      <c r="R82" s="130"/>
      <c r="S82" s="116"/>
      <c r="T82" s="120"/>
      <c r="U82" s="120"/>
      <c r="V82" s="116"/>
      <c r="W82" s="116"/>
      <c r="X82" s="116"/>
      <c r="Y82" s="120"/>
      <c r="Z82" s="120"/>
      <c r="AA82" s="116"/>
      <c r="AB82" s="118"/>
      <c r="AC82" s="117"/>
      <c r="AD82" s="118"/>
      <c r="AE82" s="118"/>
      <c r="AF82" s="118"/>
      <c r="AG82" s="118"/>
      <c r="AH82" s="116"/>
      <c r="AI82" s="116"/>
      <c r="AJ82" s="149"/>
      <c r="AK82" s="449"/>
      <c r="AL82" s="121"/>
      <c r="AM82" s="116"/>
      <c r="AN82" s="116"/>
      <c r="AO82" s="121"/>
      <c r="AP82" s="116"/>
      <c r="AQ82" s="116"/>
      <c r="AR82" s="121"/>
      <c r="AS82" s="149"/>
      <c r="AT82" s="176"/>
    </row>
    <row r="83" spans="1:46" ht="21.1">
      <c r="A83" s="89" t="s">
        <v>462</v>
      </c>
      <c r="B83" s="209"/>
      <c r="C83" s="214"/>
      <c r="D83" s="133"/>
      <c r="E83" s="134"/>
      <c r="F83" s="135"/>
      <c r="G83" s="136"/>
      <c r="H83" s="96" t="s">
        <v>381</v>
      </c>
      <c r="I83" s="96" t="s">
        <v>339</v>
      </c>
      <c r="J83" s="75" t="s">
        <v>339</v>
      </c>
      <c r="K83" s="75" t="s">
        <v>339</v>
      </c>
      <c r="L83" s="75" t="s">
        <v>339</v>
      </c>
      <c r="M83" s="75" t="s">
        <v>339</v>
      </c>
      <c r="N83" s="75" t="s">
        <v>339</v>
      </c>
      <c r="O83" s="96" t="s">
        <v>375</v>
      </c>
      <c r="P83" s="163"/>
      <c r="Q83" s="109"/>
      <c r="R83" s="111"/>
      <c r="S83" s="100"/>
      <c r="T83" s="110"/>
      <c r="U83" s="110"/>
      <c r="V83" s="100">
        <v>13</v>
      </c>
      <c r="W83" s="100" t="s">
        <v>741</v>
      </c>
      <c r="X83" s="100"/>
      <c r="Y83" s="110">
        <v>13</v>
      </c>
      <c r="Z83" s="110" t="s">
        <v>377</v>
      </c>
      <c r="AA83" s="100"/>
      <c r="AB83" s="109" t="s">
        <v>393</v>
      </c>
      <c r="AC83" s="108"/>
      <c r="AD83" s="109" t="s">
        <v>375</v>
      </c>
      <c r="AE83" s="109"/>
      <c r="AF83" s="109"/>
      <c r="AG83" s="109"/>
      <c r="AH83" s="100"/>
      <c r="AI83" s="100"/>
      <c r="AJ83" s="142"/>
      <c r="AK83" s="448"/>
      <c r="AL83" s="111"/>
      <c r="AM83" s="100"/>
      <c r="AN83" s="100"/>
      <c r="AO83" s="111"/>
      <c r="AP83" s="100"/>
      <c r="AQ83" s="100"/>
      <c r="AR83" s="111"/>
      <c r="AS83" s="142"/>
      <c r="AT83" s="150"/>
    </row>
    <row r="84" spans="1:46" ht="16.3">
      <c r="A84" s="585" t="s">
        <v>1</v>
      </c>
      <c r="B84" s="210">
        <f>SUM(J84+K84+L84+M84+N84+S84+V84+W84+X84+AA84+AI84+AJ84+AI84+AM84+AP84+AQ84+AS84+AT84+AU84+AV84+AN84)</f>
        <v>2</v>
      </c>
      <c r="C84" s="215">
        <f>SUM(J84+K84+L84+M84+N84+S84+W84+X84+V84+AA84+AJ84+AI84+AJ84+AN84+AQ84+AM84+AT84+AU84+AV84+AW84+AP84+AS84)+5</f>
        <v>7</v>
      </c>
      <c r="D84" s="133"/>
      <c r="E84" s="134"/>
      <c r="F84" s="135"/>
      <c r="G84" s="136"/>
      <c r="H84" s="96">
        <v>1</v>
      </c>
      <c r="I84" s="96"/>
      <c r="J84" s="75"/>
      <c r="K84" s="75"/>
      <c r="L84" s="75"/>
      <c r="M84" s="75"/>
      <c r="N84" s="75"/>
      <c r="O84" s="96"/>
      <c r="P84" s="163"/>
      <c r="Q84" s="109"/>
      <c r="R84" s="111"/>
      <c r="S84" s="100"/>
      <c r="T84" s="110"/>
      <c r="U84" s="110"/>
      <c r="V84" s="100">
        <v>1</v>
      </c>
      <c r="W84" s="100">
        <v>1</v>
      </c>
      <c r="X84" s="100"/>
      <c r="Y84" s="110">
        <v>1</v>
      </c>
      <c r="Z84" s="110">
        <v>1</v>
      </c>
      <c r="AA84" s="100"/>
      <c r="AB84" s="109"/>
      <c r="AC84" s="108"/>
      <c r="AD84" s="109"/>
      <c r="AE84" s="109"/>
      <c r="AF84" s="109"/>
      <c r="AG84" s="109"/>
      <c r="AH84" s="100"/>
      <c r="AI84" s="100"/>
      <c r="AJ84" s="142"/>
      <c r="AK84" s="448"/>
      <c r="AL84" s="111"/>
      <c r="AM84" s="100"/>
      <c r="AN84" s="100"/>
      <c r="AO84" s="111"/>
      <c r="AP84" s="100"/>
      <c r="AQ84" s="100"/>
      <c r="AR84" s="111"/>
      <c r="AS84" s="142"/>
      <c r="AT84" s="150"/>
    </row>
    <row r="85" spans="1:46" ht="16.3">
      <c r="A85" s="585" t="s">
        <v>2</v>
      </c>
      <c r="B85" s="210">
        <f>SUM(J85+K85+L85+M85+N85+S85+V85+W85+X85+AA85+AI85+AJ85+AI85+AM85+AP85+AQ85+AS85+AT85+AU85+AV85)+3</f>
        <v>3</v>
      </c>
      <c r="C85" s="215">
        <f>SUM(J85+K85+L85+M85+N85+S85+W85+X85+V85+AA85+AJ85+AI85+AJ85+AN85+AQ85+AM85+AT85+AU85+AV85+AW85+AP85+AS85)+6</f>
        <v>6</v>
      </c>
      <c r="D85" s="133"/>
      <c r="E85" s="134"/>
      <c r="F85" s="135"/>
      <c r="G85" s="136"/>
      <c r="H85" s="96"/>
      <c r="I85" s="96"/>
      <c r="J85" s="75"/>
      <c r="K85" s="75"/>
      <c r="L85" s="75"/>
      <c r="M85" s="75"/>
      <c r="N85" s="75"/>
      <c r="O85" s="96">
        <v>1</v>
      </c>
      <c r="P85" s="163"/>
      <c r="Q85" s="109"/>
      <c r="R85" s="111"/>
      <c r="S85" s="100"/>
      <c r="T85" s="110"/>
      <c r="U85" s="110"/>
      <c r="V85" s="100"/>
      <c r="W85" s="100"/>
      <c r="X85" s="100"/>
      <c r="Y85" s="110"/>
      <c r="Z85" s="110"/>
      <c r="AA85" s="100"/>
      <c r="AB85" s="109"/>
      <c r="AC85" s="108"/>
      <c r="AD85" s="109">
        <v>1</v>
      </c>
      <c r="AE85" s="109"/>
      <c r="AF85" s="109"/>
      <c r="AG85" s="109"/>
      <c r="AH85" s="100"/>
      <c r="AI85" s="100"/>
      <c r="AJ85" s="142"/>
      <c r="AK85" s="448"/>
      <c r="AL85" s="111"/>
      <c r="AM85" s="100"/>
      <c r="AN85" s="100"/>
      <c r="AO85" s="111"/>
      <c r="AP85" s="100"/>
      <c r="AQ85" s="100"/>
      <c r="AR85" s="111"/>
      <c r="AS85" s="142"/>
      <c r="AT85" s="150"/>
    </row>
    <row r="86" spans="1:46" ht="16.3">
      <c r="A86" s="91" t="s">
        <v>363</v>
      </c>
      <c r="B86" s="209">
        <f>SUM(B84+B85)</f>
        <v>5</v>
      </c>
      <c r="C86" s="214">
        <f>SUM(C84+C85)</f>
        <v>13</v>
      </c>
      <c r="D86" s="133"/>
      <c r="E86" s="134"/>
      <c r="F86" s="135"/>
      <c r="G86" s="136"/>
      <c r="H86" s="96"/>
      <c r="I86" s="96"/>
      <c r="J86" s="75"/>
      <c r="K86" s="75"/>
      <c r="L86" s="75"/>
      <c r="M86" s="75"/>
      <c r="N86" s="75"/>
      <c r="O86" s="96"/>
      <c r="P86" s="163"/>
      <c r="Q86" s="109"/>
      <c r="R86" s="111"/>
      <c r="S86" s="100"/>
      <c r="T86" s="110"/>
      <c r="U86" s="110"/>
      <c r="V86" s="100"/>
      <c r="W86" s="100"/>
      <c r="X86" s="100"/>
      <c r="Y86" s="110"/>
      <c r="Z86" s="110"/>
      <c r="AA86" s="100"/>
      <c r="AB86" s="109"/>
      <c r="AC86" s="108"/>
      <c r="AD86" s="109"/>
      <c r="AE86" s="109"/>
      <c r="AF86" s="109"/>
      <c r="AG86" s="109"/>
      <c r="AH86" s="100"/>
      <c r="AI86" s="100"/>
      <c r="AJ86" s="142"/>
      <c r="AK86" s="448"/>
      <c r="AL86" s="111"/>
      <c r="AM86" s="100"/>
      <c r="AN86" s="100"/>
      <c r="AO86" s="111"/>
      <c r="AP86" s="100"/>
      <c r="AQ86" s="100"/>
      <c r="AR86" s="111"/>
      <c r="AS86" s="142"/>
      <c r="AT86" s="150"/>
    </row>
    <row r="87" spans="1:46" ht="16.3">
      <c r="A87" s="585" t="s">
        <v>366</v>
      </c>
      <c r="B87" s="210">
        <f>SUM(J87+K87+L87+M87+N87+S87+V87+W87+X87+AA87+AI87+AJ87+AI87+AM87+AP87+AQ87+AS87+AT87+AU87+AV87)</f>
        <v>0</v>
      </c>
      <c r="C87" s="215">
        <f>SUM(J87+K87+L87+M87+N87+S87+W87+X87+V87+AA87+AJ87+AI87+AJ87+AN87+AQ87+AM87+AT87+AU87+AV87+AW87+AP87+AS87)+3</f>
        <v>3</v>
      </c>
      <c r="D87" s="133"/>
      <c r="E87" s="134"/>
      <c r="F87" s="135"/>
      <c r="G87" s="136"/>
      <c r="H87" s="96"/>
      <c r="I87" s="96"/>
      <c r="J87" s="75"/>
      <c r="K87" s="75"/>
      <c r="L87" s="75"/>
      <c r="M87" s="75"/>
      <c r="N87" s="75"/>
      <c r="O87" s="96"/>
      <c r="P87" s="163"/>
      <c r="Q87" s="109"/>
      <c r="R87" s="111"/>
      <c r="S87" s="100"/>
      <c r="T87" s="110"/>
      <c r="U87" s="110"/>
      <c r="V87" s="100"/>
      <c r="W87" s="100"/>
      <c r="X87" s="100"/>
      <c r="Y87" s="110"/>
      <c r="Z87" s="110"/>
      <c r="AA87" s="100"/>
      <c r="AB87" s="109"/>
      <c r="AC87" s="108"/>
      <c r="AD87" s="109"/>
      <c r="AE87" s="109"/>
      <c r="AF87" s="109"/>
      <c r="AG87" s="109"/>
      <c r="AH87" s="100"/>
      <c r="AI87" s="100"/>
      <c r="AJ87" s="142"/>
      <c r="AK87" s="448"/>
      <c r="AL87" s="111"/>
      <c r="AM87" s="100"/>
      <c r="AN87" s="100"/>
      <c r="AO87" s="111"/>
      <c r="AP87" s="100"/>
      <c r="AQ87" s="100"/>
      <c r="AR87" s="111"/>
      <c r="AS87" s="142"/>
      <c r="AT87" s="150"/>
    </row>
    <row r="88" spans="1:46" ht="16.3">
      <c r="A88" s="91" t="s">
        <v>3</v>
      </c>
      <c r="B88" s="209">
        <f>SUM(J88+K88+L88+M88+N88+S88+V88+W88+X88+AA88+AI88+AJ88+AI88+AM88+AP88+AQ88+AS88+AT88+AU88+AV88)</f>
        <v>0</v>
      </c>
      <c r="C88" s="214">
        <f>SUM(J88+K88+L88+M88+N88+S88+W88+X88+V88+AA88+AJ88+AI88+AJ88+AN88+AQ88+AM88+AT88+AU88+AV88+AW88+AP88+AS88)+2</f>
        <v>2</v>
      </c>
      <c r="D88" s="133"/>
      <c r="E88" s="134"/>
      <c r="F88" s="135"/>
      <c r="G88" s="136"/>
      <c r="H88" s="96"/>
      <c r="I88" s="96"/>
      <c r="J88" s="75"/>
      <c r="K88" s="75"/>
      <c r="L88" s="75"/>
      <c r="M88" s="75"/>
      <c r="N88" s="75"/>
      <c r="O88" s="96"/>
      <c r="P88" s="163"/>
      <c r="Q88" s="109"/>
      <c r="R88" s="111"/>
      <c r="S88" s="100"/>
      <c r="T88" s="110"/>
      <c r="U88" s="110"/>
      <c r="V88" s="100"/>
      <c r="W88" s="100"/>
      <c r="X88" s="100"/>
      <c r="Y88" s="110"/>
      <c r="Z88" s="110"/>
      <c r="AA88" s="100"/>
      <c r="AB88" s="109"/>
      <c r="AC88" s="108"/>
      <c r="AD88" s="109"/>
      <c r="AE88" s="109"/>
      <c r="AF88" s="109"/>
      <c r="AG88" s="109"/>
      <c r="AH88" s="100"/>
      <c r="AI88" s="100"/>
      <c r="AJ88" s="142"/>
      <c r="AK88" s="448"/>
      <c r="AL88" s="111"/>
      <c r="AM88" s="100"/>
      <c r="AN88" s="100"/>
      <c r="AO88" s="111"/>
      <c r="AP88" s="100"/>
      <c r="AQ88" s="100"/>
      <c r="AR88" s="111"/>
      <c r="AS88" s="142"/>
      <c r="AT88" s="150"/>
    </row>
    <row r="89" spans="1:46" ht="17" thickBot="1">
      <c r="A89" s="92" t="s">
        <v>4</v>
      </c>
      <c r="B89" s="212">
        <f>SUM(J89+K89+L89+M89+N89+S89+V89+W89+X89+AA89+AI89+AJ89+AI89+AM89+AP89+AQ89+AS89+AT89+AU89+AV89)</f>
        <v>0</v>
      </c>
      <c r="C89" s="217">
        <f>SUM(J89+K89+L89+M89+N89+S89+W89+X89+V89+AA89+AJ89+AI89+AJ89+AN89+AQ89+AM89+AT89+AU89+AV89+AW89+AP89+AS89)+10</f>
        <v>10</v>
      </c>
      <c r="D89" s="144"/>
      <c r="E89" s="145"/>
      <c r="F89" s="146"/>
      <c r="G89" s="147"/>
      <c r="H89" s="114"/>
      <c r="I89" s="114"/>
      <c r="J89" s="112"/>
      <c r="K89" s="112"/>
      <c r="L89" s="112"/>
      <c r="M89" s="112"/>
      <c r="N89" s="112"/>
      <c r="O89" s="114"/>
      <c r="P89" s="164"/>
      <c r="Q89" s="118"/>
      <c r="R89" s="121"/>
      <c r="S89" s="112"/>
      <c r="T89" s="110"/>
      <c r="U89" s="110"/>
      <c r="V89" s="100"/>
      <c r="W89" s="100"/>
      <c r="X89" s="100"/>
      <c r="Y89" s="110"/>
      <c r="Z89" s="110"/>
      <c r="AA89" s="100"/>
      <c r="AB89" s="109"/>
      <c r="AC89" s="108"/>
      <c r="AD89" s="109"/>
      <c r="AE89" s="109"/>
      <c r="AF89" s="109"/>
      <c r="AG89" s="109"/>
      <c r="AH89" s="100"/>
      <c r="AI89" s="100"/>
      <c r="AJ89" s="142"/>
      <c r="AK89" s="448"/>
      <c r="AL89" s="111"/>
      <c r="AM89" s="100"/>
      <c r="AN89" s="100"/>
      <c r="AO89" s="111"/>
      <c r="AP89" s="100"/>
      <c r="AQ89" s="100"/>
      <c r="AR89" s="111"/>
      <c r="AS89" s="142"/>
      <c r="AT89" s="150"/>
    </row>
    <row r="90" spans="1:46" ht="21.1">
      <c r="A90" s="89" t="s">
        <v>424</v>
      </c>
      <c r="B90" s="209"/>
      <c r="C90" s="214"/>
      <c r="D90" s="133"/>
      <c r="E90" s="134"/>
      <c r="F90" s="135"/>
      <c r="G90" s="136"/>
      <c r="H90" s="96"/>
      <c r="I90" s="96">
        <v>12</v>
      </c>
      <c r="J90" s="75"/>
      <c r="K90" s="75"/>
      <c r="L90" s="75"/>
      <c r="M90" s="75"/>
      <c r="N90" s="75"/>
      <c r="O90" s="96" t="s">
        <v>381</v>
      </c>
      <c r="P90" s="163"/>
      <c r="Q90" s="109">
        <v>12</v>
      </c>
      <c r="R90" s="111"/>
      <c r="S90" s="100"/>
      <c r="T90" s="101"/>
      <c r="U90" s="101">
        <v>12</v>
      </c>
      <c r="V90" s="102"/>
      <c r="W90" s="102"/>
      <c r="X90" s="102"/>
      <c r="Y90" s="101"/>
      <c r="Z90" s="101"/>
      <c r="AA90" s="102"/>
      <c r="AB90" s="99" t="s">
        <v>381</v>
      </c>
      <c r="AC90" s="98"/>
      <c r="AD90" s="99" t="s">
        <v>381</v>
      </c>
      <c r="AE90" s="99">
        <v>12</v>
      </c>
      <c r="AF90" s="99" t="s">
        <v>375</v>
      </c>
      <c r="AG90" s="99"/>
      <c r="AH90" s="102"/>
      <c r="AI90" s="102"/>
      <c r="AJ90" s="138"/>
      <c r="AK90" s="446"/>
      <c r="AL90" s="103"/>
      <c r="AM90" s="102"/>
      <c r="AN90" s="102"/>
      <c r="AO90" s="103"/>
      <c r="AP90" s="102"/>
      <c r="AQ90" s="102"/>
      <c r="AR90" s="103"/>
      <c r="AS90" s="138"/>
      <c r="AT90" s="478"/>
    </row>
    <row r="91" spans="1:46" ht="16.3">
      <c r="A91" s="585" t="s">
        <v>1</v>
      </c>
      <c r="B91" s="210">
        <f>SUM(J91+K91+L91+M91+N91+S91+V91+W91+X91+AA91+AI91+AJ91+AI91+AM91+AP91+AQ91+AS91+AT91+AU91+AV91+AN91)</f>
        <v>0</v>
      </c>
      <c r="C91" s="215">
        <f>B91</f>
        <v>0</v>
      </c>
      <c r="D91" s="133"/>
      <c r="E91" s="134"/>
      <c r="F91" s="135"/>
      <c r="G91" s="136"/>
      <c r="H91" s="96"/>
      <c r="I91" s="96">
        <v>1</v>
      </c>
      <c r="J91" s="75"/>
      <c r="K91" s="75"/>
      <c r="L91" s="75"/>
      <c r="M91" s="75"/>
      <c r="N91" s="75"/>
      <c r="O91" s="96">
        <v>1</v>
      </c>
      <c r="P91" s="163"/>
      <c r="Q91" s="109">
        <v>1</v>
      </c>
      <c r="R91" s="111"/>
      <c r="S91" s="100"/>
      <c r="T91" s="110"/>
      <c r="U91" s="110">
        <v>1</v>
      </c>
      <c r="V91" s="100"/>
      <c r="W91" s="100"/>
      <c r="X91" s="100"/>
      <c r="Y91" s="110"/>
      <c r="Z91" s="110"/>
      <c r="AA91" s="100"/>
      <c r="AB91" s="109">
        <v>1</v>
      </c>
      <c r="AC91" s="108"/>
      <c r="AD91" s="109">
        <v>1</v>
      </c>
      <c r="AE91" s="109">
        <v>1</v>
      </c>
      <c r="AF91" s="109"/>
      <c r="AG91" s="109"/>
      <c r="AH91" s="100"/>
      <c r="AI91" s="100"/>
      <c r="AJ91" s="142"/>
      <c r="AK91" s="448"/>
      <c r="AL91" s="111"/>
      <c r="AM91" s="100"/>
      <c r="AN91" s="100"/>
      <c r="AO91" s="111"/>
      <c r="AP91" s="100"/>
      <c r="AQ91" s="100"/>
      <c r="AR91" s="111"/>
      <c r="AS91" s="142"/>
      <c r="AT91" s="150"/>
    </row>
    <row r="92" spans="1:46" ht="16.3">
      <c r="A92" s="585" t="s">
        <v>2</v>
      </c>
      <c r="B92" s="210">
        <f>SUM(J92+K92+L92+M92+N92+S92+V92+W92+X92+AA92+AI92+AJ92+AI92+AM92+AP92+AQ92+AS92+AT92+AU92+AV92)</f>
        <v>0</v>
      </c>
      <c r="C92" s="215">
        <f t="shared" ref="C92:C95" si="12">B92</f>
        <v>0</v>
      </c>
      <c r="D92" s="133"/>
      <c r="E92" s="134"/>
      <c r="F92" s="135"/>
      <c r="G92" s="136"/>
      <c r="H92" s="96"/>
      <c r="I92" s="96"/>
      <c r="J92" s="75"/>
      <c r="K92" s="75"/>
      <c r="L92" s="75"/>
      <c r="M92" s="75"/>
      <c r="N92" s="75"/>
      <c r="O92" s="96"/>
      <c r="P92" s="163"/>
      <c r="Q92" s="109"/>
      <c r="R92" s="111"/>
      <c r="S92" s="100"/>
      <c r="T92" s="110"/>
      <c r="U92" s="110"/>
      <c r="V92" s="100"/>
      <c r="W92" s="100"/>
      <c r="X92" s="100"/>
      <c r="Y92" s="110"/>
      <c r="Z92" s="110"/>
      <c r="AA92" s="100"/>
      <c r="AB92" s="109"/>
      <c r="AC92" s="108"/>
      <c r="AD92" s="109"/>
      <c r="AE92" s="109"/>
      <c r="AF92" s="109">
        <v>1</v>
      </c>
      <c r="AG92" s="109"/>
      <c r="AH92" s="100"/>
      <c r="AI92" s="100"/>
      <c r="AJ92" s="142"/>
      <c r="AK92" s="448"/>
      <c r="AL92" s="111"/>
      <c r="AM92" s="100"/>
      <c r="AN92" s="100"/>
      <c r="AO92" s="111"/>
      <c r="AP92" s="100"/>
      <c r="AQ92" s="100"/>
      <c r="AR92" s="111"/>
      <c r="AS92" s="142"/>
      <c r="AT92" s="150"/>
    </row>
    <row r="93" spans="1:46" ht="16.3">
      <c r="A93" s="91" t="s">
        <v>363</v>
      </c>
      <c r="B93" s="209">
        <f>SUM(B91+B92)</f>
        <v>0</v>
      </c>
      <c r="C93" s="214">
        <f t="shared" si="12"/>
        <v>0</v>
      </c>
      <c r="D93" s="133"/>
      <c r="E93" s="134"/>
      <c r="F93" s="135"/>
      <c r="G93" s="136"/>
      <c r="H93" s="96"/>
      <c r="I93" s="96"/>
      <c r="J93" s="75"/>
      <c r="K93" s="75"/>
      <c r="L93" s="75"/>
      <c r="M93" s="75"/>
      <c r="N93" s="75"/>
      <c r="O93" s="96"/>
      <c r="P93" s="163"/>
      <c r="Q93" s="109"/>
      <c r="R93" s="111"/>
      <c r="S93" s="100"/>
      <c r="T93" s="110"/>
      <c r="U93" s="110"/>
      <c r="V93" s="100"/>
      <c r="W93" s="100"/>
      <c r="X93" s="100"/>
      <c r="Y93" s="110"/>
      <c r="Z93" s="110"/>
      <c r="AA93" s="100"/>
      <c r="AB93" s="109"/>
      <c r="AC93" s="108"/>
      <c r="AD93" s="109"/>
      <c r="AE93" s="109"/>
      <c r="AF93" s="109"/>
      <c r="AG93" s="109"/>
      <c r="AH93" s="100"/>
      <c r="AI93" s="100"/>
      <c r="AJ93" s="142"/>
      <c r="AK93" s="448"/>
      <c r="AL93" s="111"/>
      <c r="AM93" s="100"/>
      <c r="AN93" s="100"/>
      <c r="AO93" s="111"/>
      <c r="AP93" s="100"/>
      <c r="AQ93" s="100"/>
      <c r="AR93" s="111"/>
      <c r="AS93" s="142"/>
      <c r="AT93" s="150"/>
    </row>
    <row r="94" spans="1:46" ht="16.3">
      <c r="A94" s="91" t="s">
        <v>3</v>
      </c>
      <c r="B94" s="209">
        <f>SUM(J94+K94+L94+M94+N94+S94+V94+W94+X94+AA94+AI94+AJ94+AI94+AM94+AP94+AQ94+AS94+AT94+AU94+AV94)</f>
        <v>0</v>
      </c>
      <c r="C94" s="214">
        <f t="shared" si="12"/>
        <v>0</v>
      </c>
      <c r="D94" s="133"/>
      <c r="E94" s="134"/>
      <c r="F94" s="135"/>
      <c r="G94" s="136"/>
      <c r="H94" s="96"/>
      <c r="I94" s="96">
        <v>1</v>
      </c>
      <c r="J94" s="75"/>
      <c r="K94" s="75"/>
      <c r="L94" s="75"/>
      <c r="M94" s="75"/>
      <c r="N94" s="75"/>
      <c r="O94" s="96"/>
      <c r="P94" s="163"/>
      <c r="Q94" s="109"/>
      <c r="R94" s="111"/>
      <c r="S94" s="100"/>
      <c r="T94" s="110"/>
      <c r="U94" s="110"/>
      <c r="V94" s="100"/>
      <c r="W94" s="100"/>
      <c r="X94" s="100"/>
      <c r="Y94" s="110"/>
      <c r="Z94" s="110"/>
      <c r="AA94" s="100"/>
      <c r="AB94" s="109"/>
      <c r="AC94" s="108"/>
      <c r="AD94" s="109">
        <v>1</v>
      </c>
      <c r="AE94" s="109"/>
      <c r="AF94" s="109">
        <v>1</v>
      </c>
      <c r="AG94" s="109"/>
      <c r="AH94" s="100"/>
      <c r="AI94" s="100"/>
      <c r="AJ94" s="142"/>
      <c r="AK94" s="448"/>
      <c r="AL94" s="111"/>
      <c r="AM94" s="100"/>
      <c r="AN94" s="100"/>
      <c r="AO94" s="111"/>
      <c r="AP94" s="100"/>
      <c r="AQ94" s="100"/>
      <c r="AR94" s="111"/>
      <c r="AS94" s="142"/>
      <c r="AT94" s="150"/>
    </row>
    <row r="95" spans="1:46" ht="17" thickBot="1">
      <c r="A95" s="92" t="s">
        <v>4</v>
      </c>
      <c r="B95" s="212">
        <f>SUM(J95+K95+L95+M95+N95+S95+V95+W95+X95+AA95+AI95+AJ95+AI95+AM95+AP95+AQ95+AS95+AT95+AU95+AV95)</f>
        <v>0</v>
      </c>
      <c r="C95" s="217">
        <f t="shared" si="12"/>
        <v>0</v>
      </c>
      <c r="D95" s="144"/>
      <c r="E95" s="145"/>
      <c r="F95" s="146"/>
      <c r="G95" s="147"/>
      <c r="H95" s="114"/>
      <c r="I95" s="114">
        <v>5</v>
      </c>
      <c r="J95" s="112"/>
      <c r="K95" s="112"/>
      <c r="L95" s="112"/>
      <c r="M95" s="112"/>
      <c r="N95" s="112"/>
      <c r="O95" s="114"/>
      <c r="P95" s="164"/>
      <c r="Q95" s="118"/>
      <c r="R95" s="130"/>
      <c r="S95" s="116"/>
      <c r="T95" s="120"/>
      <c r="U95" s="120"/>
      <c r="V95" s="116"/>
      <c r="W95" s="116"/>
      <c r="X95" s="116"/>
      <c r="Y95" s="120"/>
      <c r="Z95" s="120"/>
      <c r="AA95" s="116"/>
      <c r="AB95" s="118"/>
      <c r="AC95" s="117"/>
      <c r="AD95" s="118">
        <v>5</v>
      </c>
      <c r="AE95" s="118"/>
      <c r="AF95" s="118">
        <v>5</v>
      </c>
      <c r="AG95" s="118"/>
      <c r="AH95" s="116"/>
      <c r="AI95" s="116"/>
      <c r="AJ95" s="149"/>
      <c r="AK95" s="449"/>
      <c r="AL95" s="121"/>
      <c r="AM95" s="116"/>
      <c r="AN95" s="116"/>
      <c r="AO95" s="121"/>
      <c r="AP95" s="116"/>
      <c r="AQ95" s="116"/>
      <c r="AR95" s="121"/>
      <c r="AS95" s="149"/>
      <c r="AT95" s="176"/>
    </row>
    <row r="96" spans="1:46" ht="21.1">
      <c r="A96" s="89" t="s">
        <v>248</v>
      </c>
      <c r="B96" s="209"/>
      <c r="C96" s="214"/>
      <c r="D96" s="133"/>
      <c r="E96" s="134"/>
      <c r="F96" s="135"/>
      <c r="G96" s="136"/>
      <c r="H96" s="96" t="s">
        <v>377</v>
      </c>
      <c r="I96" s="96"/>
      <c r="J96" s="75">
        <v>13</v>
      </c>
      <c r="K96" s="75" t="s">
        <v>339</v>
      </c>
      <c r="L96" s="75" t="s">
        <v>339</v>
      </c>
      <c r="M96" s="75">
        <v>12</v>
      </c>
      <c r="N96" s="75">
        <v>12</v>
      </c>
      <c r="O96" s="96" t="s">
        <v>803</v>
      </c>
      <c r="P96" s="163"/>
      <c r="Q96" s="109" t="s">
        <v>803</v>
      </c>
      <c r="R96" s="111"/>
      <c r="S96" s="100" t="s">
        <v>0</v>
      </c>
      <c r="T96" s="110" t="s">
        <v>377</v>
      </c>
      <c r="U96" s="110" t="s">
        <v>339</v>
      </c>
      <c r="V96" s="100" t="s">
        <v>339</v>
      </c>
      <c r="W96" s="100" t="s">
        <v>339</v>
      </c>
      <c r="X96" s="100" t="s">
        <v>339</v>
      </c>
      <c r="Y96" s="110" t="s">
        <v>339</v>
      </c>
      <c r="Z96" s="110" t="s">
        <v>339</v>
      </c>
      <c r="AA96" s="100" t="s">
        <v>339</v>
      </c>
      <c r="AB96" s="109" t="s">
        <v>339</v>
      </c>
      <c r="AC96" s="108"/>
      <c r="AD96" s="109" t="s">
        <v>339</v>
      </c>
      <c r="AE96" s="109" t="s">
        <v>339</v>
      </c>
      <c r="AF96" s="109" t="s">
        <v>339</v>
      </c>
      <c r="AG96" s="109"/>
      <c r="AH96" s="100"/>
      <c r="AI96" s="100"/>
      <c r="AJ96" s="142"/>
      <c r="AK96" s="448"/>
      <c r="AL96" s="111"/>
      <c r="AM96" s="100"/>
      <c r="AN96" s="100"/>
      <c r="AO96" s="111"/>
      <c r="AP96" s="100"/>
      <c r="AQ96" s="100"/>
      <c r="AR96" s="111"/>
      <c r="AS96" s="142"/>
      <c r="AT96" s="150"/>
    </row>
    <row r="97" spans="1:46" ht="16.3">
      <c r="A97" s="611" t="s">
        <v>1</v>
      </c>
      <c r="B97" s="210">
        <f>SUM(J97+K97+L97+M97+N97+S97+V97+W97+X97+AA97+AI97+AJ97+AI97+AM97+AP97+AQ97+AS97+AT97+AU97+AV97+AN97)+18</f>
        <v>21</v>
      </c>
      <c r="C97" s="215">
        <f>B97</f>
        <v>21</v>
      </c>
      <c r="D97" s="133"/>
      <c r="E97" s="134"/>
      <c r="F97" s="135"/>
      <c r="G97" s="136"/>
      <c r="H97" s="96">
        <v>1</v>
      </c>
      <c r="I97" s="96"/>
      <c r="J97" s="75">
        <v>1</v>
      </c>
      <c r="K97" s="75"/>
      <c r="L97" s="75"/>
      <c r="M97" s="75">
        <v>1</v>
      </c>
      <c r="N97" s="75">
        <v>1</v>
      </c>
      <c r="O97" s="96"/>
      <c r="P97" s="163"/>
      <c r="Q97" s="109"/>
      <c r="R97" s="111"/>
      <c r="S97" s="100"/>
      <c r="T97" s="110">
        <v>1</v>
      </c>
      <c r="U97" s="110"/>
      <c r="V97" s="100"/>
      <c r="W97" s="100"/>
      <c r="X97" s="100"/>
      <c r="Y97" s="110"/>
      <c r="Z97" s="110"/>
      <c r="AA97" s="100"/>
      <c r="AB97" s="109"/>
      <c r="AC97" s="108"/>
      <c r="AD97" s="109"/>
      <c r="AE97" s="109"/>
      <c r="AF97" s="109"/>
      <c r="AG97" s="109"/>
      <c r="AH97" s="100"/>
      <c r="AI97" s="100"/>
      <c r="AJ97" s="142"/>
      <c r="AK97" s="448"/>
      <c r="AL97" s="111"/>
      <c r="AM97" s="100"/>
      <c r="AN97" s="100"/>
      <c r="AO97" s="111"/>
      <c r="AP97" s="100"/>
      <c r="AQ97" s="100"/>
      <c r="AR97" s="111"/>
      <c r="AS97" s="142"/>
      <c r="AT97" s="150"/>
    </row>
    <row r="98" spans="1:46" ht="16.3">
      <c r="A98" s="611" t="s">
        <v>2</v>
      </c>
      <c r="B98" s="210">
        <f>SUM(J98+K98+L98+M98+N98+S98+V98+W98+X98+AA98+AI98+AJ98+AI98+AM98+AP98+AQ98+AS98+AT98+AU98+AV98)+6</f>
        <v>6</v>
      </c>
      <c r="C98" s="215">
        <f t="shared" ref="C98:C101" si="13">B98</f>
        <v>6</v>
      </c>
      <c r="D98" s="133"/>
      <c r="E98" s="134"/>
      <c r="F98" s="135"/>
      <c r="G98" s="136"/>
      <c r="H98" s="96"/>
      <c r="I98" s="96"/>
      <c r="J98" s="75"/>
      <c r="K98" s="75"/>
      <c r="L98" s="75"/>
      <c r="M98" s="75"/>
      <c r="N98" s="75"/>
      <c r="O98" s="96"/>
      <c r="P98" s="163"/>
      <c r="Q98" s="109"/>
      <c r="R98" s="111"/>
      <c r="S98" s="100"/>
      <c r="T98" s="110"/>
      <c r="U98" s="110"/>
      <c r="V98" s="100"/>
      <c r="W98" s="100"/>
      <c r="X98" s="100"/>
      <c r="Y98" s="110"/>
      <c r="Z98" s="110"/>
      <c r="AA98" s="100"/>
      <c r="AB98" s="109"/>
      <c r="AC98" s="108"/>
      <c r="AD98" s="109"/>
      <c r="AE98" s="109"/>
      <c r="AF98" s="109"/>
      <c r="AG98" s="109"/>
      <c r="AH98" s="100"/>
      <c r="AI98" s="100"/>
      <c r="AJ98" s="142"/>
      <c r="AK98" s="448"/>
      <c r="AL98" s="111"/>
      <c r="AM98" s="100"/>
      <c r="AN98" s="100"/>
      <c r="AO98" s="111"/>
      <c r="AP98" s="100"/>
      <c r="AQ98" s="100"/>
      <c r="AR98" s="111"/>
      <c r="AS98" s="142"/>
      <c r="AT98" s="150"/>
    </row>
    <row r="99" spans="1:46" ht="16.3">
      <c r="A99" s="91" t="s">
        <v>363</v>
      </c>
      <c r="B99" s="209">
        <f>SUM(B97+B98)</f>
        <v>27</v>
      </c>
      <c r="C99" s="214">
        <f t="shared" si="13"/>
        <v>27</v>
      </c>
      <c r="D99" s="133"/>
      <c r="E99" s="134"/>
      <c r="F99" s="135"/>
      <c r="G99" s="136"/>
      <c r="H99" s="96"/>
      <c r="I99" s="96"/>
      <c r="J99" s="75"/>
      <c r="K99" s="75"/>
      <c r="L99" s="75"/>
      <c r="M99" s="75"/>
      <c r="N99" s="75"/>
      <c r="O99" s="96"/>
      <c r="P99" s="163"/>
      <c r="Q99" s="109"/>
      <c r="R99" s="111"/>
      <c r="S99" s="100"/>
      <c r="T99" s="110"/>
      <c r="U99" s="110"/>
      <c r="V99" s="100"/>
      <c r="W99" s="100"/>
      <c r="X99" s="100"/>
      <c r="Y99" s="110"/>
      <c r="Z99" s="110"/>
      <c r="AA99" s="100"/>
      <c r="AB99" s="109"/>
      <c r="AC99" s="108"/>
      <c r="AD99" s="109"/>
      <c r="AE99" s="109"/>
      <c r="AF99" s="109"/>
      <c r="AG99" s="109"/>
      <c r="AH99" s="100"/>
      <c r="AI99" s="100"/>
      <c r="AJ99" s="142"/>
      <c r="AK99" s="448"/>
      <c r="AL99" s="111"/>
      <c r="AM99" s="100"/>
      <c r="AN99" s="100"/>
      <c r="AO99" s="111"/>
      <c r="AP99" s="100"/>
      <c r="AQ99" s="100"/>
      <c r="AR99" s="111"/>
      <c r="AS99" s="142"/>
      <c r="AT99" s="150"/>
    </row>
    <row r="100" spans="1:46" ht="16.3">
      <c r="A100" s="91" t="s">
        <v>3</v>
      </c>
      <c r="B100" s="209">
        <f>SUM(J100+K100+L100+M100+N100+S100+V100+W100+X100+AA100+AI100+AJ100+AI100+AM100+AP100+AQ100+AS100+AT100+AU100+AV100)+7</f>
        <v>7</v>
      </c>
      <c r="C100" s="214">
        <f t="shared" si="13"/>
        <v>7</v>
      </c>
      <c r="D100" s="133"/>
      <c r="E100" s="134"/>
      <c r="F100" s="135"/>
      <c r="G100" s="136"/>
      <c r="H100" s="96">
        <v>1</v>
      </c>
      <c r="I100" s="96"/>
      <c r="J100" s="75"/>
      <c r="K100" s="75"/>
      <c r="L100" s="168"/>
      <c r="M100" s="75"/>
      <c r="N100" s="75"/>
      <c r="O100" s="96"/>
      <c r="P100" s="163"/>
      <c r="Q100" s="109"/>
      <c r="R100" s="111"/>
      <c r="S100" s="100"/>
      <c r="T100" s="110"/>
      <c r="U100" s="110"/>
      <c r="V100" s="100"/>
      <c r="W100" s="100"/>
      <c r="X100" s="100"/>
      <c r="Y100" s="110"/>
      <c r="Z100" s="110"/>
      <c r="AA100" s="100"/>
      <c r="AB100" s="109"/>
      <c r="AC100" s="108"/>
      <c r="AD100" s="109"/>
      <c r="AE100" s="109"/>
      <c r="AF100" s="109"/>
      <c r="AG100" s="109"/>
      <c r="AH100" s="100"/>
      <c r="AI100" s="100"/>
      <c r="AJ100" s="142"/>
      <c r="AK100" s="448"/>
      <c r="AL100" s="111"/>
      <c r="AM100" s="100"/>
      <c r="AN100" s="100"/>
      <c r="AO100" s="111"/>
      <c r="AP100" s="100"/>
      <c r="AQ100" s="100"/>
      <c r="AR100" s="111"/>
      <c r="AS100" s="142"/>
      <c r="AT100" s="150"/>
    </row>
    <row r="101" spans="1:46" ht="17" thickBot="1">
      <c r="A101" s="92" t="s">
        <v>4</v>
      </c>
      <c r="B101" s="212">
        <f>SUM(J101+K101+L101+M101+N101+S101+V101+W101+X101+AA101+AI101+AJ101+AI101+AM101+AP101+AQ101+AS101+AT101+AU101+AV101)+35</f>
        <v>35</v>
      </c>
      <c r="C101" s="217">
        <f t="shared" si="13"/>
        <v>35</v>
      </c>
      <c r="D101" s="144"/>
      <c r="E101" s="145"/>
      <c r="F101" s="146"/>
      <c r="G101" s="147"/>
      <c r="H101" s="114">
        <v>5</v>
      </c>
      <c r="I101" s="114"/>
      <c r="J101" s="112"/>
      <c r="K101" s="112"/>
      <c r="L101" s="112"/>
      <c r="M101" s="112"/>
      <c r="N101" s="112"/>
      <c r="O101" s="114"/>
      <c r="P101" s="164"/>
      <c r="Q101" s="118"/>
      <c r="R101" s="121"/>
      <c r="S101" s="116"/>
      <c r="T101" s="120"/>
      <c r="U101" s="120"/>
      <c r="V101" s="116"/>
      <c r="W101" s="116"/>
      <c r="X101" s="116"/>
      <c r="Y101" s="120"/>
      <c r="Z101" s="120"/>
      <c r="AA101" s="116"/>
      <c r="AB101" s="118"/>
      <c r="AC101" s="117"/>
      <c r="AD101" s="118"/>
      <c r="AE101" s="118"/>
      <c r="AF101" s="118"/>
      <c r="AG101" s="118"/>
      <c r="AH101" s="116"/>
      <c r="AI101" s="116"/>
      <c r="AJ101" s="149"/>
      <c r="AK101" s="449"/>
      <c r="AL101" s="121"/>
      <c r="AM101" s="116"/>
      <c r="AN101" s="116"/>
      <c r="AO101" s="121"/>
      <c r="AP101" s="116"/>
      <c r="AQ101" s="116"/>
      <c r="AR101" s="121"/>
      <c r="AS101" s="149"/>
      <c r="AT101" s="176"/>
    </row>
    <row r="102" spans="1:46" ht="21.1">
      <c r="A102" s="89" t="s">
        <v>210</v>
      </c>
      <c r="B102" s="209"/>
      <c r="C102" s="214"/>
      <c r="D102" s="133"/>
      <c r="E102" s="134"/>
      <c r="F102" s="135"/>
      <c r="G102" s="136"/>
      <c r="H102" s="96"/>
      <c r="I102" s="96"/>
      <c r="J102" s="75">
        <v>12</v>
      </c>
      <c r="K102" s="75">
        <v>12</v>
      </c>
      <c r="L102" s="75" t="s">
        <v>381</v>
      </c>
      <c r="M102" s="75" t="s">
        <v>339</v>
      </c>
      <c r="N102" s="75" t="s">
        <v>339</v>
      </c>
      <c r="O102" s="96" t="s">
        <v>339</v>
      </c>
      <c r="P102" s="163"/>
      <c r="Q102" s="109" t="s">
        <v>339</v>
      </c>
      <c r="R102" s="111"/>
      <c r="S102" s="100">
        <v>12</v>
      </c>
      <c r="T102" s="110">
        <v>12</v>
      </c>
      <c r="U102" s="110"/>
      <c r="V102" s="100" t="s">
        <v>904</v>
      </c>
      <c r="W102" s="100">
        <v>12</v>
      </c>
      <c r="X102" s="100" t="s">
        <v>763</v>
      </c>
      <c r="Y102" s="110" t="s">
        <v>763</v>
      </c>
      <c r="Z102" s="110">
        <v>12</v>
      </c>
      <c r="AA102" s="100">
        <v>12</v>
      </c>
      <c r="AB102" s="109" t="s">
        <v>775</v>
      </c>
      <c r="AC102" s="108" t="s">
        <v>0</v>
      </c>
      <c r="AD102" s="109" t="s">
        <v>775</v>
      </c>
      <c r="AE102" s="109" t="s">
        <v>775</v>
      </c>
      <c r="AF102" s="109" t="s">
        <v>381</v>
      </c>
      <c r="AG102" s="109"/>
      <c r="AH102" s="100"/>
      <c r="AI102" s="100"/>
      <c r="AJ102" s="142"/>
      <c r="AK102" s="448"/>
      <c r="AL102" s="111"/>
      <c r="AM102" s="100"/>
      <c r="AN102" s="100"/>
      <c r="AO102" s="111"/>
      <c r="AP102" s="100"/>
      <c r="AQ102" s="100"/>
      <c r="AR102" s="111"/>
      <c r="AS102" s="142"/>
      <c r="AT102" s="150"/>
    </row>
    <row r="103" spans="1:46" ht="16.3">
      <c r="A103" s="611" t="s">
        <v>1</v>
      </c>
      <c r="B103" s="210">
        <f>SUM(J103+K103+L103+M103+N103+S103+V103+W103+X103+AA103+AI103+AJ103+AI103+AM103+AP103+AQ103+AS103+AT103+AU103+AV103+AN103)+39</f>
        <v>47</v>
      </c>
      <c r="C103" s="215">
        <f>SUM(J103+K103+L103+M103+N103+S103+W103+X103+V103+AA103+AJ103+AI103+AJ103+AN103+AQ103+AM103+AT103+AU103+AV103+AW103+AP103+AS103)+41</f>
        <v>49</v>
      </c>
      <c r="D103" s="133"/>
      <c r="E103" s="134"/>
      <c r="F103" s="135"/>
      <c r="G103" s="136"/>
      <c r="H103" s="96"/>
      <c r="I103" s="96"/>
      <c r="J103" s="75">
        <v>1</v>
      </c>
      <c r="K103" s="75">
        <v>1</v>
      </c>
      <c r="L103" s="75">
        <v>1</v>
      </c>
      <c r="M103" s="75"/>
      <c r="N103" s="75"/>
      <c r="O103" s="96"/>
      <c r="P103" s="163"/>
      <c r="Q103" s="109"/>
      <c r="R103" s="111"/>
      <c r="S103" s="100">
        <v>1</v>
      </c>
      <c r="T103" s="110">
        <v>1</v>
      </c>
      <c r="U103" s="110"/>
      <c r="V103" s="100">
        <v>1</v>
      </c>
      <c r="W103" s="100">
        <v>1</v>
      </c>
      <c r="X103" s="100">
        <v>1</v>
      </c>
      <c r="Y103" s="110">
        <v>1</v>
      </c>
      <c r="Z103" s="110">
        <v>1</v>
      </c>
      <c r="AA103" s="100">
        <v>1</v>
      </c>
      <c r="AB103" s="109"/>
      <c r="AC103" s="108"/>
      <c r="AD103" s="109"/>
      <c r="AE103" s="109"/>
      <c r="AF103" s="109">
        <v>1</v>
      </c>
      <c r="AG103" s="109"/>
      <c r="AH103" s="100"/>
      <c r="AI103" s="100"/>
      <c r="AJ103" s="142"/>
      <c r="AK103" s="448"/>
      <c r="AL103" s="111"/>
      <c r="AM103" s="100"/>
      <c r="AN103" s="100"/>
      <c r="AO103" s="111"/>
      <c r="AP103" s="100"/>
      <c r="AQ103" s="100"/>
      <c r="AR103" s="111"/>
      <c r="AS103" s="142"/>
      <c r="AT103" s="150"/>
    </row>
    <row r="104" spans="1:46" ht="16.3">
      <c r="A104" s="611" t="s">
        <v>2</v>
      </c>
      <c r="B104" s="210">
        <f>SUM(J104+K104+L104+M104+N104+S104+V104+W104+X104+AA104+AI104+AJ104+AI104+AM104+AP104+AQ104+AS104+AT104+AU104+AV104)+3</f>
        <v>3</v>
      </c>
      <c r="C104" s="215">
        <f>SUM(J104+K104+L104+M104+N104+S104+W104+X104+V104+AA104+AJ104+AI104+AJ104+AN104+AQ104+AM104+AT104+AU104+AV104+AW104+AP104+AS104)+5</f>
        <v>5</v>
      </c>
      <c r="D104" s="133"/>
      <c r="E104" s="134"/>
      <c r="F104" s="135"/>
      <c r="G104" s="136"/>
      <c r="H104" s="96"/>
      <c r="I104" s="96"/>
      <c r="J104" s="75"/>
      <c r="K104" s="75"/>
      <c r="L104" s="75"/>
      <c r="M104" s="75"/>
      <c r="N104" s="75"/>
      <c r="O104" s="96"/>
      <c r="P104" s="163"/>
      <c r="Q104" s="109"/>
      <c r="R104" s="111"/>
      <c r="S104" s="100"/>
      <c r="T104" s="110"/>
      <c r="U104" s="110"/>
      <c r="V104" s="100"/>
      <c r="W104" s="100"/>
      <c r="X104" s="100"/>
      <c r="Y104" s="110"/>
      <c r="Z104" s="110"/>
      <c r="AA104" s="100"/>
      <c r="AB104" s="109"/>
      <c r="AC104" s="108"/>
      <c r="AD104" s="109"/>
      <c r="AE104" s="109"/>
      <c r="AF104" s="109"/>
      <c r="AG104" s="109"/>
      <c r="AH104" s="100"/>
      <c r="AI104" s="100"/>
      <c r="AJ104" s="142"/>
      <c r="AK104" s="448"/>
      <c r="AL104" s="111"/>
      <c r="AM104" s="100"/>
      <c r="AN104" s="100"/>
      <c r="AO104" s="111"/>
      <c r="AP104" s="100"/>
      <c r="AQ104" s="100"/>
      <c r="AR104" s="111"/>
      <c r="AS104" s="142"/>
      <c r="AT104" s="150"/>
    </row>
    <row r="105" spans="1:46" ht="16.3">
      <c r="A105" s="91" t="s">
        <v>363</v>
      </c>
      <c r="B105" s="209">
        <f>SUM(B103+B104)</f>
        <v>50</v>
      </c>
      <c r="C105" s="214">
        <f>SUM(C103+C104)</f>
        <v>54</v>
      </c>
      <c r="D105" s="133"/>
      <c r="E105" s="134"/>
      <c r="F105" s="135"/>
      <c r="G105" s="136"/>
      <c r="H105" s="96"/>
      <c r="I105" s="96"/>
      <c r="J105" s="75"/>
      <c r="K105" s="75"/>
      <c r="L105" s="75"/>
      <c r="M105" s="75"/>
      <c r="N105" s="75"/>
      <c r="O105" s="96"/>
      <c r="P105" s="163"/>
      <c r="Q105" s="109"/>
      <c r="R105" s="111"/>
      <c r="S105" s="100"/>
      <c r="T105" s="110"/>
      <c r="U105" s="110"/>
      <c r="V105" s="100"/>
      <c r="W105" s="100"/>
      <c r="X105" s="100"/>
      <c r="Y105" s="110"/>
      <c r="Z105" s="110"/>
      <c r="AA105" s="100"/>
      <c r="AB105" s="109"/>
      <c r="AC105" s="108"/>
      <c r="AD105" s="109"/>
      <c r="AE105" s="109"/>
      <c r="AF105" s="109"/>
      <c r="AG105" s="109"/>
      <c r="AH105" s="100"/>
      <c r="AI105" s="100"/>
      <c r="AJ105" s="142"/>
      <c r="AK105" s="448"/>
      <c r="AL105" s="111"/>
      <c r="AM105" s="100"/>
      <c r="AN105" s="100"/>
      <c r="AO105" s="111"/>
      <c r="AP105" s="100"/>
      <c r="AQ105" s="100"/>
      <c r="AR105" s="111"/>
      <c r="AS105" s="142"/>
      <c r="AT105" s="150"/>
    </row>
    <row r="106" spans="1:46" ht="16.3">
      <c r="A106" s="611" t="s">
        <v>366</v>
      </c>
      <c r="B106" s="210">
        <f>SUM(J106+K106+L106+M106+N106+S106+V106+W106+X106+AA106+AI106+AJ106+AI106+AM106+AP106+AQ106+AS106+AT106+AU106+AV106)</f>
        <v>1</v>
      </c>
      <c r="C106" s="215">
        <f>SUM(J106+K106+L106+M106+N106+S106+W106+X106+V106+AA106+AJ106+AI106+AJ106+AN106+AQ106+AM106+AT106+AU106+AV106+AW106+AP106+AS106)</f>
        <v>1</v>
      </c>
      <c r="D106" s="133"/>
      <c r="E106" s="134"/>
      <c r="F106" s="135"/>
      <c r="G106" s="136"/>
      <c r="H106" s="96"/>
      <c r="I106" s="96"/>
      <c r="J106" s="75"/>
      <c r="K106" s="75"/>
      <c r="L106" s="75"/>
      <c r="M106" s="75"/>
      <c r="N106" s="75"/>
      <c r="O106" s="96"/>
      <c r="P106" s="163"/>
      <c r="Q106" s="109"/>
      <c r="R106" s="111"/>
      <c r="S106" s="100"/>
      <c r="T106" s="110"/>
      <c r="U106" s="110"/>
      <c r="V106" s="100"/>
      <c r="W106" s="100"/>
      <c r="X106" s="100">
        <v>1</v>
      </c>
      <c r="Y106" s="110">
        <v>1</v>
      </c>
      <c r="Z106" s="110"/>
      <c r="AA106" s="100"/>
      <c r="AB106" s="109"/>
      <c r="AC106" s="108"/>
      <c r="AD106" s="109"/>
      <c r="AE106" s="109"/>
      <c r="AF106" s="109"/>
      <c r="AG106" s="109"/>
      <c r="AH106" s="100"/>
      <c r="AI106" s="100"/>
      <c r="AJ106" s="142"/>
      <c r="AK106" s="448"/>
      <c r="AL106" s="111"/>
      <c r="AM106" s="100"/>
      <c r="AN106" s="100"/>
      <c r="AO106" s="111"/>
      <c r="AP106" s="100"/>
      <c r="AQ106" s="100"/>
      <c r="AR106" s="111"/>
      <c r="AS106" s="142"/>
      <c r="AT106" s="150"/>
    </row>
    <row r="107" spans="1:46" ht="16.3">
      <c r="A107" s="91" t="s">
        <v>3</v>
      </c>
      <c r="B107" s="209">
        <f>SUM(J107+K107+L107+M107+N107+S107+V107+W107+X107+AA107+AI107+AJ107+AI107+AM107+AP107+AQ107+AS107+AT107+AU107+AV107)+9</f>
        <v>10</v>
      </c>
      <c r="C107" s="214">
        <f>SUM(J107+K107+L107+M107+N107+S107+W107+X107+V107+AA107+AJ107+AI107+AJ107+AN107+AQ107+AM107+AT107+AU107+AV107+AW107+AP107+AS107)+10</f>
        <v>11</v>
      </c>
      <c r="D107" s="133"/>
      <c r="E107" s="134"/>
      <c r="F107" s="135"/>
      <c r="G107" s="136"/>
      <c r="H107" s="96"/>
      <c r="I107" s="96"/>
      <c r="J107" s="75"/>
      <c r="K107" s="75"/>
      <c r="L107" s="75"/>
      <c r="M107" s="75"/>
      <c r="N107" s="75"/>
      <c r="O107" s="96"/>
      <c r="P107" s="163"/>
      <c r="Q107" s="109"/>
      <c r="R107" s="111"/>
      <c r="S107" s="100"/>
      <c r="T107" s="110"/>
      <c r="U107" s="110"/>
      <c r="V107" s="100"/>
      <c r="W107" s="100"/>
      <c r="X107" s="100"/>
      <c r="Y107" s="110"/>
      <c r="Z107" s="110"/>
      <c r="AA107" s="100">
        <v>1</v>
      </c>
      <c r="AB107" s="109"/>
      <c r="AC107" s="108"/>
      <c r="AD107" s="109"/>
      <c r="AE107" s="109"/>
      <c r="AF107" s="109"/>
      <c r="AG107" s="109"/>
      <c r="AH107" s="100"/>
      <c r="AI107" s="150"/>
      <c r="AJ107" s="142"/>
      <c r="AK107" s="448"/>
      <c r="AL107" s="111"/>
      <c r="AM107" s="100"/>
      <c r="AN107" s="100"/>
      <c r="AO107" s="111"/>
      <c r="AP107" s="100"/>
      <c r="AQ107" s="100"/>
      <c r="AR107" s="111"/>
      <c r="AS107" s="142"/>
      <c r="AT107" s="150"/>
    </row>
    <row r="108" spans="1:46" ht="17" thickBot="1">
      <c r="A108" s="92" t="s">
        <v>4</v>
      </c>
      <c r="B108" s="212">
        <f>SUM(J108+K108+L108+M108+N108+S108+V108+W108+X108+AA108+AI108+AJ108+AI108+AM108+AP108+AQ108+AS108+AT108+AU108+AV108)+45</f>
        <v>50</v>
      </c>
      <c r="C108" s="217">
        <f>SUM(J108+K108+L108+M108+N108+S108+W108+X108+V108+AA108+AJ108+AI108+AJ108+AN108+AQ108+AM108+AT108+AU108+AV108+AW108+AP108+AS108)+50</f>
        <v>55</v>
      </c>
      <c r="D108" s="144"/>
      <c r="E108" s="145"/>
      <c r="F108" s="146"/>
      <c r="G108" s="147"/>
      <c r="H108" s="114"/>
      <c r="I108" s="114"/>
      <c r="J108" s="112"/>
      <c r="K108" s="112"/>
      <c r="L108" s="112"/>
      <c r="M108" s="112"/>
      <c r="N108" s="112"/>
      <c r="O108" s="114"/>
      <c r="P108" s="164"/>
      <c r="Q108" s="118"/>
      <c r="R108" s="121"/>
      <c r="S108" s="116"/>
      <c r="T108" s="120"/>
      <c r="U108" s="120"/>
      <c r="V108" s="116"/>
      <c r="W108" s="116"/>
      <c r="X108" s="116"/>
      <c r="Y108" s="120"/>
      <c r="Z108" s="120"/>
      <c r="AA108" s="116">
        <v>5</v>
      </c>
      <c r="AB108" s="118"/>
      <c r="AC108" s="117"/>
      <c r="AD108" s="118"/>
      <c r="AE108" s="118"/>
      <c r="AF108" s="118"/>
      <c r="AG108" s="118"/>
      <c r="AH108" s="116"/>
      <c r="AI108" s="116"/>
      <c r="AJ108" s="149"/>
      <c r="AK108" s="449"/>
      <c r="AL108" s="121"/>
      <c r="AM108" s="116"/>
      <c r="AN108" s="116"/>
      <c r="AO108" s="121"/>
      <c r="AP108" s="116"/>
      <c r="AQ108" s="116"/>
      <c r="AR108" s="121"/>
      <c r="AS108" s="149"/>
      <c r="AT108" s="176"/>
    </row>
    <row r="109" spans="1:46" ht="21.1">
      <c r="A109" s="90" t="s">
        <v>583</v>
      </c>
      <c r="B109" s="209"/>
      <c r="C109" s="214"/>
      <c r="D109" s="133"/>
      <c r="E109" s="134"/>
      <c r="F109" s="135"/>
      <c r="G109" s="136"/>
      <c r="H109" s="124" t="s">
        <v>384</v>
      </c>
      <c r="I109" s="124"/>
      <c r="J109" s="122">
        <v>10</v>
      </c>
      <c r="K109" s="122" t="s">
        <v>714</v>
      </c>
      <c r="L109" s="122">
        <v>10</v>
      </c>
      <c r="M109" s="122">
        <v>10</v>
      </c>
      <c r="N109" s="122">
        <v>10</v>
      </c>
      <c r="O109" s="124"/>
      <c r="P109" s="163"/>
      <c r="Q109" s="109"/>
      <c r="R109" s="111"/>
      <c r="S109" s="100">
        <v>10</v>
      </c>
      <c r="T109" s="101">
        <v>10</v>
      </c>
      <c r="U109" s="101"/>
      <c r="V109" s="102">
        <v>10</v>
      </c>
      <c r="W109" s="102">
        <v>10</v>
      </c>
      <c r="X109" s="102">
        <v>10</v>
      </c>
      <c r="Y109" s="101" t="s">
        <v>393</v>
      </c>
      <c r="Z109" s="101" t="s">
        <v>375</v>
      </c>
      <c r="AA109" s="102" t="s">
        <v>393</v>
      </c>
      <c r="AB109" s="99" t="s">
        <v>375</v>
      </c>
      <c r="AC109" s="98"/>
      <c r="AD109" s="99" t="s">
        <v>375</v>
      </c>
      <c r="AE109" s="99" t="s">
        <v>375</v>
      </c>
      <c r="AF109" s="99"/>
      <c r="AG109" s="99"/>
      <c r="AH109" s="102"/>
      <c r="AI109" s="102"/>
      <c r="AJ109" s="138"/>
      <c r="AK109" s="446"/>
      <c r="AL109" s="103"/>
      <c r="AM109" s="102"/>
      <c r="AN109" s="102"/>
      <c r="AO109" s="103"/>
      <c r="AP109" s="102"/>
      <c r="AQ109" s="102"/>
      <c r="AR109" s="103"/>
      <c r="AS109" s="138"/>
      <c r="AT109" s="478"/>
    </row>
    <row r="110" spans="1:46" ht="16.3">
      <c r="A110" s="611" t="s">
        <v>1</v>
      </c>
      <c r="B110" s="210">
        <f>SUM(J110+K110+L110+M110+N110+S110+V110+W110+X110+AA110+AI110+AJ110+AI110+AM110+AP110+AQ110+AS110+AT110+AU110+AV110+AN110)</f>
        <v>9</v>
      </c>
      <c r="C110" s="215">
        <f>B110</f>
        <v>9</v>
      </c>
      <c r="D110" s="133"/>
      <c r="E110" s="134"/>
      <c r="F110" s="135"/>
      <c r="G110" s="136"/>
      <c r="H110" s="96">
        <v>1</v>
      </c>
      <c r="I110" s="96"/>
      <c r="J110" s="75">
        <v>1</v>
      </c>
      <c r="K110" s="75">
        <v>1</v>
      </c>
      <c r="L110" s="75">
        <v>1</v>
      </c>
      <c r="M110" s="75">
        <v>1</v>
      </c>
      <c r="N110" s="75">
        <v>1</v>
      </c>
      <c r="O110" s="96"/>
      <c r="P110" s="105"/>
      <c r="Q110" s="96"/>
      <c r="R110" s="107"/>
      <c r="S110" s="75">
        <v>1</v>
      </c>
      <c r="T110" s="106">
        <v>1</v>
      </c>
      <c r="U110" s="106"/>
      <c r="V110" s="75">
        <v>1</v>
      </c>
      <c r="W110" s="75">
        <v>1</v>
      </c>
      <c r="X110" s="75">
        <v>1</v>
      </c>
      <c r="Y110" s="106"/>
      <c r="Z110" s="106"/>
      <c r="AA110" s="75"/>
      <c r="AB110" s="96"/>
      <c r="AC110" s="105"/>
      <c r="AD110" s="96"/>
      <c r="AE110" s="96"/>
      <c r="AF110" s="96"/>
      <c r="AG110" s="96"/>
      <c r="AH110" s="75"/>
      <c r="AI110" s="75"/>
      <c r="AJ110" s="141"/>
      <c r="AK110" s="447"/>
      <c r="AL110" s="107"/>
      <c r="AM110" s="75"/>
      <c r="AN110" s="75"/>
      <c r="AO110" s="107"/>
      <c r="AP110" s="75"/>
      <c r="AQ110" s="75"/>
      <c r="AR110" s="107"/>
      <c r="AS110" s="141"/>
      <c r="AT110" s="168"/>
    </row>
    <row r="111" spans="1:46" ht="16.3">
      <c r="A111" s="611" t="s">
        <v>2</v>
      </c>
      <c r="B111" s="210">
        <f>SUM(J111+K111+L111+M111+N111+S111+V111+W111+X111+AA111+AI111+AJ111+AI111+AM111+AP111+AQ111+AS111+AT111+AU111+AV111)</f>
        <v>0</v>
      </c>
      <c r="C111" s="215">
        <f t="shared" ref="C111:C115" si="14">B111</f>
        <v>0</v>
      </c>
      <c r="D111" s="133"/>
      <c r="E111" s="134"/>
      <c r="F111" s="135"/>
      <c r="G111" s="136"/>
      <c r="H111" s="96"/>
      <c r="I111" s="96"/>
      <c r="J111" s="75"/>
      <c r="K111" s="75"/>
      <c r="L111" s="75"/>
      <c r="M111" s="75"/>
      <c r="N111" s="75"/>
      <c r="O111" s="96"/>
      <c r="P111" s="163"/>
      <c r="Q111" s="109"/>
      <c r="R111" s="111"/>
      <c r="S111" s="100"/>
      <c r="T111" s="110"/>
      <c r="U111" s="110"/>
      <c r="V111" s="100"/>
      <c r="W111" s="100"/>
      <c r="X111" s="100"/>
      <c r="Y111" s="110"/>
      <c r="Z111" s="110">
        <v>1</v>
      </c>
      <c r="AA111" s="100"/>
      <c r="AB111" s="109">
        <v>1</v>
      </c>
      <c r="AC111" s="108"/>
      <c r="AD111" s="109">
        <v>1</v>
      </c>
      <c r="AE111" s="109">
        <v>1</v>
      </c>
      <c r="AF111" s="109"/>
      <c r="AG111" s="109"/>
      <c r="AH111" s="100"/>
      <c r="AI111" s="100"/>
      <c r="AJ111" s="142"/>
      <c r="AK111" s="448"/>
      <c r="AL111" s="111"/>
      <c r="AM111" s="100"/>
      <c r="AN111" s="100"/>
      <c r="AO111" s="111"/>
      <c r="AP111" s="100"/>
      <c r="AQ111" s="100"/>
      <c r="AR111" s="111"/>
      <c r="AS111" s="142"/>
      <c r="AT111" s="150"/>
    </row>
    <row r="112" spans="1:46" ht="16.3">
      <c r="A112" s="91" t="s">
        <v>363</v>
      </c>
      <c r="B112" s="209">
        <f>SUM(B110+B111)</f>
        <v>9</v>
      </c>
      <c r="C112" s="214">
        <f t="shared" si="14"/>
        <v>9</v>
      </c>
      <c r="D112" s="133"/>
      <c r="E112" s="134"/>
      <c r="F112" s="135"/>
      <c r="G112" s="136"/>
      <c r="H112" s="96"/>
      <c r="I112" s="96"/>
      <c r="J112" s="75"/>
      <c r="K112" s="75"/>
      <c r="L112" s="75"/>
      <c r="M112" s="75"/>
      <c r="N112" s="75"/>
      <c r="O112" s="96"/>
      <c r="P112" s="163"/>
      <c r="Q112" s="109"/>
      <c r="R112" s="111"/>
      <c r="S112" s="100"/>
      <c r="T112" s="110"/>
      <c r="U112" s="110"/>
      <c r="V112" s="100"/>
      <c r="W112" s="100"/>
      <c r="X112" s="100"/>
      <c r="Y112" s="110"/>
      <c r="Z112" s="110"/>
      <c r="AA112" s="100"/>
      <c r="AB112" s="109"/>
      <c r="AC112" s="108"/>
      <c r="AD112" s="109"/>
      <c r="AE112" s="109"/>
      <c r="AF112" s="109"/>
      <c r="AG112" s="109"/>
      <c r="AH112" s="100"/>
      <c r="AI112" s="100"/>
      <c r="AJ112" s="142"/>
      <c r="AK112" s="448"/>
      <c r="AL112" s="111"/>
      <c r="AM112" s="100"/>
      <c r="AN112" s="100"/>
      <c r="AO112" s="111"/>
      <c r="AP112" s="100"/>
      <c r="AQ112" s="100"/>
      <c r="AR112" s="111"/>
      <c r="AS112" s="142"/>
      <c r="AT112" s="150"/>
    </row>
    <row r="113" spans="1:46" ht="16.3">
      <c r="A113" s="611" t="s">
        <v>362</v>
      </c>
      <c r="B113" s="210">
        <f>SUM(J113+K113+L113+M113+N113+S113+V113+W113+X113+AA113+AI113+AJ113+AI113+AM113+AP113+AQ113+AS113+AT113+AU113+AV113)</f>
        <v>1</v>
      </c>
      <c r="C113" s="215">
        <f t="shared" si="14"/>
        <v>1</v>
      </c>
      <c r="D113" s="133"/>
      <c r="E113" s="134"/>
      <c r="F113" s="135"/>
      <c r="G113" s="136"/>
      <c r="H113" s="96"/>
      <c r="I113" s="96"/>
      <c r="J113" s="75"/>
      <c r="K113" s="75">
        <v>1</v>
      </c>
      <c r="L113" s="75"/>
      <c r="M113" s="75"/>
      <c r="N113" s="75"/>
      <c r="O113" s="96"/>
      <c r="P113" s="163"/>
      <c r="Q113" s="109"/>
      <c r="R113" s="111"/>
      <c r="S113" s="100"/>
      <c r="T113" s="110"/>
      <c r="U113" s="110"/>
      <c r="V113" s="100"/>
      <c r="W113" s="100"/>
      <c r="X113" s="100"/>
      <c r="Y113" s="110"/>
      <c r="Z113" s="110"/>
      <c r="AA113" s="100"/>
      <c r="AB113" s="109"/>
      <c r="AC113" s="108"/>
      <c r="AD113" s="109"/>
      <c r="AE113" s="109"/>
      <c r="AF113" s="109"/>
      <c r="AG113" s="109"/>
      <c r="AH113" s="100"/>
      <c r="AI113" s="100"/>
      <c r="AJ113" s="142"/>
      <c r="AK113" s="448"/>
      <c r="AL113" s="111"/>
      <c r="AM113" s="100"/>
      <c r="AN113" s="100"/>
      <c r="AO113" s="111"/>
      <c r="AP113" s="100"/>
      <c r="AQ113" s="100"/>
      <c r="AR113" s="111"/>
      <c r="AS113" s="142"/>
      <c r="AT113" s="150"/>
    </row>
    <row r="114" spans="1:46" ht="16.3">
      <c r="A114" s="611" t="s">
        <v>5</v>
      </c>
      <c r="B114" s="210">
        <f>SUM(J114+K114+L114+M114+N114+S114+V114+W114+X114+AA114+AI114+AJ114+AI114+AM114+AP114+AQ114+AS114+AT114+AU114+AV114)</f>
        <v>23</v>
      </c>
      <c r="C114" s="215">
        <f t="shared" si="14"/>
        <v>23</v>
      </c>
      <c r="D114" s="133"/>
      <c r="E114" s="134"/>
      <c r="F114" s="135"/>
      <c r="G114" s="136"/>
      <c r="H114" s="96">
        <v>3</v>
      </c>
      <c r="I114" s="96"/>
      <c r="J114" s="75">
        <v>2</v>
      </c>
      <c r="K114" s="75">
        <v>5</v>
      </c>
      <c r="L114" s="75">
        <v>1</v>
      </c>
      <c r="M114" s="75">
        <v>4</v>
      </c>
      <c r="N114" s="75">
        <v>1</v>
      </c>
      <c r="O114" s="96"/>
      <c r="P114" s="163"/>
      <c r="Q114" s="109"/>
      <c r="R114" s="111"/>
      <c r="S114" s="100">
        <v>3</v>
      </c>
      <c r="T114" s="110">
        <v>6</v>
      </c>
      <c r="U114" s="110"/>
      <c r="V114" s="100">
        <v>2</v>
      </c>
      <c r="W114" s="100">
        <v>3</v>
      </c>
      <c r="X114" s="100">
        <v>2</v>
      </c>
      <c r="Y114" s="110"/>
      <c r="Z114" s="110"/>
      <c r="AA114" s="100"/>
      <c r="AB114" s="109"/>
      <c r="AC114" s="108"/>
      <c r="AD114" s="109"/>
      <c r="AE114" s="109"/>
      <c r="AF114" s="109"/>
      <c r="AG114" s="109"/>
      <c r="AH114" s="100"/>
      <c r="AI114" s="100"/>
      <c r="AJ114" s="142"/>
      <c r="AK114" s="448"/>
      <c r="AL114" s="111"/>
      <c r="AM114" s="100"/>
      <c r="AN114" s="100"/>
      <c r="AO114" s="111"/>
      <c r="AP114" s="100"/>
      <c r="AQ114" s="100"/>
      <c r="AR114" s="111"/>
      <c r="AS114" s="142"/>
      <c r="AT114" s="150"/>
    </row>
    <row r="115" spans="1:46" ht="16.3">
      <c r="A115" s="611" t="s">
        <v>6</v>
      </c>
      <c r="B115" s="210">
        <f>SUM(J115+K115+L115+M115+N115+S115+V115+W115+X115+AA115+AI115+AJ115+AI115+AM115+AP115+AQ115+AS115+AT115+AU115+AV115)</f>
        <v>31</v>
      </c>
      <c r="C115" s="215">
        <f t="shared" si="14"/>
        <v>31</v>
      </c>
      <c r="D115" s="133"/>
      <c r="E115" s="134"/>
      <c r="F115" s="135"/>
      <c r="G115" s="136"/>
      <c r="H115" s="96">
        <v>4</v>
      </c>
      <c r="I115" s="96"/>
      <c r="J115" s="75">
        <v>2</v>
      </c>
      <c r="K115" s="75">
        <v>5</v>
      </c>
      <c r="L115" s="75">
        <v>3</v>
      </c>
      <c r="M115" s="75">
        <v>7</v>
      </c>
      <c r="N115" s="75">
        <v>2</v>
      </c>
      <c r="O115" s="96"/>
      <c r="P115" s="163"/>
      <c r="Q115" s="109"/>
      <c r="R115" s="111"/>
      <c r="S115" s="100">
        <v>4</v>
      </c>
      <c r="T115" s="110">
        <v>6</v>
      </c>
      <c r="U115" s="110"/>
      <c r="V115" s="100">
        <v>2</v>
      </c>
      <c r="W115" s="100">
        <v>3</v>
      </c>
      <c r="X115" s="100">
        <v>3</v>
      </c>
      <c r="Y115" s="110"/>
      <c r="Z115" s="110"/>
      <c r="AA115" s="100"/>
      <c r="AB115" s="109"/>
      <c r="AC115" s="108"/>
      <c r="AD115" s="109"/>
      <c r="AE115" s="109"/>
      <c r="AF115" s="109"/>
      <c r="AG115" s="109"/>
      <c r="AH115" s="100"/>
      <c r="AI115" s="100"/>
      <c r="AJ115" s="142"/>
      <c r="AK115" s="448"/>
      <c r="AL115" s="111"/>
      <c r="AM115" s="100"/>
      <c r="AN115" s="100"/>
      <c r="AO115" s="111"/>
      <c r="AP115" s="100"/>
      <c r="AQ115" s="100"/>
      <c r="AR115" s="111"/>
      <c r="AS115" s="142"/>
      <c r="AT115" s="150"/>
    </row>
    <row r="116" spans="1:46" ht="16.3">
      <c r="A116" s="611" t="s">
        <v>368</v>
      </c>
      <c r="B116" s="211">
        <f>SUM(B114/B115)*100</f>
        <v>74.193548387096769</v>
      </c>
      <c r="C116" s="216">
        <f>SUM(C114/C115)*100</f>
        <v>74.193548387096769</v>
      </c>
      <c r="D116" s="133"/>
      <c r="E116" s="134"/>
      <c r="F116" s="135"/>
      <c r="G116" s="136"/>
      <c r="H116" s="96">
        <v>75</v>
      </c>
      <c r="I116" s="96"/>
      <c r="J116" s="75">
        <v>100</v>
      </c>
      <c r="K116" s="75">
        <v>100</v>
      </c>
      <c r="L116" s="75">
        <v>33</v>
      </c>
      <c r="M116" s="75">
        <v>57</v>
      </c>
      <c r="N116" s="75">
        <v>50</v>
      </c>
      <c r="O116" s="96"/>
      <c r="P116" s="163"/>
      <c r="Q116" s="109"/>
      <c r="R116" s="111"/>
      <c r="S116" s="100">
        <v>75</v>
      </c>
      <c r="T116" s="110">
        <v>100</v>
      </c>
      <c r="U116" s="110"/>
      <c r="V116" s="100">
        <v>100</v>
      </c>
      <c r="W116" s="100">
        <v>100</v>
      </c>
      <c r="X116" s="100">
        <v>67</v>
      </c>
      <c r="Y116" s="110"/>
      <c r="Z116" s="110"/>
      <c r="AA116" s="100"/>
      <c r="AB116" s="109"/>
      <c r="AC116" s="108"/>
      <c r="AD116" s="109"/>
      <c r="AE116" s="109"/>
      <c r="AF116" s="109"/>
      <c r="AG116" s="109"/>
      <c r="AH116" s="100"/>
      <c r="AI116" s="100"/>
      <c r="AJ116" s="142"/>
      <c r="AK116" s="448"/>
      <c r="AL116" s="111"/>
      <c r="AM116" s="100"/>
      <c r="AN116" s="100"/>
      <c r="AO116" s="111"/>
      <c r="AP116" s="100"/>
      <c r="AQ116" s="100"/>
      <c r="AR116" s="111"/>
      <c r="AS116" s="142"/>
      <c r="AT116" s="150"/>
    </row>
    <row r="117" spans="1:46" ht="16.3">
      <c r="A117" s="91" t="s">
        <v>3</v>
      </c>
      <c r="B117" s="209">
        <f>SUM(J117+K117+L117+M117+N117+S117+V117+W117+X117+AA117+AI117+AJ117+AI117+AM117+AP117+AQ117+AS117+AT117+AU117+AV117)</f>
        <v>0</v>
      </c>
      <c r="C117" s="214">
        <f t="shared" ref="C117:C118" si="15">B117</f>
        <v>0</v>
      </c>
      <c r="D117" s="133"/>
      <c r="E117" s="134"/>
      <c r="F117" s="135"/>
      <c r="G117" s="136"/>
      <c r="H117" s="96"/>
      <c r="I117" s="96"/>
      <c r="J117" s="75"/>
      <c r="K117" s="75"/>
      <c r="L117" s="75"/>
      <c r="M117" s="75"/>
      <c r="N117" s="75"/>
      <c r="O117" s="96"/>
      <c r="P117" s="163"/>
      <c r="Q117" s="109"/>
      <c r="R117" s="111"/>
      <c r="S117" s="100"/>
      <c r="T117" s="110"/>
      <c r="U117" s="110"/>
      <c r="V117" s="100"/>
      <c r="W117" s="100"/>
      <c r="X117" s="100"/>
      <c r="Y117" s="110"/>
      <c r="Z117" s="110"/>
      <c r="AA117" s="100"/>
      <c r="AB117" s="109"/>
      <c r="AC117" s="108"/>
      <c r="AD117" s="109"/>
      <c r="AE117" s="109"/>
      <c r="AF117" s="109"/>
      <c r="AG117" s="109"/>
      <c r="AH117" s="100"/>
      <c r="AI117" s="100"/>
      <c r="AJ117" s="142"/>
      <c r="AK117" s="448"/>
      <c r="AL117" s="111"/>
      <c r="AM117" s="100"/>
      <c r="AN117" s="100"/>
      <c r="AO117" s="111"/>
      <c r="AP117" s="100"/>
      <c r="AQ117" s="100"/>
      <c r="AR117" s="111"/>
      <c r="AS117" s="142"/>
      <c r="AT117" s="150"/>
    </row>
    <row r="118" spans="1:46" ht="17" thickBot="1">
      <c r="A118" s="92" t="s">
        <v>4</v>
      </c>
      <c r="B118" s="212">
        <f>SUM(J118+K118+L118+M118+N118+S118+V118+W118+X118+AA118+AI118+AJ118+AI118+AM118+AP118+AQ118+AS118+AT118+AU118+AV118)</f>
        <v>48</v>
      </c>
      <c r="C118" s="217">
        <f t="shared" si="15"/>
        <v>48</v>
      </c>
      <c r="D118" s="144"/>
      <c r="E118" s="145"/>
      <c r="F118" s="146"/>
      <c r="G118" s="147"/>
      <c r="H118" s="114">
        <v>6</v>
      </c>
      <c r="I118" s="114"/>
      <c r="J118" s="112">
        <v>5</v>
      </c>
      <c r="K118" s="112">
        <v>10</v>
      </c>
      <c r="L118" s="112">
        <v>2</v>
      </c>
      <c r="M118" s="112">
        <v>9</v>
      </c>
      <c r="N118" s="112">
        <v>2</v>
      </c>
      <c r="O118" s="114"/>
      <c r="P118" s="164"/>
      <c r="Q118" s="118"/>
      <c r="R118" s="130"/>
      <c r="S118" s="116">
        <v>6</v>
      </c>
      <c r="T118" s="120">
        <v>14</v>
      </c>
      <c r="U118" s="120"/>
      <c r="V118" s="116">
        <v>4</v>
      </c>
      <c r="W118" s="116">
        <v>6</v>
      </c>
      <c r="X118" s="116">
        <v>4</v>
      </c>
      <c r="Y118" s="120"/>
      <c r="Z118" s="120"/>
      <c r="AA118" s="116"/>
      <c r="AB118" s="118"/>
      <c r="AC118" s="117"/>
      <c r="AD118" s="118"/>
      <c r="AE118" s="118"/>
      <c r="AF118" s="118"/>
      <c r="AG118" s="118"/>
      <c r="AH118" s="116"/>
      <c r="AI118" s="116"/>
      <c r="AJ118" s="149"/>
      <c r="AK118" s="449"/>
      <c r="AL118" s="121"/>
      <c r="AM118" s="116"/>
      <c r="AN118" s="116"/>
      <c r="AO118" s="121"/>
      <c r="AP118" s="116"/>
      <c r="AQ118" s="116"/>
      <c r="AR118" s="121"/>
      <c r="AS118" s="149"/>
      <c r="AT118" s="176"/>
    </row>
    <row r="119" spans="1:46" ht="21.1">
      <c r="A119" s="89" t="s">
        <v>70</v>
      </c>
      <c r="B119" s="209"/>
      <c r="C119" s="214"/>
      <c r="D119" s="133"/>
      <c r="E119" s="134"/>
      <c r="F119" s="135"/>
      <c r="G119" s="136"/>
      <c r="H119" s="96">
        <v>15</v>
      </c>
      <c r="I119" s="96"/>
      <c r="J119" s="75">
        <v>15</v>
      </c>
      <c r="K119" s="75">
        <v>15</v>
      </c>
      <c r="L119" s="75" t="s">
        <v>379</v>
      </c>
      <c r="M119" s="75">
        <v>15</v>
      </c>
      <c r="N119" s="75">
        <v>15</v>
      </c>
      <c r="O119" s="96"/>
      <c r="P119" s="163"/>
      <c r="Q119" s="109"/>
      <c r="R119" s="111"/>
      <c r="S119" s="100" t="s">
        <v>375</v>
      </c>
      <c r="T119" s="110" t="s">
        <v>375</v>
      </c>
      <c r="U119" s="110">
        <v>10</v>
      </c>
      <c r="V119" s="100" t="s">
        <v>715</v>
      </c>
      <c r="W119" s="100">
        <v>15</v>
      </c>
      <c r="X119" s="100">
        <v>15</v>
      </c>
      <c r="Y119" s="110" t="s">
        <v>901</v>
      </c>
      <c r="Z119" s="110">
        <v>10</v>
      </c>
      <c r="AA119" s="100">
        <v>10</v>
      </c>
      <c r="AB119" s="109">
        <v>10</v>
      </c>
      <c r="AC119" s="108"/>
      <c r="AD119" s="109">
        <v>10</v>
      </c>
      <c r="AE119" s="109" t="s">
        <v>1040</v>
      </c>
      <c r="AF119" s="109">
        <v>10</v>
      </c>
      <c r="AG119" s="109"/>
      <c r="AH119" s="100"/>
      <c r="AI119" s="100"/>
      <c r="AJ119" s="142"/>
      <c r="AK119" s="448"/>
      <c r="AL119" s="111"/>
      <c r="AM119" s="100"/>
      <c r="AN119" s="100"/>
      <c r="AO119" s="111"/>
      <c r="AP119" s="100"/>
      <c r="AQ119" s="100"/>
      <c r="AR119" s="111"/>
      <c r="AS119" s="142"/>
      <c r="AT119" s="150"/>
    </row>
    <row r="120" spans="1:46" ht="16.3">
      <c r="A120" s="611" t="s">
        <v>1</v>
      </c>
      <c r="B120" s="210">
        <f>SUM(J120+K120+L120+M120+N120+S120+V120+W120+X120+AA120+AI120+AJ120+AI120+AM120+AP120+AQ120+AS120+AT120+AU120+AV120+AN120)+8</f>
        <v>17</v>
      </c>
      <c r="C120" s="215">
        <f>SUM(J120+K120+L120+M120+N120+S120+W120+X120+V120+AA120+AJ120+AI120+AJ120+AN120+AQ120+AM120+AT120+AU120+AV120+AW120+AP120+AS120)+32</f>
        <v>41</v>
      </c>
      <c r="D120" s="133"/>
      <c r="E120" s="134"/>
      <c r="F120" s="135"/>
      <c r="G120" s="136"/>
      <c r="H120" s="96">
        <v>1</v>
      </c>
      <c r="I120" s="96"/>
      <c r="J120" s="75">
        <v>1</v>
      </c>
      <c r="K120" s="75">
        <v>1</v>
      </c>
      <c r="L120" s="75">
        <v>1</v>
      </c>
      <c r="M120" s="75">
        <v>1</v>
      </c>
      <c r="N120" s="75">
        <v>1</v>
      </c>
      <c r="O120" s="96"/>
      <c r="P120" s="163"/>
      <c r="Q120" s="109"/>
      <c r="R120" s="111"/>
      <c r="S120" s="100"/>
      <c r="T120" s="110"/>
      <c r="U120" s="110">
        <v>1</v>
      </c>
      <c r="V120" s="100">
        <v>1</v>
      </c>
      <c r="W120" s="100">
        <v>1</v>
      </c>
      <c r="X120" s="100">
        <v>1</v>
      </c>
      <c r="Y120" s="110">
        <v>1</v>
      </c>
      <c r="Z120" s="110">
        <v>1</v>
      </c>
      <c r="AA120" s="100">
        <v>1</v>
      </c>
      <c r="AB120" s="109">
        <v>1</v>
      </c>
      <c r="AC120" s="108"/>
      <c r="AD120" s="109">
        <v>1</v>
      </c>
      <c r="AE120" s="109">
        <v>1</v>
      </c>
      <c r="AF120" s="109">
        <v>1</v>
      </c>
      <c r="AG120" s="109"/>
      <c r="AH120" s="100"/>
      <c r="AI120" s="100"/>
      <c r="AJ120" s="142"/>
      <c r="AK120" s="448"/>
      <c r="AL120" s="111"/>
      <c r="AM120" s="100"/>
      <c r="AN120" s="100"/>
      <c r="AO120" s="111"/>
      <c r="AP120" s="100"/>
      <c r="AQ120" s="100"/>
      <c r="AR120" s="111"/>
      <c r="AS120" s="142"/>
      <c r="AT120" s="150"/>
    </row>
    <row r="121" spans="1:46" ht="16.3">
      <c r="A121" s="611" t="s">
        <v>2</v>
      </c>
      <c r="B121" s="210">
        <f>SUM(J121+K121+L121+M121+N121+S121+V121+W121+X121+AA121+AI121+AJ121+AI121+AM121+AP121+AQ121+AS121+AT121+AU121+AV121)+10</f>
        <v>11</v>
      </c>
      <c r="C121" s="215">
        <f>SUM(J121+K121+L121+M121+N121+S121+W121+X121+V121+AA121+AJ121+AI121+AJ121+AN121+AQ121+AM121+AT121+AU121+AV121+AW121+AP121+AS121)+31</f>
        <v>32</v>
      </c>
      <c r="D121" s="133"/>
      <c r="E121" s="134"/>
      <c r="F121" s="135"/>
      <c r="G121" s="136"/>
      <c r="H121" s="96"/>
      <c r="I121" s="96"/>
      <c r="J121" s="75"/>
      <c r="K121" s="75"/>
      <c r="L121" s="75"/>
      <c r="M121" s="75"/>
      <c r="N121" s="75"/>
      <c r="O121" s="96"/>
      <c r="P121" s="163"/>
      <c r="Q121" s="109"/>
      <c r="R121" s="111"/>
      <c r="S121" s="100">
        <v>1</v>
      </c>
      <c r="T121" s="110">
        <v>1</v>
      </c>
      <c r="U121" s="110"/>
      <c r="V121" s="100"/>
      <c r="W121" s="100"/>
      <c r="X121" s="100"/>
      <c r="Y121" s="110"/>
      <c r="Z121" s="110"/>
      <c r="AA121" s="100"/>
      <c r="AB121" s="109"/>
      <c r="AC121" s="108"/>
      <c r="AD121" s="109"/>
      <c r="AE121" s="109"/>
      <c r="AF121" s="109"/>
      <c r="AG121" s="109"/>
      <c r="AH121" s="100"/>
      <c r="AI121" s="100"/>
      <c r="AJ121" s="142"/>
      <c r="AK121" s="448"/>
      <c r="AL121" s="111"/>
      <c r="AM121" s="100"/>
      <c r="AN121" s="100"/>
      <c r="AO121" s="111"/>
      <c r="AP121" s="100"/>
      <c r="AQ121" s="100"/>
      <c r="AR121" s="111"/>
      <c r="AS121" s="142"/>
      <c r="AT121" s="150"/>
    </row>
    <row r="122" spans="1:46" ht="16.3">
      <c r="A122" s="91" t="s">
        <v>363</v>
      </c>
      <c r="B122" s="209">
        <f>SUM(B120+B121)</f>
        <v>28</v>
      </c>
      <c r="C122" s="214">
        <f>SUM(C120+C121)</f>
        <v>73</v>
      </c>
      <c r="D122" s="133"/>
      <c r="E122" s="134"/>
      <c r="F122" s="135"/>
      <c r="G122" s="136"/>
      <c r="H122" s="96"/>
      <c r="I122" s="96"/>
      <c r="J122" s="75"/>
      <c r="K122" s="75"/>
      <c r="L122" s="75"/>
      <c r="M122" s="75"/>
      <c r="N122" s="75"/>
      <c r="O122" s="96"/>
      <c r="P122" s="163"/>
      <c r="Q122" s="109"/>
      <c r="R122" s="111"/>
      <c r="S122" s="100"/>
      <c r="T122" s="110"/>
      <c r="U122" s="110"/>
      <c r="V122" s="100"/>
      <c r="W122" s="100"/>
      <c r="X122" s="100"/>
      <c r="Y122" s="110"/>
      <c r="Z122" s="110"/>
      <c r="AA122" s="100"/>
      <c r="AB122" s="109"/>
      <c r="AC122" s="108"/>
      <c r="AD122" s="109"/>
      <c r="AE122" s="109"/>
      <c r="AF122" s="109"/>
      <c r="AG122" s="109"/>
      <c r="AH122" s="100"/>
      <c r="AI122" s="100"/>
      <c r="AJ122" s="142"/>
      <c r="AK122" s="448"/>
      <c r="AL122" s="111"/>
      <c r="AM122" s="100"/>
      <c r="AN122" s="100"/>
      <c r="AO122" s="111"/>
      <c r="AP122" s="100"/>
      <c r="AQ122" s="100"/>
      <c r="AR122" s="111"/>
      <c r="AS122" s="142"/>
      <c r="AT122" s="150"/>
    </row>
    <row r="123" spans="1:46" ht="16.3">
      <c r="A123" s="611" t="s">
        <v>362</v>
      </c>
      <c r="B123" s="210">
        <f>SUM(J123+K123+L123+M123+N123+S123+V123+W123+X123+AA123+AI123+AJ123+AI123+AM123+AP123+AQ123+AS123+AT123+AU123+AV123)+1</f>
        <v>2</v>
      </c>
      <c r="C123" s="215">
        <f>SUM(J123+K123+L123+M123+N123+S123+W123+X123+V123+AA123+AJ123+AI123+AJ123+AN123+AQ123+AM123+AT123+AU123+AV123+AW123+AP123+AS123)+1</f>
        <v>2</v>
      </c>
      <c r="D123" s="133"/>
      <c r="E123" s="134"/>
      <c r="F123" s="135"/>
      <c r="G123" s="136"/>
      <c r="H123" s="96"/>
      <c r="I123" s="96"/>
      <c r="J123" s="75"/>
      <c r="K123" s="75"/>
      <c r="L123" s="75"/>
      <c r="M123" s="75"/>
      <c r="N123" s="75"/>
      <c r="O123" s="96"/>
      <c r="P123" s="163"/>
      <c r="Q123" s="109"/>
      <c r="R123" s="111"/>
      <c r="S123" s="100"/>
      <c r="T123" s="110"/>
      <c r="U123" s="110"/>
      <c r="V123" s="100">
        <v>1</v>
      </c>
      <c r="W123" s="100"/>
      <c r="X123" s="100"/>
      <c r="Y123" s="110">
        <v>1</v>
      </c>
      <c r="Z123" s="110"/>
      <c r="AA123" s="100"/>
      <c r="AB123" s="109"/>
      <c r="AC123" s="108"/>
      <c r="AD123" s="109"/>
      <c r="AE123" s="109">
        <v>1</v>
      </c>
      <c r="AF123" s="109"/>
      <c r="AG123" s="109"/>
      <c r="AH123" s="100"/>
      <c r="AI123" s="100"/>
      <c r="AJ123" s="142"/>
      <c r="AK123" s="448"/>
      <c r="AL123" s="111"/>
      <c r="AM123" s="100"/>
      <c r="AN123" s="100"/>
      <c r="AO123" s="111"/>
      <c r="AP123" s="100"/>
      <c r="AQ123" s="100"/>
      <c r="AR123" s="111"/>
      <c r="AS123" s="142"/>
      <c r="AT123" s="150"/>
    </row>
    <row r="124" spans="1:46" ht="16.3">
      <c r="A124" s="611" t="s">
        <v>5</v>
      </c>
      <c r="B124" s="210">
        <f>SUM(J124+K124+L124+M124+N124+S124+V124+W124+X124+AA124+AI124+AJ124+AI124+AM124+AP124+AQ124+AS124+AT124+AU124+AV124)+4</f>
        <v>4</v>
      </c>
      <c r="C124" s="215">
        <f>SUM(J124+K124+L124+M124+N124+S124+W124+X124+V124+AA124+AJ124+AI124+AJ124+AN124+AQ124+AM124+AT124+AU124+AV124+AW124+AP124+AS124)+17</f>
        <v>17</v>
      </c>
      <c r="D124" s="133"/>
      <c r="E124" s="134"/>
      <c r="F124" s="135"/>
      <c r="G124" s="136"/>
      <c r="H124" s="96"/>
      <c r="I124" s="96"/>
      <c r="J124" s="75"/>
      <c r="K124" s="75"/>
      <c r="L124" s="75"/>
      <c r="M124" s="75"/>
      <c r="N124" s="75"/>
      <c r="O124" s="96"/>
      <c r="P124" s="163"/>
      <c r="Q124" s="109"/>
      <c r="R124" s="111"/>
      <c r="S124" s="100"/>
      <c r="T124" s="110"/>
      <c r="U124" s="110"/>
      <c r="V124" s="100"/>
      <c r="W124" s="100"/>
      <c r="X124" s="100"/>
      <c r="Y124" s="110"/>
      <c r="Z124" s="110"/>
      <c r="AA124" s="100"/>
      <c r="AB124" s="109"/>
      <c r="AC124" s="108"/>
      <c r="AD124" s="109"/>
      <c r="AE124" s="109">
        <v>4</v>
      </c>
      <c r="AF124" s="109">
        <v>2</v>
      </c>
      <c r="AG124" s="109"/>
      <c r="AH124" s="100"/>
      <c r="AI124" s="100"/>
      <c r="AJ124" s="142"/>
      <c r="AK124" s="448"/>
      <c r="AL124" s="111"/>
      <c r="AM124" s="100"/>
      <c r="AN124" s="100"/>
      <c r="AO124" s="111"/>
      <c r="AP124" s="100"/>
      <c r="AQ124" s="100"/>
      <c r="AR124" s="111"/>
      <c r="AS124" s="142"/>
      <c r="AT124" s="150"/>
    </row>
    <row r="125" spans="1:46" ht="16.3">
      <c r="A125" s="611" t="s">
        <v>6</v>
      </c>
      <c r="B125" s="210">
        <f>SUM(J125+K125+L125+M125+N125+S125+V125+W125+X125+AA125+AI125+AJ125+AI125+AM125+AP125+AQ125+AS125+AT125+AU125+AV125)+10</f>
        <v>10</v>
      </c>
      <c r="C125" s="215">
        <f>SUM(J125+K125+L125+M125+N125+S125+W125+X125+V125+AA125+AJ125+AI125+AJ125+AN125+AQ125+AM125+AT125+AU125+AV125+AW125+AP125+AS125)+30</f>
        <v>30</v>
      </c>
      <c r="D125" s="133"/>
      <c r="E125" s="134"/>
      <c r="F125" s="135"/>
      <c r="G125" s="136"/>
      <c r="H125" s="96"/>
      <c r="I125" s="96"/>
      <c r="J125" s="75"/>
      <c r="K125" s="75"/>
      <c r="L125" s="75"/>
      <c r="M125" s="75"/>
      <c r="N125" s="75"/>
      <c r="O125" s="96"/>
      <c r="P125" s="163"/>
      <c r="Q125" s="109"/>
      <c r="R125" s="111"/>
      <c r="S125" s="100"/>
      <c r="T125" s="110"/>
      <c r="U125" s="110"/>
      <c r="V125" s="100"/>
      <c r="W125" s="100"/>
      <c r="X125" s="100"/>
      <c r="Y125" s="110"/>
      <c r="Z125" s="110"/>
      <c r="AA125" s="100"/>
      <c r="AB125" s="109"/>
      <c r="AC125" s="108"/>
      <c r="AD125" s="109"/>
      <c r="AE125" s="109">
        <v>5</v>
      </c>
      <c r="AF125" s="109">
        <v>3</v>
      </c>
      <c r="AG125" s="109"/>
      <c r="AH125" s="100"/>
      <c r="AI125" s="100"/>
      <c r="AJ125" s="142"/>
      <c r="AK125" s="448"/>
      <c r="AL125" s="111"/>
      <c r="AM125" s="100"/>
      <c r="AN125" s="100"/>
      <c r="AO125" s="111"/>
      <c r="AP125" s="100"/>
      <c r="AQ125" s="100"/>
      <c r="AR125" s="111"/>
      <c r="AS125" s="142"/>
      <c r="AT125" s="150"/>
    </row>
    <row r="126" spans="1:46" ht="16.3">
      <c r="A126" s="611" t="s">
        <v>368</v>
      </c>
      <c r="B126" s="211">
        <f>SUM(B124/B125)*100</f>
        <v>40</v>
      </c>
      <c r="C126" s="216">
        <f>SUM(C124/C125)*100</f>
        <v>56.666666666666664</v>
      </c>
      <c r="D126" s="133"/>
      <c r="E126" s="134"/>
      <c r="F126" s="135"/>
      <c r="G126" s="136"/>
      <c r="H126" s="96"/>
      <c r="I126" s="96"/>
      <c r="J126" s="75"/>
      <c r="K126" s="75"/>
      <c r="L126" s="75"/>
      <c r="M126" s="75"/>
      <c r="N126" s="75"/>
      <c r="O126" s="96"/>
      <c r="P126" s="163"/>
      <c r="Q126" s="109"/>
      <c r="R126" s="111"/>
      <c r="S126" s="100"/>
      <c r="T126" s="110"/>
      <c r="U126" s="110"/>
      <c r="V126" s="100"/>
      <c r="W126" s="100"/>
      <c r="X126" s="100"/>
      <c r="Y126" s="110"/>
      <c r="Z126" s="110"/>
      <c r="AA126" s="100"/>
      <c r="AB126" s="109"/>
      <c r="AC126" s="108"/>
      <c r="AD126" s="109"/>
      <c r="AE126" s="109">
        <v>80</v>
      </c>
      <c r="AF126" s="109">
        <v>67</v>
      </c>
      <c r="AG126" s="109"/>
      <c r="AH126" s="100"/>
      <c r="AI126" s="100"/>
      <c r="AJ126" s="142"/>
      <c r="AK126" s="448"/>
      <c r="AL126" s="111"/>
      <c r="AM126" s="100"/>
      <c r="AN126" s="100"/>
      <c r="AO126" s="111"/>
      <c r="AP126" s="100"/>
      <c r="AQ126" s="100"/>
      <c r="AR126" s="111"/>
      <c r="AS126" s="142"/>
      <c r="AT126" s="150"/>
    </row>
    <row r="127" spans="1:46" ht="16.3">
      <c r="A127" s="91" t="s">
        <v>3</v>
      </c>
      <c r="B127" s="209">
        <f>SUM(J127+K127+L127+M127+N127+S127+V127+W127+X127+AA127+AI127+AJ127+AI127+AM127+AP127+AQ127+AS127+AT127+AU127+AV127)+3</f>
        <v>4</v>
      </c>
      <c r="C127" s="214">
        <f>SUM(J127+K127+L127+M127+N127+S127+W127+X127+V127+AA127+AJ127+AI127+AJ127+AN127+AQ127+AM127+AT127+AU127+AV127+AW127+AP127+AS127)+8</f>
        <v>9</v>
      </c>
      <c r="D127" s="133"/>
      <c r="E127" s="134"/>
      <c r="F127" s="135"/>
      <c r="G127" s="136"/>
      <c r="H127" s="96"/>
      <c r="I127" s="96"/>
      <c r="J127" s="75"/>
      <c r="K127" s="75"/>
      <c r="L127" s="75"/>
      <c r="M127" s="75"/>
      <c r="N127" s="75"/>
      <c r="O127" s="96"/>
      <c r="P127" s="163"/>
      <c r="Q127" s="109"/>
      <c r="R127" s="111"/>
      <c r="S127" s="100"/>
      <c r="T127" s="110">
        <v>2</v>
      </c>
      <c r="U127" s="110"/>
      <c r="V127" s="100"/>
      <c r="W127" s="100"/>
      <c r="X127" s="100"/>
      <c r="Y127" s="110">
        <v>1</v>
      </c>
      <c r="Z127" s="110"/>
      <c r="AA127" s="100">
        <v>1</v>
      </c>
      <c r="AB127" s="109"/>
      <c r="AC127" s="108"/>
      <c r="AD127" s="109"/>
      <c r="AE127" s="109">
        <v>1</v>
      </c>
      <c r="AF127" s="109"/>
      <c r="AG127" s="109"/>
      <c r="AH127" s="100"/>
      <c r="AI127" s="100"/>
      <c r="AJ127" s="142"/>
      <c r="AK127" s="448"/>
      <c r="AL127" s="111"/>
      <c r="AM127" s="100"/>
      <c r="AN127" s="100"/>
      <c r="AO127" s="111"/>
      <c r="AP127" s="100"/>
      <c r="AQ127" s="100"/>
      <c r="AR127" s="111"/>
      <c r="AS127" s="142"/>
      <c r="AT127" s="150"/>
    </row>
    <row r="128" spans="1:46" ht="17" thickBot="1">
      <c r="A128" s="92" t="s">
        <v>4</v>
      </c>
      <c r="B128" s="212">
        <f>SUM(J128+K128+L128+M128+N128+S128+V128+W128+X128+AA128+AI128+AJ128+AI128+AM128+AP128+AQ128+AS128+AT128+AU128+AV128)+23</f>
        <v>28</v>
      </c>
      <c r="C128" s="217">
        <f>SUM(J128+K128+L128+M128+N128+S128+W128+X128+V128+AA128+AJ128+AI128+AJ128+AN128+AQ128+AM128+AT128+AU128+AV128+AW128+AP128+AS128)+76</f>
        <v>81</v>
      </c>
      <c r="D128" s="144"/>
      <c r="E128" s="145"/>
      <c r="F128" s="146"/>
      <c r="G128" s="147"/>
      <c r="H128" s="114"/>
      <c r="I128" s="114"/>
      <c r="J128" s="112"/>
      <c r="K128" s="112"/>
      <c r="L128" s="112"/>
      <c r="M128" s="112"/>
      <c r="N128" s="112"/>
      <c r="O128" s="114"/>
      <c r="P128" s="164"/>
      <c r="Q128" s="118"/>
      <c r="R128" s="121"/>
      <c r="S128" s="116"/>
      <c r="T128" s="120">
        <v>10</v>
      </c>
      <c r="U128" s="120"/>
      <c r="V128" s="116"/>
      <c r="W128" s="116"/>
      <c r="X128" s="116"/>
      <c r="Y128" s="120">
        <v>5</v>
      </c>
      <c r="Z128" s="120"/>
      <c r="AA128" s="116">
        <v>5</v>
      </c>
      <c r="AB128" s="118"/>
      <c r="AC128" s="117"/>
      <c r="AD128" s="118"/>
      <c r="AE128" s="118">
        <v>13</v>
      </c>
      <c r="AF128" s="118">
        <v>4</v>
      </c>
      <c r="AG128" s="118"/>
      <c r="AH128" s="116"/>
      <c r="AI128" s="116"/>
      <c r="AJ128" s="149"/>
      <c r="AK128" s="449"/>
      <c r="AL128" s="121"/>
      <c r="AM128" s="116"/>
      <c r="AN128" s="116"/>
      <c r="AO128" s="121"/>
      <c r="AP128" s="116"/>
      <c r="AQ128" s="116"/>
      <c r="AR128" s="121"/>
      <c r="AS128" s="149"/>
      <c r="AT128" s="176"/>
    </row>
    <row r="129" spans="1:46" ht="21.1">
      <c r="A129" s="89" t="s">
        <v>151</v>
      </c>
      <c r="B129" s="209"/>
      <c r="C129" s="214"/>
      <c r="D129" s="133"/>
      <c r="E129" s="134"/>
      <c r="F129" s="135"/>
      <c r="G129" s="136"/>
      <c r="H129" s="96" t="s">
        <v>375</v>
      </c>
      <c r="I129" s="96">
        <v>10</v>
      </c>
      <c r="J129" s="75" t="s">
        <v>339</v>
      </c>
      <c r="K129" s="75" t="s">
        <v>339</v>
      </c>
      <c r="L129" s="75" t="s">
        <v>339</v>
      </c>
      <c r="M129" s="75" t="s">
        <v>339</v>
      </c>
      <c r="N129" s="75" t="s">
        <v>375</v>
      </c>
      <c r="O129" s="96">
        <v>10</v>
      </c>
      <c r="P129" s="163"/>
      <c r="Q129" s="109">
        <v>10</v>
      </c>
      <c r="R129" s="111"/>
      <c r="S129" s="102"/>
      <c r="T129" s="101"/>
      <c r="U129" s="101">
        <v>15</v>
      </c>
      <c r="V129" s="102"/>
      <c r="W129" s="102"/>
      <c r="X129" s="102" t="s">
        <v>375</v>
      </c>
      <c r="Y129" s="101">
        <v>15</v>
      </c>
      <c r="Z129" s="101">
        <v>15</v>
      </c>
      <c r="AA129" s="102">
        <v>15</v>
      </c>
      <c r="AB129" s="99">
        <v>15</v>
      </c>
      <c r="AC129" s="98"/>
      <c r="AD129" s="99" t="s">
        <v>379</v>
      </c>
      <c r="AE129" s="99" t="s">
        <v>375</v>
      </c>
      <c r="AF129" s="99" t="s">
        <v>375</v>
      </c>
      <c r="AG129" s="99"/>
      <c r="AH129" s="102"/>
      <c r="AI129" s="102"/>
      <c r="AJ129" s="138"/>
      <c r="AK129" s="446"/>
      <c r="AL129" s="103"/>
      <c r="AM129" s="102"/>
      <c r="AN129" s="102"/>
      <c r="AO129" s="103"/>
      <c r="AP129" s="102"/>
      <c r="AQ129" s="102"/>
      <c r="AR129" s="103"/>
      <c r="AS129" s="138"/>
      <c r="AT129" s="478"/>
    </row>
    <row r="130" spans="1:46" ht="16.3">
      <c r="A130" s="611" t="s">
        <v>1</v>
      </c>
      <c r="B130" s="210">
        <f>SUM(J130+K130+L130+M130+N130+S130+V130+W130+X130+AA130+AI130+AJ130+AI130+AM130+AP130+AQ130+AS130+AT130+AU130+AV130+AN130)+19</f>
        <v>20</v>
      </c>
      <c r="C130" s="215">
        <f>B130</f>
        <v>20</v>
      </c>
      <c r="D130" s="133"/>
      <c r="E130" s="134"/>
      <c r="F130" s="135"/>
      <c r="G130" s="136"/>
      <c r="H130" s="96"/>
      <c r="I130" s="96">
        <v>1</v>
      </c>
      <c r="J130" s="75"/>
      <c r="K130" s="75"/>
      <c r="L130" s="75"/>
      <c r="M130" s="75"/>
      <c r="N130" s="75"/>
      <c r="O130" s="96">
        <v>1</v>
      </c>
      <c r="P130" s="163"/>
      <c r="Q130" s="109">
        <v>1</v>
      </c>
      <c r="R130" s="111"/>
      <c r="S130" s="100"/>
      <c r="T130" s="110"/>
      <c r="U130" s="110">
        <v>1</v>
      </c>
      <c r="V130" s="100"/>
      <c r="W130" s="100"/>
      <c r="X130" s="100"/>
      <c r="Y130" s="110">
        <v>1</v>
      </c>
      <c r="Z130" s="110">
        <v>1</v>
      </c>
      <c r="AA130" s="100">
        <v>1</v>
      </c>
      <c r="AB130" s="109">
        <v>1</v>
      </c>
      <c r="AC130" s="108"/>
      <c r="AD130" s="109">
        <v>1</v>
      </c>
      <c r="AE130" s="109"/>
      <c r="AF130" s="109"/>
      <c r="AG130" s="109"/>
      <c r="AH130" s="100"/>
      <c r="AI130" s="100"/>
      <c r="AJ130" s="142"/>
      <c r="AK130" s="448"/>
      <c r="AL130" s="111"/>
      <c r="AM130" s="100"/>
      <c r="AN130" s="100"/>
      <c r="AO130" s="111"/>
      <c r="AP130" s="100"/>
      <c r="AQ130" s="100"/>
      <c r="AR130" s="111"/>
      <c r="AS130" s="142"/>
      <c r="AT130" s="150"/>
    </row>
    <row r="131" spans="1:46" ht="16.3">
      <c r="A131" s="611" t="s">
        <v>2</v>
      </c>
      <c r="B131" s="210">
        <f>SUM(J131+K131+L131+M131+N131+S131+V131+W131+X131+AA131+AI131+AJ131+AI131+AM131+AP131+AQ131+AS131+AT131+AU131+AV131)+15</f>
        <v>17</v>
      </c>
      <c r="C131" s="215">
        <f t="shared" ref="C131:C135" si="16">B131</f>
        <v>17</v>
      </c>
      <c r="D131" s="133"/>
      <c r="E131" s="134"/>
      <c r="F131" s="135"/>
      <c r="G131" s="136"/>
      <c r="H131" s="96">
        <v>1</v>
      </c>
      <c r="I131" s="96"/>
      <c r="J131" s="75"/>
      <c r="K131" s="75"/>
      <c r="L131" s="75"/>
      <c r="M131" s="75"/>
      <c r="N131" s="75">
        <v>1</v>
      </c>
      <c r="O131" s="96"/>
      <c r="P131" s="105"/>
      <c r="Q131" s="96"/>
      <c r="R131" s="107"/>
      <c r="S131" s="75"/>
      <c r="T131" s="106"/>
      <c r="U131" s="106"/>
      <c r="V131" s="75"/>
      <c r="W131" s="75"/>
      <c r="X131" s="75">
        <v>1</v>
      </c>
      <c r="Y131" s="106"/>
      <c r="Z131" s="106"/>
      <c r="AA131" s="75"/>
      <c r="AB131" s="96"/>
      <c r="AC131" s="105"/>
      <c r="AD131" s="96"/>
      <c r="AE131" s="96">
        <v>1</v>
      </c>
      <c r="AF131" s="96">
        <v>1</v>
      </c>
      <c r="AG131" s="96"/>
      <c r="AH131" s="75"/>
      <c r="AI131" s="75"/>
      <c r="AJ131" s="141"/>
      <c r="AK131" s="447"/>
      <c r="AL131" s="107"/>
      <c r="AM131" s="75"/>
      <c r="AN131" s="75"/>
      <c r="AO131" s="107"/>
      <c r="AP131" s="75"/>
      <c r="AQ131" s="75"/>
      <c r="AR131" s="107"/>
      <c r="AS131" s="141"/>
      <c r="AT131" s="168"/>
    </row>
    <row r="132" spans="1:46" ht="16.3">
      <c r="A132" s="91" t="s">
        <v>363</v>
      </c>
      <c r="B132" s="209">
        <f>SUM(B130+B131)</f>
        <v>37</v>
      </c>
      <c r="C132" s="214">
        <f t="shared" si="16"/>
        <v>37</v>
      </c>
      <c r="D132" s="133"/>
      <c r="E132" s="134"/>
      <c r="F132" s="135"/>
      <c r="G132" s="136"/>
      <c r="H132" s="96"/>
      <c r="I132" s="96"/>
      <c r="J132" s="75"/>
      <c r="K132" s="75"/>
      <c r="L132" s="75"/>
      <c r="M132" s="75"/>
      <c r="N132" s="75"/>
      <c r="O132" s="96"/>
      <c r="P132" s="163"/>
      <c r="Q132" s="109"/>
      <c r="R132" s="111"/>
      <c r="S132" s="100"/>
      <c r="T132" s="110"/>
      <c r="U132" s="110"/>
      <c r="V132" s="100"/>
      <c r="W132" s="100"/>
      <c r="X132" s="100"/>
      <c r="Y132" s="110"/>
      <c r="Z132" s="110"/>
      <c r="AA132" s="100"/>
      <c r="AB132" s="109"/>
      <c r="AC132" s="108"/>
      <c r="AD132" s="109"/>
      <c r="AE132" s="109"/>
      <c r="AF132" s="109"/>
      <c r="AG132" s="109"/>
      <c r="AH132" s="100"/>
      <c r="AI132" s="100"/>
      <c r="AJ132" s="142"/>
      <c r="AK132" s="448"/>
      <c r="AL132" s="111"/>
      <c r="AM132" s="100"/>
      <c r="AN132" s="100"/>
      <c r="AO132" s="111"/>
      <c r="AP132" s="100"/>
      <c r="AQ132" s="100"/>
      <c r="AR132" s="111"/>
      <c r="AS132" s="142"/>
      <c r="AT132" s="150"/>
    </row>
    <row r="133" spans="1:46" ht="16.3">
      <c r="A133" s="611" t="s">
        <v>362</v>
      </c>
      <c r="B133" s="210">
        <f>SUM(J133+K133+L133+M133+N133+S133+V133+W133+X133+AA133+AI133+AJ133+AI133+AM133+AP133+AQ133+AS133+AT133+AU133+AV133)+1</f>
        <v>1</v>
      </c>
      <c r="C133" s="215">
        <f t="shared" si="16"/>
        <v>1</v>
      </c>
      <c r="D133" s="133"/>
      <c r="E133" s="134"/>
      <c r="F133" s="135"/>
      <c r="G133" s="136"/>
      <c r="H133" s="96"/>
      <c r="I133" s="96"/>
      <c r="J133" s="75"/>
      <c r="K133" s="75"/>
      <c r="L133" s="75"/>
      <c r="M133" s="75"/>
      <c r="N133" s="75"/>
      <c r="O133" s="96"/>
      <c r="P133" s="163"/>
      <c r="Q133" s="109"/>
      <c r="R133" s="111"/>
      <c r="S133" s="100"/>
      <c r="T133" s="110"/>
      <c r="U133" s="110"/>
      <c r="V133" s="100"/>
      <c r="W133" s="100"/>
      <c r="X133" s="100"/>
      <c r="Y133" s="110"/>
      <c r="Z133" s="110"/>
      <c r="AA133" s="100"/>
      <c r="AB133" s="109"/>
      <c r="AC133" s="108"/>
      <c r="AD133" s="109"/>
      <c r="AE133" s="109"/>
      <c r="AF133" s="109"/>
      <c r="AG133" s="109"/>
      <c r="AH133" s="100"/>
      <c r="AI133" s="100"/>
      <c r="AJ133" s="142"/>
      <c r="AK133" s="448"/>
      <c r="AL133" s="111"/>
      <c r="AM133" s="100"/>
      <c r="AN133" s="100"/>
      <c r="AO133" s="111"/>
      <c r="AP133" s="100"/>
      <c r="AQ133" s="100"/>
      <c r="AR133" s="111"/>
      <c r="AS133" s="142"/>
      <c r="AT133" s="150"/>
    </row>
    <row r="134" spans="1:46" ht="16.3">
      <c r="A134" s="611" t="s">
        <v>5</v>
      </c>
      <c r="B134" s="210">
        <f>SUM(J134+K134+L134+M134+N134+S134+V134+W134+X134+AA134+AI134+AJ134+AI134+AM134+AP134+AQ134+AS134+AT134+AU134+AV134)+56</f>
        <v>59</v>
      </c>
      <c r="C134" s="215">
        <f t="shared" si="16"/>
        <v>59</v>
      </c>
      <c r="D134" s="133"/>
      <c r="E134" s="134"/>
      <c r="F134" s="135"/>
      <c r="G134" s="136"/>
      <c r="H134" s="96">
        <v>1</v>
      </c>
      <c r="I134" s="96">
        <v>2</v>
      </c>
      <c r="J134" s="75"/>
      <c r="K134" s="75"/>
      <c r="L134" s="75"/>
      <c r="M134" s="75"/>
      <c r="N134" s="75"/>
      <c r="O134" s="96">
        <v>4</v>
      </c>
      <c r="P134" s="163"/>
      <c r="Q134" s="109">
        <v>2</v>
      </c>
      <c r="R134" s="111"/>
      <c r="S134" s="100"/>
      <c r="T134" s="110"/>
      <c r="U134" s="110">
        <v>1</v>
      </c>
      <c r="V134" s="100"/>
      <c r="W134" s="100"/>
      <c r="X134" s="100"/>
      <c r="Y134" s="110">
        <v>5</v>
      </c>
      <c r="Z134" s="110">
        <v>2</v>
      </c>
      <c r="AA134" s="100">
        <v>3</v>
      </c>
      <c r="AB134" s="109">
        <v>4</v>
      </c>
      <c r="AC134" s="108"/>
      <c r="AD134" s="109">
        <v>2</v>
      </c>
      <c r="AE134" s="109"/>
      <c r="AF134" s="109">
        <v>1</v>
      </c>
      <c r="AG134" s="109"/>
      <c r="AH134" s="100"/>
      <c r="AI134" s="100"/>
      <c r="AJ134" s="142"/>
      <c r="AK134" s="448"/>
      <c r="AL134" s="111"/>
      <c r="AM134" s="100"/>
      <c r="AN134" s="100"/>
      <c r="AO134" s="111"/>
      <c r="AP134" s="100"/>
      <c r="AQ134" s="100"/>
      <c r="AR134" s="111"/>
      <c r="AS134" s="142"/>
      <c r="AT134" s="150"/>
    </row>
    <row r="135" spans="1:46" ht="16.3">
      <c r="A135" s="611" t="s">
        <v>6</v>
      </c>
      <c r="B135" s="210">
        <f>SUM(J135+K135+L135+M135+N135+S135+V135+W135+X135+AA135+AI135+AJ135+AI135+AM135+AP135+AQ135+AS135+AT135+AU135+AV135)+71</f>
        <v>75</v>
      </c>
      <c r="C135" s="215">
        <f t="shared" si="16"/>
        <v>75</v>
      </c>
      <c r="D135" s="133"/>
      <c r="E135" s="134"/>
      <c r="F135" s="135"/>
      <c r="G135" s="136"/>
      <c r="H135" s="96">
        <v>1</v>
      </c>
      <c r="I135" s="96">
        <v>4</v>
      </c>
      <c r="J135" s="75"/>
      <c r="K135" s="75"/>
      <c r="L135" s="75"/>
      <c r="M135" s="75"/>
      <c r="N135" s="75"/>
      <c r="O135" s="96">
        <v>5</v>
      </c>
      <c r="P135" s="163"/>
      <c r="Q135" s="109">
        <v>4</v>
      </c>
      <c r="R135" s="111"/>
      <c r="S135" s="100"/>
      <c r="T135" s="110"/>
      <c r="U135" s="110">
        <v>1</v>
      </c>
      <c r="V135" s="100"/>
      <c r="W135" s="100"/>
      <c r="X135" s="100"/>
      <c r="Y135" s="110">
        <v>6</v>
      </c>
      <c r="Z135" s="110">
        <v>2</v>
      </c>
      <c r="AA135" s="100">
        <v>4</v>
      </c>
      <c r="AB135" s="109">
        <v>5</v>
      </c>
      <c r="AC135" s="108"/>
      <c r="AD135" s="109">
        <v>2</v>
      </c>
      <c r="AE135" s="109"/>
      <c r="AF135" s="109">
        <v>1</v>
      </c>
      <c r="AG135" s="109"/>
      <c r="AH135" s="100"/>
      <c r="AI135" s="100"/>
      <c r="AJ135" s="142"/>
      <c r="AK135" s="448"/>
      <c r="AL135" s="111"/>
      <c r="AM135" s="100"/>
      <c r="AN135" s="100"/>
      <c r="AO135" s="111"/>
      <c r="AP135" s="100"/>
      <c r="AQ135" s="100"/>
      <c r="AR135" s="111"/>
      <c r="AS135" s="142"/>
      <c r="AT135" s="150"/>
    </row>
    <row r="136" spans="1:46" ht="16.3">
      <c r="A136" s="611" t="s">
        <v>368</v>
      </c>
      <c r="B136" s="211">
        <f>SUM(B134/B135)*100</f>
        <v>78.666666666666657</v>
      </c>
      <c r="C136" s="216">
        <f>SUM(C134/C135)*100</f>
        <v>78.666666666666657</v>
      </c>
      <c r="D136" s="133"/>
      <c r="E136" s="134"/>
      <c r="F136" s="135"/>
      <c r="G136" s="136"/>
      <c r="H136" s="96">
        <v>100</v>
      </c>
      <c r="I136" s="96">
        <v>50</v>
      </c>
      <c r="J136" s="75"/>
      <c r="K136" s="75"/>
      <c r="L136" s="75"/>
      <c r="M136" s="75"/>
      <c r="N136" s="75"/>
      <c r="O136" s="96">
        <v>80</v>
      </c>
      <c r="P136" s="163"/>
      <c r="Q136" s="109">
        <v>50</v>
      </c>
      <c r="R136" s="111"/>
      <c r="S136" s="100"/>
      <c r="T136" s="110"/>
      <c r="U136" s="110">
        <v>100</v>
      </c>
      <c r="V136" s="100"/>
      <c r="W136" s="100"/>
      <c r="X136" s="100"/>
      <c r="Y136" s="110">
        <v>83</v>
      </c>
      <c r="Z136" s="110">
        <v>100</v>
      </c>
      <c r="AA136" s="100">
        <v>75</v>
      </c>
      <c r="AB136" s="109">
        <v>80</v>
      </c>
      <c r="AC136" s="108"/>
      <c r="AD136" s="109">
        <v>100</v>
      </c>
      <c r="AE136" s="109"/>
      <c r="AF136" s="109">
        <v>100</v>
      </c>
      <c r="AG136" s="109"/>
      <c r="AH136" s="100"/>
      <c r="AI136" s="100"/>
      <c r="AJ136" s="142"/>
      <c r="AK136" s="448"/>
      <c r="AL136" s="111"/>
      <c r="AM136" s="100"/>
      <c r="AN136" s="100"/>
      <c r="AO136" s="111"/>
      <c r="AP136" s="100"/>
      <c r="AQ136" s="100"/>
      <c r="AR136" s="111"/>
      <c r="AS136" s="142"/>
      <c r="AT136" s="150"/>
    </row>
    <row r="137" spans="1:46" ht="16.3">
      <c r="A137" s="91" t="s">
        <v>3</v>
      </c>
      <c r="B137" s="209">
        <f>SUM(J137+K137+L137+M137+N137+S137+V137+W137+X137+AA137+AI137+AJ137+AI137+AM137+AP137+AQ137+AS137+AT137+AU137+AV137)+2</f>
        <v>2</v>
      </c>
      <c r="C137" s="214">
        <f t="shared" ref="C137:C138" si="17">B137</f>
        <v>2</v>
      </c>
      <c r="D137" s="133"/>
      <c r="E137" s="134"/>
      <c r="F137" s="135"/>
      <c r="G137" s="136"/>
      <c r="H137" s="96"/>
      <c r="I137" s="96"/>
      <c r="J137" s="75"/>
      <c r="K137" s="75"/>
      <c r="L137" s="75"/>
      <c r="M137" s="75"/>
      <c r="N137" s="75"/>
      <c r="O137" s="96"/>
      <c r="P137" s="163"/>
      <c r="Q137" s="109"/>
      <c r="R137" s="111"/>
      <c r="S137" s="100"/>
      <c r="T137" s="110"/>
      <c r="U137" s="110"/>
      <c r="V137" s="100"/>
      <c r="W137" s="100"/>
      <c r="X137" s="100"/>
      <c r="Y137" s="110"/>
      <c r="Z137" s="110"/>
      <c r="AA137" s="100"/>
      <c r="AB137" s="109"/>
      <c r="AC137" s="108"/>
      <c r="AD137" s="109"/>
      <c r="AE137" s="109"/>
      <c r="AF137" s="109"/>
      <c r="AG137" s="109"/>
      <c r="AH137" s="100"/>
      <c r="AI137" s="100"/>
      <c r="AJ137" s="142"/>
      <c r="AK137" s="448"/>
      <c r="AL137" s="111"/>
      <c r="AM137" s="100"/>
      <c r="AN137" s="100"/>
      <c r="AO137" s="111"/>
      <c r="AP137" s="100"/>
      <c r="AQ137" s="100"/>
      <c r="AR137" s="111"/>
      <c r="AS137" s="142"/>
      <c r="AT137" s="150"/>
    </row>
    <row r="138" spans="1:46" ht="17" thickBot="1">
      <c r="A138" s="92" t="s">
        <v>4</v>
      </c>
      <c r="B138" s="212">
        <f>SUM(J138+K138+L138+M138+N138+S138+V138+W138+X138+AA138+AI138+AJ138+AI138+AM138+AP138+AQ138+AS138+AT138+AU138+AV138)+141</f>
        <v>147</v>
      </c>
      <c r="C138" s="217">
        <f t="shared" si="17"/>
        <v>147</v>
      </c>
      <c r="D138" s="144"/>
      <c r="E138" s="145"/>
      <c r="F138" s="146"/>
      <c r="G138" s="147"/>
      <c r="H138" s="114">
        <v>3</v>
      </c>
      <c r="I138" s="114">
        <v>4</v>
      </c>
      <c r="J138" s="112"/>
      <c r="K138" s="112"/>
      <c r="L138" s="112"/>
      <c r="M138" s="112"/>
      <c r="N138" s="112"/>
      <c r="O138" s="114">
        <v>9</v>
      </c>
      <c r="P138" s="164"/>
      <c r="Q138" s="118">
        <v>4</v>
      </c>
      <c r="R138" s="130"/>
      <c r="S138" s="100"/>
      <c r="T138" s="110"/>
      <c r="U138" s="110">
        <v>3</v>
      </c>
      <c r="V138" s="100"/>
      <c r="W138" s="100"/>
      <c r="X138" s="100"/>
      <c r="Y138" s="110">
        <v>14</v>
      </c>
      <c r="Z138" s="110">
        <v>4</v>
      </c>
      <c r="AA138" s="100">
        <v>6</v>
      </c>
      <c r="AB138" s="109">
        <v>11</v>
      </c>
      <c r="AC138" s="108"/>
      <c r="AD138" s="109">
        <v>4</v>
      </c>
      <c r="AE138" s="109"/>
      <c r="AF138" s="109">
        <v>2</v>
      </c>
      <c r="AG138" s="109"/>
      <c r="AH138" s="100"/>
      <c r="AI138" s="100"/>
      <c r="AJ138" s="142"/>
      <c r="AK138" s="448"/>
      <c r="AL138" s="111"/>
      <c r="AM138" s="100"/>
      <c r="AN138" s="100"/>
      <c r="AO138" s="111"/>
      <c r="AP138" s="100"/>
      <c r="AQ138" s="100"/>
      <c r="AR138" s="111"/>
      <c r="AS138" s="142"/>
      <c r="AT138" s="150"/>
    </row>
    <row r="139" spans="1:46" ht="21.1">
      <c r="A139" s="89" t="s">
        <v>490</v>
      </c>
      <c r="B139" s="209"/>
      <c r="C139" s="214"/>
      <c r="D139" s="133"/>
      <c r="E139" s="134"/>
      <c r="F139" s="135"/>
      <c r="G139" s="136"/>
      <c r="H139" s="96"/>
      <c r="I139" s="96" t="s">
        <v>432</v>
      </c>
      <c r="J139" s="75"/>
      <c r="K139" s="75"/>
      <c r="L139" s="75"/>
      <c r="M139" s="75"/>
      <c r="N139" s="75"/>
      <c r="O139" s="96"/>
      <c r="P139" s="163"/>
      <c r="Q139" s="109"/>
      <c r="R139" s="111"/>
      <c r="S139" s="102"/>
      <c r="T139" s="101"/>
      <c r="U139" s="101"/>
      <c r="V139" s="102"/>
      <c r="W139" s="102"/>
      <c r="X139" s="102"/>
      <c r="Y139" s="101"/>
      <c r="Z139" s="101"/>
      <c r="AA139" s="102"/>
      <c r="AB139" s="99"/>
      <c r="AC139" s="98"/>
      <c r="AD139" s="99"/>
      <c r="AE139" s="99"/>
      <c r="AF139" s="99"/>
      <c r="AG139" s="99"/>
      <c r="AH139" s="102"/>
      <c r="AI139" s="102"/>
      <c r="AJ139" s="138"/>
      <c r="AK139" s="446"/>
      <c r="AL139" s="103"/>
      <c r="AM139" s="102"/>
      <c r="AN139" s="102"/>
      <c r="AO139" s="103"/>
      <c r="AP139" s="102"/>
      <c r="AQ139" s="102"/>
      <c r="AR139" s="103"/>
      <c r="AS139" s="138"/>
      <c r="AT139" s="478"/>
    </row>
    <row r="140" spans="1:46" ht="16.3">
      <c r="A140" s="611" t="s">
        <v>1</v>
      </c>
      <c r="B140" s="210">
        <f>SUM(J140+K140+L140+M140+N140+S140+V140+W140+X140+AA140+AI140+AJ140+AI140+AM140+AP140+AQ140+AS140+AT140+AU140+AV140+AN140)</f>
        <v>0</v>
      </c>
      <c r="C140" s="215">
        <f>B140</f>
        <v>0</v>
      </c>
      <c r="D140" s="133"/>
      <c r="E140" s="134"/>
      <c r="F140" s="135"/>
      <c r="G140" s="136"/>
      <c r="H140" s="96"/>
      <c r="I140" s="96"/>
      <c r="J140" s="75"/>
      <c r="K140" s="75"/>
      <c r="L140" s="75"/>
      <c r="M140" s="75"/>
      <c r="N140" s="75"/>
      <c r="O140" s="96"/>
      <c r="P140" s="105"/>
      <c r="Q140" s="96"/>
      <c r="R140" s="107"/>
      <c r="S140" s="75"/>
      <c r="T140" s="106"/>
      <c r="U140" s="106"/>
      <c r="V140" s="75"/>
      <c r="W140" s="75"/>
      <c r="X140" s="75"/>
      <c r="Y140" s="106"/>
      <c r="Z140" s="106"/>
      <c r="AA140" s="75"/>
      <c r="AB140" s="96"/>
      <c r="AC140" s="105"/>
      <c r="AD140" s="96"/>
      <c r="AE140" s="96"/>
      <c r="AF140" s="96"/>
      <c r="AG140" s="96"/>
      <c r="AH140" s="75"/>
      <c r="AI140" s="75"/>
      <c r="AJ140" s="141"/>
      <c r="AK140" s="447"/>
      <c r="AL140" s="107"/>
      <c r="AM140" s="75"/>
      <c r="AN140" s="75"/>
      <c r="AO140" s="107"/>
      <c r="AP140" s="75"/>
      <c r="AQ140" s="75"/>
      <c r="AR140" s="107"/>
      <c r="AS140" s="141"/>
      <c r="AT140" s="168"/>
    </row>
    <row r="141" spans="1:46" ht="16.3">
      <c r="A141" s="611" t="s">
        <v>2</v>
      </c>
      <c r="B141" s="210">
        <f>SUM(J141+K141+L141+M141+N141+S141+V141+W141+X141+AA141+AI141+AJ141+AI141+AM141+AP141+AQ141+AS141+AT141+AU141+AV141)</f>
        <v>0</v>
      </c>
      <c r="C141" s="215">
        <f t="shared" ref="C141:C144" si="18">B141</f>
        <v>0</v>
      </c>
      <c r="D141" s="133"/>
      <c r="E141" s="134"/>
      <c r="F141" s="135"/>
      <c r="G141" s="136"/>
      <c r="H141" s="96"/>
      <c r="I141" s="96">
        <v>1</v>
      </c>
      <c r="J141" s="75"/>
      <c r="K141" s="75"/>
      <c r="L141" s="75"/>
      <c r="M141" s="75"/>
      <c r="N141" s="75"/>
      <c r="O141" s="96"/>
      <c r="P141" s="163"/>
      <c r="Q141" s="109"/>
      <c r="R141" s="111"/>
      <c r="S141" s="100"/>
      <c r="T141" s="110"/>
      <c r="U141" s="110"/>
      <c r="V141" s="100"/>
      <c r="W141" s="100"/>
      <c r="X141" s="100"/>
      <c r="Y141" s="110"/>
      <c r="Z141" s="110"/>
      <c r="AA141" s="100"/>
      <c r="AB141" s="109"/>
      <c r="AC141" s="108"/>
      <c r="AD141" s="109"/>
      <c r="AE141" s="109"/>
      <c r="AF141" s="109"/>
      <c r="AG141" s="109"/>
      <c r="AH141" s="100"/>
      <c r="AI141" s="100"/>
      <c r="AJ141" s="142"/>
      <c r="AK141" s="448"/>
      <c r="AL141" s="111"/>
      <c r="AM141" s="100"/>
      <c r="AN141" s="100"/>
      <c r="AO141" s="111"/>
      <c r="AP141" s="100"/>
      <c r="AQ141" s="100"/>
      <c r="AR141" s="111"/>
      <c r="AS141" s="142"/>
      <c r="AT141" s="150"/>
    </row>
    <row r="142" spans="1:46" ht="16.3">
      <c r="A142" s="91" t="s">
        <v>363</v>
      </c>
      <c r="B142" s="209">
        <f>SUM(B140+B141)</f>
        <v>0</v>
      </c>
      <c r="C142" s="214">
        <f t="shared" si="18"/>
        <v>0</v>
      </c>
      <c r="D142" s="133"/>
      <c r="E142" s="134"/>
      <c r="F142" s="135"/>
      <c r="G142" s="136"/>
      <c r="H142" s="96"/>
      <c r="I142" s="96"/>
      <c r="J142" s="75"/>
      <c r="K142" s="75"/>
      <c r="L142" s="75"/>
      <c r="M142" s="75"/>
      <c r="N142" s="75"/>
      <c r="O142" s="96"/>
      <c r="P142" s="163"/>
      <c r="Q142" s="109"/>
      <c r="R142" s="111"/>
      <c r="S142" s="100"/>
      <c r="T142" s="110"/>
      <c r="U142" s="110"/>
      <c r="V142" s="100"/>
      <c r="W142" s="100"/>
      <c r="X142" s="100"/>
      <c r="Y142" s="110"/>
      <c r="Z142" s="110"/>
      <c r="AA142" s="100"/>
      <c r="AB142" s="109"/>
      <c r="AC142" s="108"/>
      <c r="AD142" s="109"/>
      <c r="AE142" s="109"/>
      <c r="AF142" s="109"/>
      <c r="AG142" s="109"/>
      <c r="AH142" s="100"/>
      <c r="AI142" s="100"/>
      <c r="AJ142" s="142"/>
      <c r="AK142" s="448"/>
      <c r="AL142" s="111"/>
      <c r="AM142" s="100"/>
      <c r="AN142" s="100"/>
      <c r="AO142" s="111"/>
      <c r="AP142" s="100"/>
      <c r="AQ142" s="100"/>
      <c r="AR142" s="111"/>
      <c r="AS142" s="142"/>
      <c r="AT142" s="150"/>
    </row>
    <row r="143" spans="1:46" ht="16.3">
      <c r="A143" s="91" t="s">
        <v>3</v>
      </c>
      <c r="B143" s="209">
        <f>SUM(J143+K143+L143+M143+N143+S143+V143+W143+X143+AA143+AI143+AJ143+AI143+AM143+AP143+AQ143+AS143+AT143+AU143+AV143)</f>
        <v>0</v>
      </c>
      <c r="C143" s="214">
        <f t="shared" si="18"/>
        <v>0</v>
      </c>
      <c r="D143" s="133"/>
      <c r="E143" s="134"/>
      <c r="F143" s="135"/>
      <c r="G143" s="136"/>
      <c r="H143" s="96"/>
      <c r="I143" s="96"/>
      <c r="J143" s="75"/>
      <c r="K143" s="75"/>
      <c r="L143" s="75"/>
      <c r="M143" s="75"/>
      <c r="N143" s="75"/>
      <c r="O143" s="96"/>
      <c r="P143" s="163"/>
      <c r="Q143" s="109"/>
      <c r="R143" s="111"/>
      <c r="S143" s="100"/>
      <c r="T143" s="110"/>
      <c r="U143" s="110"/>
      <c r="V143" s="100"/>
      <c r="W143" s="100"/>
      <c r="X143" s="100"/>
      <c r="Y143" s="110"/>
      <c r="Z143" s="110"/>
      <c r="AA143" s="100"/>
      <c r="AB143" s="109"/>
      <c r="AC143" s="108"/>
      <c r="AD143" s="109"/>
      <c r="AE143" s="109"/>
      <c r="AF143" s="109"/>
      <c r="AG143" s="109"/>
      <c r="AH143" s="100"/>
      <c r="AI143" s="100"/>
      <c r="AJ143" s="142"/>
      <c r="AK143" s="448"/>
      <c r="AL143" s="111"/>
      <c r="AM143" s="100"/>
      <c r="AN143" s="100"/>
      <c r="AO143" s="111"/>
      <c r="AP143" s="100"/>
      <c r="AQ143" s="100"/>
      <c r="AR143" s="111"/>
      <c r="AS143" s="142"/>
      <c r="AT143" s="150"/>
    </row>
    <row r="144" spans="1:46" ht="17" thickBot="1">
      <c r="A144" s="92" t="s">
        <v>4</v>
      </c>
      <c r="B144" s="212">
        <f>SUM(J144+K144+L144+M144+N144+S144+V144+W144+X144+AA144+AI144+AJ144+AI144+AM144+AP144+AQ144+AS144+AT144+AU144+AV144)</f>
        <v>0</v>
      </c>
      <c r="C144" s="217">
        <f t="shared" si="18"/>
        <v>0</v>
      </c>
      <c r="D144" s="144"/>
      <c r="E144" s="145"/>
      <c r="F144" s="146"/>
      <c r="G144" s="147"/>
      <c r="H144" s="114"/>
      <c r="I144" s="114"/>
      <c r="J144" s="112"/>
      <c r="K144" s="112"/>
      <c r="L144" s="112"/>
      <c r="M144" s="112"/>
      <c r="N144" s="112"/>
      <c r="O144" s="114"/>
      <c r="P144" s="164"/>
      <c r="Q144" s="118"/>
      <c r="R144" s="130"/>
      <c r="S144" s="116"/>
      <c r="T144" s="120"/>
      <c r="U144" s="120"/>
      <c r="V144" s="116"/>
      <c r="W144" s="116"/>
      <c r="X144" s="116"/>
      <c r="Y144" s="120"/>
      <c r="Z144" s="120"/>
      <c r="AA144" s="116"/>
      <c r="AB144" s="118"/>
      <c r="AC144" s="117"/>
      <c r="AD144" s="118"/>
      <c r="AE144" s="118"/>
      <c r="AF144" s="118"/>
      <c r="AG144" s="118"/>
      <c r="AH144" s="112"/>
      <c r="AI144" s="116"/>
      <c r="AJ144" s="149"/>
      <c r="AK144" s="449"/>
      <c r="AL144" s="121"/>
      <c r="AM144" s="116"/>
      <c r="AN144" s="116"/>
      <c r="AO144" s="121"/>
      <c r="AP144" s="116"/>
      <c r="AQ144" s="116"/>
      <c r="AR144" s="121"/>
      <c r="AS144" s="149"/>
      <c r="AT144" s="176"/>
    </row>
    <row r="145" spans="1:46" ht="21.1">
      <c r="A145" s="89" t="s">
        <v>802</v>
      </c>
      <c r="B145" s="209"/>
      <c r="C145" s="214"/>
      <c r="D145" s="133"/>
      <c r="E145" s="134"/>
      <c r="F145" s="135"/>
      <c r="G145" s="136"/>
      <c r="H145" s="96"/>
      <c r="I145" s="96"/>
      <c r="J145" s="75"/>
      <c r="K145" s="75"/>
      <c r="L145" s="75"/>
      <c r="M145" s="75"/>
      <c r="N145" s="75"/>
      <c r="O145" s="96"/>
      <c r="P145" s="163"/>
      <c r="Q145" s="109"/>
      <c r="R145" s="111"/>
      <c r="S145" s="100"/>
      <c r="T145" s="110"/>
      <c r="U145" s="110"/>
      <c r="V145" s="100"/>
      <c r="W145" s="100"/>
      <c r="X145" s="100"/>
      <c r="Y145" s="110"/>
      <c r="Z145" s="110"/>
      <c r="AA145" s="100"/>
      <c r="AB145" s="109"/>
      <c r="AC145" s="108"/>
      <c r="AD145" s="109"/>
      <c r="AE145" s="109"/>
      <c r="AF145" s="109"/>
      <c r="AG145" s="109"/>
      <c r="AH145" s="100"/>
      <c r="AI145" s="100"/>
      <c r="AJ145" s="142"/>
      <c r="AK145" s="448"/>
      <c r="AL145" s="111"/>
      <c r="AM145" s="100"/>
      <c r="AN145" s="100"/>
      <c r="AO145" s="111"/>
      <c r="AP145" s="100"/>
      <c r="AQ145" s="100"/>
      <c r="AR145" s="111"/>
      <c r="AS145" s="142"/>
      <c r="AT145" s="150"/>
    </row>
    <row r="146" spans="1:46" ht="16.3">
      <c r="A146" s="611" t="s">
        <v>1</v>
      </c>
      <c r="B146" s="210">
        <f>SUM(J146+K146+L146+M146+N146+S146+V146+W146+X146+AA146+AI146+AJ146+AI146+AM146+AP146+AQ146+AS146+AT146+AU146+AV146+AN146)</f>
        <v>0</v>
      </c>
      <c r="C146" s="215">
        <f>B146</f>
        <v>0</v>
      </c>
      <c r="D146" s="133"/>
      <c r="E146" s="134"/>
      <c r="F146" s="135"/>
      <c r="G146" s="136"/>
      <c r="H146" s="96"/>
      <c r="I146" s="96"/>
      <c r="J146" s="75"/>
      <c r="K146" s="75"/>
      <c r="L146" s="75"/>
      <c r="M146" s="75"/>
      <c r="N146" s="75"/>
      <c r="O146" s="96"/>
      <c r="P146" s="163"/>
      <c r="Q146" s="109"/>
      <c r="R146" s="111"/>
      <c r="S146" s="100"/>
      <c r="T146" s="110"/>
      <c r="U146" s="110"/>
      <c r="V146" s="100"/>
      <c r="W146" s="100"/>
      <c r="X146" s="100"/>
      <c r="Y146" s="110"/>
      <c r="Z146" s="110"/>
      <c r="AA146" s="100"/>
      <c r="AB146" s="109"/>
      <c r="AC146" s="108"/>
      <c r="AD146" s="109"/>
      <c r="AE146" s="109"/>
      <c r="AF146" s="109"/>
      <c r="AG146" s="109"/>
      <c r="AH146" s="100"/>
      <c r="AI146" s="100"/>
      <c r="AJ146" s="142"/>
      <c r="AK146" s="448"/>
      <c r="AL146" s="111"/>
      <c r="AM146" s="100"/>
      <c r="AN146" s="100"/>
      <c r="AO146" s="111"/>
      <c r="AP146" s="100"/>
      <c r="AQ146" s="100"/>
      <c r="AR146" s="111"/>
      <c r="AS146" s="142"/>
      <c r="AT146" s="150"/>
    </row>
    <row r="147" spans="1:46" ht="16.3">
      <c r="A147" s="611" t="s">
        <v>2</v>
      </c>
      <c r="B147" s="210">
        <f>SUM(J147+K147+L147+M147+N147+S147+V147+W147+X147+AA147+AI147+AJ147+AI147+AM147+AP147+AQ147+AS147+AT147+AU147+AV147)</f>
        <v>0</v>
      </c>
      <c r="C147" s="215">
        <f t="shared" ref="C147:C150" si="19">B147</f>
        <v>0</v>
      </c>
      <c r="D147" s="133"/>
      <c r="E147" s="134"/>
      <c r="F147" s="135"/>
      <c r="G147" s="136"/>
      <c r="H147" s="96"/>
      <c r="I147" s="96"/>
      <c r="J147" s="75"/>
      <c r="K147" s="75"/>
      <c r="L147" s="75"/>
      <c r="M147" s="75"/>
      <c r="N147" s="75"/>
      <c r="O147" s="96"/>
      <c r="P147" s="163"/>
      <c r="Q147" s="109"/>
      <c r="R147" s="111"/>
      <c r="S147" s="100"/>
      <c r="T147" s="110"/>
      <c r="U147" s="110"/>
      <c r="V147" s="100"/>
      <c r="W147" s="100"/>
      <c r="X147" s="100"/>
      <c r="Y147" s="110"/>
      <c r="Z147" s="110"/>
      <c r="AA147" s="100"/>
      <c r="AB147" s="109"/>
      <c r="AC147" s="108"/>
      <c r="AD147" s="109"/>
      <c r="AE147" s="109"/>
      <c r="AF147" s="109"/>
      <c r="AG147" s="109"/>
      <c r="AH147" s="100"/>
      <c r="AI147" s="100"/>
      <c r="AJ147" s="142"/>
      <c r="AK147" s="448"/>
      <c r="AL147" s="111"/>
      <c r="AM147" s="100"/>
      <c r="AN147" s="100"/>
      <c r="AO147" s="111"/>
      <c r="AP147" s="100"/>
      <c r="AQ147" s="100"/>
      <c r="AR147" s="111"/>
      <c r="AS147" s="142"/>
      <c r="AT147" s="150"/>
    </row>
    <row r="148" spans="1:46" ht="16.3">
      <c r="A148" s="91" t="s">
        <v>363</v>
      </c>
      <c r="B148" s="209">
        <f>SUM(B146+B147)</f>
        <v>0</v>
      </c>
      <c r="C148" s="214">
        <f t="shared" si="19"/>
        <v>0</v>
      </c>
      <c r="D148" s="133"/>
      <c r="E148" s="134"/>
      <c r="F148" s="135"/>
      <c r="G148" s="136"/>
      <c r="H148" s="96"/>
      <c r="I148" s="96"/>
      <c r="J148" s="75"/>
      <c r="K148" s="75"/>
      <c r="L148" s="75"/>
      <c r="M148" s="75"/>
      <c r="N148" s="75"/>
      <c r="O148" s="96"/>
      <c r="P148" s="163"/>
      <c r="Q148" s="109"/>
      <c r="R148" s="111"/>
      <c r="S148" s="100"/>
      <c r="T148" s="110"/>
      <c r="U148" s="110"/>
      <c r="V148" s="100"/>
      <c r="W148" s="100"/>
      <c r="X148" s="100"/>
      <c r="Y148" s="110"/>
      <c r="Z148" s="110"/>
      <c r="AA148" s="100"/>
      <c r="AB148" s="109"/>
      <c r="AC148" s="108"/>
      <c r="AD148" s="109"/>
      <c r="AE148" s="109"/>
      <c r="AF148" s="109"/>
      <c r="AG148" s="109"/>
      <c r="AH148" s="100"/>
      <c r="AI148" s="100"/>
      <c r="AJ148" s="142"/>
      <c r="AK148" s="448"/>
      <c r="AL148" s="111"/>
      <c r="AM148" s="100"/>
      <c r="AN148" s="100"/>
      <c r="AO148" s="111"/>
      <c r="AP148" s="100"/>
      <c r="AQ148" s="100"/>
      <c r="AR148" s="111"/>
      <c r="AS148" s="142"/>
      <c r="AT148" s="150"/>
    </row>
    <row r="149" spans="1:46" ht="16.3">
      <c r="A149" s="91" t="s">
        <v>3</v>
      </c>
      <c r="B149" s="209">
        <f>SUM(J149+K149+L149+M149+N149+S149+V149+W149+X149+AA149+AI149+AJ149+AI149+AM149+AP149+AQ149+AS149+AT149+AU149+AV149)</f>
        <v>0</v>
      </c>
      <c r="C149" s="214">
        <f t="shared" si="19"/>
        <v>0</v>
      </c>
      <c r="D149" s="133"/>
      <c r="E149" s="134"/>
      <c r="F149" s="135"/>
      <c r="G149" s="136"/>
      <c r="H149" s="96"/>
      <c r="I149" s="96"/>
      <c r="J149" s="75"/>
      <c r="K149" s="75"/>
      <c r="L149" s="75"/>
      <c r="M149" s="75"/>
      <c r="N149" s="75"/>
      <c r="O149" s="96"/>
      <c r="P149" s="163"/>
      <c r="Q149" s="109"/>
      <c r="R149" s="111"/>
      <c r="S149" s="100"/>
      <c r="T149" s="110"/>
      <c r="U149" s="110"/>
      <c r="V149" s="100"/>
      <c r="W149" s="100"/>
      <c r="X149" s="100"/>
      <c r="Y149" s="110"/>
      <c r="Z149" s="110"/>
      <c r="AA149" s="100"/>
      <c r="AB149" s="109"/>
      <c r="AC149" s="108"/>
      <c r="AD149" s="109"/>
      <c r="AE149" s="109"/>
      <c r="AF149" s="109"/>
      <c r="AG149" s="109"/>
      <c r="AH149" s="100"/>
      <c r="AI149" s="100"/>
      <c r="AJ149" s="142"/>
      <c r="AK149" s="448"/>
      <c r="AL149" s="111"/>
      <c r="AM149" s="100"/>
      <c r="AN149" s="100"/>
      <c r="AO149" s="111"/>
      <c r="AP149" s="100"/>
      <c r="AQ149" s="100"/>
      <c r="AR149" s="111"/>
      <c r="AS149" s="142"/>
      <c r="AT149" s="150"/>
    </row>
    <row r="150" spans="1:46" ht="17" thickBot="1">
      <c r="A150" s="92" t="s">
        <v>4</v>
      </c>
      <c r="B150" s="212">
        <f>SUM(J150+K150+L150+M150+N150+S150+V150+W150+X150+AA150+AI150+AJ150+AI150+AM150+AP150+AQ150+AS150+AT150+AU150+AV150)</f>
        <v>0</v>
      </c>
      <c r="C150" s="217">
        <f t="shared" si="19"/>
        <v>0</v>
      </c>
      <c r="D150" s="144"/>
      <c r="E150" s="145"/>
      <c r="F150" s="146"/>
      <c r="G150" s="147"/>
      <c r="H150" s="114"/>
      <c r="I150" s="114"/>
      <c r="J150" s="112"/>
      <c r="K150" s="112"/>
      <c r="L150" s="112"/>
      <c r="M150" s="112"/>
      <c r="N150" s="112"/>
      <c r="O150" s="114"/>
      <c r="P150" s="164"/>
      <c r="Q150" s="118"/>
      <c r="R150" s="121"/>
      <c r="S150" s="116"/>
      <c r="T150" s="120"/>
      <c r="U150" s="120"/>
      <c r="V150" s="116"/>
      <c r="W150" s="116"/>
      <c r="X150" s="116"/>
      <c r="Y150" s="120"/>
      <c r="Z150" s="120"/>
      <c r="AA150" s="116"/>
      <c r="AB150" s="118"/>
      <c r="AC150" s="117"/>
      <c r="AD150" s="118"/>
      <c r="AE150" s="118"/>
      <c r="AF150" s="118"/>
      <c r="AG150" s="118"/>
      <c r="AH150" s="116"/>
      <c r="AI150" s="116"/>
      <c r="AJ150" s="149"/>
      <c r="AK150" s="449"/>
      <c r="AL150" s="121"/>
      <c r="AM150" s="116"/>
      <c r="AN150" s="116"/>
      <c r="AO150" s="121"/>
      <c r="AP150" s="116"/>
      <c r="AQ150" s="116"/>
      <c r="AR150" s="121"/>
      <c r="AS150" s="149"/>
      <c r="AT150" s="176"/>
    </row>
    <row r="151" spans="1:46" ht="21.1">
      <c r="A151" s="89" t="s">
        <v>303</v>
      </c>
      <c r="B151" s="209"/>
      <c r="C151" s="214"/>
      <c r="D151" s="133"/>
      <c r="E151" s="134"/>
      <c r="F151" s="135"/>
      <c r="G151" s="136"/>
      <c r="H151" s="96"/>
      <c r="I151" s="96"/>
      <c r="J151" s="75" t="s">
        <v>684</v>
      </c>
      <c r="K151" s="75" t="s">
        <v>710</v>
      </c>
      <c r="L151" s="75" t="s">
        <v>905</v>
      </c>
      <c r="M151" s="75" t="s">
        <v>717</v>
      </c>
      <c r="N151" s="75" t="s">
        <v>710</v>
      </c>
      <c r="O151" s="96"/>
      <c r="P151" s="163"/>
      <c r="Q151" s="109" t="s">
        <v>803</v>
      </c>
      <c r="R151" s="111"/>
      <c r="S151" s="75" t="s">
        <v>710</v>
      </c>
      <c r="T151" s="110" t="s">
        <v>710</v>
      </c>
      <c r="U151" s="110"/>
      <c r="V151" s="75" t="s">
        <v>684</v>
      </c>
      <c r="W151" s="75" t="s">
        <v>684</v>
      </c>
      <c r="X151" s="100" t="s">
        <v>339</v>
      </c>
      <c r="Y151" s="110" t="s">
        <v>339</v>
      </c>
      <c r="Z151" s="110" t="s">
        <v>858</v>
      </c>
      <c r="AA151" s="100" t="s">
        <v>710</v>
      </c>
      <c r="AB151" s="109"/>
      <c r="AC151" s="108"/>
      <c r="AD151" s="109" t="s">
        <v>803</v>
      </c>
      <c r="AE151" s="109" t="s">
        <v>803</v>
      </c>
      <c r="AF151" s="109"/>
      <c r="AG151" s="109"/>
      <c r="AH151" s="100"/>
      <c r="AI151" s="100"/>
      <c r="AJ151" s="142"/>
      <c r="AK151" s="448"/>
      <c r="AL151" s="111"/>
      <c r="AM151" s="100"/>
      <c r="AN151" s="100"/>
      <c r="AO151" s="111"/>
      <c r="AP151" s="100"/>
      <c r="AQ151" s="100"/>
      <c r="AR151" s="111"/>
      <c r="AS151" s="142"/>
      <c r="AT151" s="150"/>
    </row>
    <row r="152" spans="1:46" ht="16.3">
      <c r="A152" s="611" t="s">
        <v>1</v>
      </c>
      <c r="B152" s="210">
        <f>SUM(J152+K152+L152+M152+N152+S152+V152+W152+X152+AA152+AI152+AJ152+AI152+AM152+AP152+AQ152+AS152+AT152+AU152+AV152+AN152)+17</f>
        <v>25</v>
      </c>
      <c r="C152" s="215">
        <f>B152</f>
        <v>25</v>
      </c>
      <c r="D152" s="133"/>
      <c r="E152" s="134"/>
      <c r="F152" s="135"/>
      <c r="G152" s="136"/>
      <c r="H152" s="96"/>
      <c r="I152" s="96"/>
      <c r="J152" s="75">
        <v>1</v>
      </c>
      <c r="K152" s="75">
        <v>1</v>
      </c>
      <c r="L152" s="75">
        <v>1</v>
      </c>
      <c r="M152" s="75"/>
      <c r="N152" s="75">
        <v>1</v>
      </c>
      <c r="O152" s="96"/>
      <c r="P152" s="163"/>
      <c r="Q152" s="109"/>
      <c r="R152" s="111"/>
      <c r="S152" s="75">
        <v>1</v>
      </c>
      <c r="T152" s="110">
        <v>1</v>
      </c>
      <c r="U152" s="110"/>
      <c r="V152" s="75">
        <v>1</v>
      </c>
      <c r="W152" s="75">
        <v>1</v>
      </c>
      <c r="X152" s="100"/>
      <c r="Y152" s="110"/>
      <c r="Z152" s="110">
        <v>1</v>
      </c>
      <c r="AA152" s="100">
        <v>1</v>
      </c>
      <c r="AB152" s="109"/>
      <c r="AC152" s="108"/>
      <c r="AD152" s="109"/>
      <c r="AE152" s="109"/>
      <c r="AF152" s="109"/>
      <c r="AG152" s="109"/>
      <c r="AH152" s="100"/>
      <c r="AI152" s="100"/>
      <c r="AJ152" s="142"/>
      <c r="AK152" s="448"/>
      <c r="AL152" s="111"/>
      <c r="AM152" s="100"/>
      <c r="AN152" s="100"/>
      <c r="AO152" s="111"/>
      <c r="AP152" s="100"/>
      <c r="AQ152" s="100"/>
      <c r="AR152" s="111"/>
      <c r="AS152" s="142"/>
      <c r="AT152" s="150"/>
    </row>
    <row r="153" spans="1:46" ht="16.3">
      <c r="A153" s="611" t="s">
        <v>2</v>
      </c>
      <c r="B153" s="210">
        <f>SUM(J153+K153+L153+M153+N153+S153+V153+W153+X153+AA153+AI153+AJ153+AI153+AM153+AP153+AQ153+AS153+AT153+AU153+AV153)</f>
        <v>0</v>
      </c>
      <c r="C153" s="215">
        <f t="shared" ref="C153:C157" si="20">B153</f>
        <v>0</v>
      </c>
      <c r="D153" s="133"/>
      <c r="E153" s="134"/>
      <c r="F153" s="135"/>
      <c r="G153" s="136"/>
      <c r="H153" s="96"/>
      <c r="I153" s="96"/>
      <c r="J153" s="75"/>
      <c r="K153" s="75"/>
      <c r="L153" s="75"/>
      <c r="M153" s="75"/>
      <c r="N153" s="75"/>
      <c r="O153" s="96"/>
      <c r="P153" s="163"/>
      <c r="Q153" s="109"/>
      <c r="R153" s="111"/>
      <c r="S153" s="75"/>
      <c r="T153" s="110"/>
      <c r="U153" s="110"/>
      <c r="V153" s="75"/>
      <c r="W153" s="75"/>
      <c r="X153" s="100"/>
      <c r="Y153" s="110"/>
      <c r="Z153" s="110"/>
      <c r="AA153" s="100"/>
      <c r="AB153" s="109"/>
      <c r="AC153" s="108"/>
      <c r="AD153" s="109"/>
      <c r="AE153" s="109"/>
      <c r="AF153" s="109"/>
      <c r="AG153" s="109"/>
      <c r="AH153" s="100"/>
      <c r="AI153" s="100"/>
      <c r="AJ153" s="142"/>
      <c r="AK153" s="448"/>
      <c r="AL153" s="111"/>
      <c r="AM153" s="100"/>
      <c r="AN153" s="100"/>
      <c r="AO153" s="111"/>
      <c r="AP153" s="100"/>
      <c r="AQ153" s="100"/>
      <c r="AR153" s="111"/>
      <c r="AS153" s="142"/>
      <c r="AT153" s="150"/>
    </row>
    <row r="154" spans="1:46" ht="16.3">
      <c r="A154" s="91" t="s">
        <v>363</v>
      </c>
      <c r="B154" s="209">
        <f>SUM(B152+B153)</f>
        <v>25</v>
      </c>
      <c r="C154" s="214">
        <f t="shared" si="20"/>
        <v>25</v>
      </c>
      <c r="D154" s="133"/>
      <c r="E154" s="134"/>
      <c r="F154" s="135"/>
      <c r="G154" s="136"/>
      <c r="H154" s="96"/>
      <c r="I154" s="96"/>
      <c r="J154" s="75"/>
      <c r="K154" s="75"/>
      <c r="L154" s="75"/>
      <c r="M154" s="75"/>
      <c r="N154" s="75"/>
      <c r="O154" s="96"/>
      <c r="P154" s="163"/>
      <c r="Q154" s="109"/>
      <c r="R154" s="111"/>
      <c r="S154" s="75"/>
      <c r="T154" s="110"/>
      <c r="U154" s="110"/>
      <c r="V154" s="75"/>
      <c r="W154" s="75"/>
      <c r="X154" s="100"/>
      <c r="Y154" s="110"/>
      <c r="Z154" s="110"/>
      <c r="AA154" s="100"/>
      <c r="AB154" s="109"/>
      <c r="AC154" s="108"/>
      <c r="AD154" s="109"/>
      <c r="AE154" s="109"/>
      <c r="AF154" s="109"/>
      <c r="AG154" s="109"/>
      <c r="AH154" s="100"/>
      <c r="AI154" s="100"/>
      <c r="AJ154" s="142"/>
      <c r="AK154" s="448"/>
      <c r="AL154" s="111"/>
      <c r="AM154" s="100"/>
      <c r="AN154" s="100"/>
      <c r="AO154" s="111"/>
      <c r="AP154" s="100"/>
      <c r="AQ154" s="100"/>
      <c r="AR154" s="111"/>
      <c r="AS154" s="142"/>
      <c r="AT154" s="150"/>
    </row>
    <row r="155" spans="1:46" ht="16.3">
      <c r="A155" s="611" t="s">
        <v>366</v>
      </c>
      <c r="B155" s="210">
        <f>SUM(J155+K155+L155+M155+N155+S155+V155+W155+X155+AA155+AI155+AJ155+AI155+AM155+AP155+AQ155+AS155+AT155+AU155+AV155)+2</f>
        <v>10</v>
      </c>
      <c r="C155" s="215">
        <f t="shared" si="20"/>
        <v>10</v>
      </c>
      <c r="D155" s="133"/>
      <c r="E155" s="134"/>
      <c r="F155" s="135"/>
      <c r="G155" s="136"/>
      <c r="H155" s="96"/>
      <c r="I155" s="96"/>
      <c r="J155" s="75">
        <v>1</v>
      </c>
      <c r="K155" s="75">
        <v>1</v>
      </c>
      <c r="L155" s="75">
        <v>1</v>
      </c>
      <c r="M155" s="75"/>
      <c r="N155" s="75">
        <v>1</v>
      </c>
      <c r="O155" s="96"/>
      <c r="P155" s="163"/>
      <c r="Q155" s="109"/>
      <c r="R155" s="111"/>
      <c r="S155" s="75">
        <v>1</v>
      </c>
      <c r="T155" s="110">
        <v>1</v>
      </c>
      <c r="U155" s="110"/>
      <c r="V155" s="75">
        <v>1</v>
      </c>
      <c r="W155" s="75">
        <v>1</v>
      </c>
      <c r="X155" s="100"/>
      <c r="Y155" s="110"/>
      <c r="Z155" s="110">
        <v>1</v>
      </c>
      <c r="AA155" s="100">
        <v>1</v>
      </c>
      <c r="AB155" s="109"/>
      <c r="AC155" s="108"/>
      <c r="AD155" s="109"/>
      <c r="AE155" s="109"/>
      <c r="AF155" s="109"/>
      <c r="AG155" s="109"/>
      <c r="AH155" s="100"/>
      <c r="AI155" s="100"/>
      <c r="AJ155" s="142"/>
      <c r="AK155" s="448"/>
      <c r="AL155" s="111"/>
      <c r="AM155" s="100"/>
      <c r="AN155" s="100"/>
      <c r="AO155" s="111"/>
      <c r="AP155" s="100"/>
      <c r="AQ155" s="100"/>
      <c r="AR155" s="111"/>
      <c r="AS155" s="142"/>
      <c r="AT155" s="150"/>
    </row>
    <row r="156" spans="1:46" ht="16.3">
      <c r="A156" s="611" t="s">
        <v>5</v>
      </c>
      <c r="B156" s="210">
        <f>SUM(J156+K156+L156+M156+N156+S156+V156+W156+X156+AA156+AI156+AJ156+AI156+AM156+AP156+AQ156+AS156+AT156+AU156+AV156)+3</f>
        <v>3</v>
      </c>
      <c r="C156" s="215">
        <f t="shared" si="20"/>
        <v>3</v>
      </c>
      <c r="D156" s="133"/>
      <c r="E156" s="134"/>
      <c r="F156" s="135"/>
      <c r="G156" s="136"/>
      <c r="H156" s="96"/>
      <c r="I156" s="96"/>
      <c r="J156" s="75"/>
      <c r="K156" s="75"/>
      <c r="L156" s="75"/>
      <c r="M156" s="75"/>
      <c r="N156" s="75"/>
      <c r="O156" s="96"/>
      <c r="P156" s="163"/>
      <c r="Q156" s="109"/>
      <c r="R156" s="111"/>
      <c r="S156" s="100"/>
      <c r="T156" s="110"/>
      <c r="U156" s="110"/>
      <c r="V156" s="100"/>
      <c r="W156" s="100"/>
      <c r="X156" s="100"/>
      <c r="Y156" s="110"/>
      <c r="Z156" s="110"/>
      <c r="AA156" s="100"/>
      <c r="AB156" s="109"/>
      <c r="AC156" s="108"/>
      <c r="AD156" s="109"/>
      <c r="AE156" s="109"/>
      <c r="AF156" s="109"/>
      <c r="AG156" s="109"/>
      <c r="AH156" s="100"/>
      <c r="AI156" s="100"/>
      <c r="AJ156" s="142"/>
      <c r="AK156" s="448"/>
      <c r="AL156" s="111"/>
      <c r="AM156" s="100"/>
      <c r="AN156" s="100"/>
      <c r="AO156" s="111"/>
      <c r="AP156" s="100"/>
      <c r="AQ156" s="100"/>
      <c r="AR156" s="111"/>
      <c r="AS156" s="142"/>
      <c r="AT156" s="150"/>
    </row>
    <row r="157" spans="1:46" ht="16.3">
      <c r="A157" s="611" t="s">
        <v>6</v>
      </c>
      <c r="B157" s="210">
        <f>SUM(J157+K157+L157+M157+N157+S157+V157+W157+X157+AA157+AI157+AJ157+AI157+AM157+AP157+AQ157+AS157+AT157+AU157+AV157)+5</f>
        <v>5</v>
      </c>
      <c r="C157" s="215">
        <f t="shared" si="20"/>
        <v>5</v>
      </c>
      <c r="D157" s="133"/>
      <c r="E157" s="134"/>
      <c r="F157" s="135"/>
      <c r="G157" s="136"/>
      <c r="H157" s="96"/>
      <c r="I157" s="96"/>
      <c r="J157" s="75"/>
      <c r="K157" s="75"/>
      <c r="L157" s="75"/>
      <c r="M157" s="75"/>
      <c r="N157" s="75"/>
      <c r="O157" s="96"/>
      <c r="P157" s="163"/>
      <c r="Q157" s="109"/>
      <c r="R157" s="111"/>
      <c r="S157" s="100"/>
      <c r="T157" s="110"/>
      <c r="U157" s="110"/>
      <c r="V157" s="100"/>
      <c r="W157" s="100"/>
      <c r="X157" s="100"/>
      <c r="Y157" s="110"/>
      <c r="Z157" s="110"/>
      <c r="AA157" s="100"/>
      <c r="AB157" s="109"/>
      <c r="AC157" s="108"/>
      <c r="AD157" s="109"/>
      <c r="AE157" s="109"/>
      <c r="AF157" s="109"/>
      <c r="AG157" s="109"/>
      <c r="AH157" s="100"/>
      <c r="AI157" s="100"/>
      <c r="AJ157" s="142"/>
      <c r="AK157" s="448"/>
      <c r="AL157" s="111"/>
      <c r="AM157" s="100"/>
      <c r="AN157" s="100"/>
      <c r="AO157" s="111"/>
      <c r="AP157" s="100"/>
      <c r="AQ157" s="100"/>
      <c r="AR157" s="111"/>
      <c r="AS157" s="142"/>
      <c r="AT157" s="150"/>
    </row>
    <row r="158" spans="1:46" ht="16.3">
      <c r="A158" s="611" t="s">
        <v>368</v>
      </c>
      <c r="B158" s="211">
        <f>SUM(B156/B157)*100</f>
        <v>60</v>
      </c>
      <c r="C158" s="216">
        <f>SUM(C156/C157)*100</f>
        <v>60</v>
      </c>
      <c r="D158" s="133"/>
      <c r="E158" s="134"/>
      <c r="F158" s="135"/>
      <c r="G158" s="136"/>
      <c r="H158" s="96"/>
      <c r="I158" s="96"/>
      <c r="J158" s="75"/>
      <c r="K158" s="75"/>
      <c r="L158" s="75"/>
      <c r="M158" s="75"/>
      <c r="N158" s="75"/>
      <c r="O158" s="96"/>
      <c r="P158" s="163"/>
      <c r="Q158" s="109"/>
      <c r="R158" s="111"/>
      <c r="S158" s="100"/>
      <c r="T158" s="110"/>
      <c r="U158" s="110"/>
      <c r="V158" s="100"/>
      <c r="W158" s="100"/>
      <c r="X158" s="100"/>
      <c r="Y158" s="110"/>
      <c r="Z158" s="110"/>
      <c r="AA158" s="100"/>
      <c r="AB158" s="109"/>
      <c r="AC158" s="108"/>
      <c r="AD158" s="109"/>
      <c r="AE158" s="109"/>
      <c r="AF158" s="109"/>
      <c r="AG158" s="109"/>
      <c r="AH158" s="100"/>
      <c r="AI158" s="100"/>
      <c r="AJ158" s="142"/>
      <c r="AK158" s="448"/>
      <c r="AL158" s="111"/>
      <c r="AM158" s="100"/>
      <c r="AN158" s="100"/>
      <c r="AO158" s="111"/>
      <c r="AP158" s="100"/>
      <c r="AQ158" s="100"/>
      <c r="AR158" s="111"/>
      <c r="AS158" s="142"/>
      <c r="AT158" s="150"/>
    </row>
    <row r="159" spans="1:46" ht="16.3">
      <c r="A159" s="91" t="s">
        <v>3</v>
      </c>
      <c r="B159" s="209">
        <f>SUM(J159+K159+L159+M159+N159+S159+V159+W159+X159+AA159+AI159+AJ159+AI159+AM159+AP159+AQ159+AS159+AT159+AU159+AV159)+9</f>
        <v>9</v>
      </c>
      <c r="C159" s="214">
        <f t="shared" ref="C159:C160" si="21">B159</f>
        <v>9</v>
      </c>
      <c r="D159" s="133"/>
      <c r="E159" s="134"/>
      <c r="F159" s="135"/>
      <c r="G159" s="136"/>
      <c r="H159" s="96"/>
      <c r="I159" s="96"/>
      <c r="J159" s="75"/>
      <c r="K159" s="75"/>
      <c r="L159" s="75"/>
      <c r="M159" s="75"/>
      <c r="N159" s="75"/>
      <c r="O159" s="96"/>
      <c r="P159" s="163"/>
      <c r="Q159" s="109"/>
      <c r="R159" s="111"/>
      <c r="S159" s="100"/>
      <c r="T159" s="110"/>
      <c r="U159" s="110"/>
      <c r="V159" s="100"/>
      <c r="W159" s="100"/>
      <c r="X159" s="100"/>
      <c r="Y159" s="110"/>
      <c r="Z159" s="110">
        <v>1</v>
      </c>
      <c r="AA159" s="100"/>
      <c r="AB159" s="109"/>
      <c r="AC159" s="108"/>
      <c r="AD159" s="109"/>
      <c r="AE159" s="109"/>
      <c r="AF159" s="109"/>
      <c r="AG159" s="109"/>
      <c r="AH159" s="100"/>
      <c r="AI159" s="100"/>
      <c r="AJ159" s="142"/>
      <c r="AK159" s="448"/>
      <c r="AL159" s="111"/>
      <c r="AM159" s="100"/>
      <c r="AN159" s="100"/>
      <c r="AO159" s="111"/>
      <c r="AP159" s="100"/>
      <c r="AQ159" s="100"/>
      <c r="AR159" s="111"/>
      <c r="AS159" s="142"/>
      <c r="AT159" s="150"/>
    </row>
    <row r="160" spans="1:46" ht="17" thickBot="1">
      <c r="A160" s="92" t="s">
        <v>4</v>
      </c>
      <c r="B160" s="212">
        <f>SUM(J160+K160+L160+M160+N160+S160+V160+W160+X160+AA160+AI160+AJ160+AI160+AM160+AP160+AQ160+AS160+AT160+AU160+AV160)+51</f>
        <v>51</v>
      </c>
      <c r="C160" s="217">
        <f t="shared" si="21"/>
        <v>51</v>
      </c>
      <c r="D160" s="144"/>
      <c r="E160" s="145"/>
      <c r="F160" s="146"/>
      <c r="G160" s="147"/>
      <c r="H160" s="114"/>
      <c r="I160" s="114"/>
      <c r="J160" s="112"/>
      <c r="K160" s="112"/>
      <c r="L160" s="112"/>
      <c r="M160" s="112"/>
      <c r="N160" s="112"/>
      <c r="O160" s="114"/>
      <c r="P160" s="164"/>
      <c r="Q160" s="118"/>
      <c r="R160" s="130"/>
      <c r="S160" s="100"/>
      <c r="T160" s="110"/>
      <c r="U160" s="110"/>
      <c r="V160" s="100"/>
      <c r="W160" s="100"/>
      <c r="X160" s="100"/>
      <c r="Y160" s="110"/>
      <c r="Z160" s="110">
        <v>5</v>
      </c>
      <c r="AA160" s="100"/>
      <c r="AB160" s="109"/>
      <c r="AC160" s="108"/>
      <c r="AD160" s="109"/>
      <c r="AE160" s="109"/>
      <c r="AF160" s="109"/>
      <c r="AG160" s="109"/>
      <c r="AH160" s="100"/>
      <c r="AI160" s="100"/>
      <c r="AJ160" s="142"/>
      <c r="AK160" s="448"/>
      <c r="AL160" s="111"/>
      <c r="AM160" s="100"/>
      <c r="AN160" s="100"/>
      <c r="AO160" s="111"/>
      <c r="AP160" s="100"/>
      <c r="AQ160" s="100"/>
      <c r="AR160" s="111"/>
      <c r="AS160" s="142"/>
      <c r="AT160" s="150"/>
    </row>
    <row r="161" spans="1:46" ht="21.1">
      <c r="A161" s="90" t="s">
        <v>249</v>
      </c>
      <c r="B161" s="209"/>
      <c r="C161" s="214"/>
      <c r="D161" s="133"/>
      <c r="E161" s="134"/>
      <c r="F161" s="135"/>
      <c r="G161" s="136"/>
      <c r="H161" s="124">
        <v>9</v>
      </c>
      <c r="I161" s="124"/>
      <c r="J161" s="122" t="s">
        <v>375</v>
      </c>
      <c r="K161" s="122" t="s">
        <v>393</v>
      </c>
      <c r="L161" s="122" t="s">
        <v>375</v>
      </c>
      <c r="M161" s="122">
        <v>9</v>
      </c>
      <c r="N161" s="122" t="s">
        <v>393</v>
      </c>
      <c r="O161" s="124" t="s">
        <v>339</v>
      </c>
      <c r="P161" s="166"/>
      <c r="Q161" s="99" t="s">
        <v>339</v>
      </c>
      <c r="R161" s="103"/>
      <c r="S161" s="102" t="s">
        <v>339</v>
      </c>
      <c r="T161" s="101" t="s">
        <v>339</v>
      </c>
      <c r="U161" s="101" t="s">
        <v>339</v>
      </c>
      <c r="V161" s="102" t="s">
        <v>339</v>
      </c>
      <c r="W161" s="102" t="s">
        <v>339</v>
      </c>
      <c r="X161" s="102" t="s">
        <v>339</v>
      </c>
      <c r="Y161" s="101" t="s">
        <v>339</v>
      </c>
      <c r="Z161" s="101" t="s">
        <v>339</v>
      </c>
      <c r="AA161" s="102" t="s">
        <v>339</v>
      </c>
      <c r="AB161" s="99" t="s">
        <v>339</v>
      </c>
      <c r="AC161" s="98"/>
      <c r="AD161" s="99" t="s">
        <v>375</v>
      </c>
      <c r="AE161" s="99" t="s">
        <v>378</v>
      </c>
      <c r="AF161" s="99" t="s">
        <v>378</v>
      </c>
      <c r="AG161" s="99"/>
      <c r="AH161" s="102"/>
      <c r="AI161" s="102"/>
      <c r="AJ161" s="138"/>
      <c r="AK161" s="446"/>
      <c r="AL161" s="103"/>
      <c r="AM161" s="102"/>
      <c r="AN161" s="102"/>
      <c r="AO161" s="103"/>
      <c r="AP161" s="102"/>
      <c r="AQ161" s="102"/>
      <c r="AR161" s="103"/>
      <c r="AS161" s="138"/>
      <c r="AT161" s="478"/>
    </row>
    <row r="162" spans="1:46" ht="16.3">
      <c r="A162" s="611" t="s">
        <v>1</v>
      </c>
      <c r="B162" s="210">
        <f>SUM(J162+K162+L162+M162+N162+S162+V162+W162+X162+AA162+AI162+AJ162+AI162+AM162+AP162+AQ162+AS162+AT162+AU162+AV162+AN162)+5</f>
        <v>6</v>
      </c>
      <c r="C162" s="215">
        <f>SUM(J162+K162+L162+M162+N162+S162+W162+X162+V162+AA162+AJ162+AI162+AJ162+AN162+AQ162+AM162+AT162+AU162+AV162+AW162+AP162+AS162)+6</f>
        <v>7</v>
      </c>
      <c r="D162" s="133"/>
      <c r="E162" s="134"/>
      <c r="F162" s="135"/>
      <c r="G162" s="136"/>
      <c r="H162" s="96">
        <v>1</v>
      </c>
      <c r="I162" s="96"/>
      <c r="J162" s="75"/>
      <c r="K162" s="75"/>
      <c r="L162" s="75"/>
      <c r="M162" s="75">
        <v>1</v>
      </c>
      <c r="N162" s="75"/>
      <c r="O162" s="96"/>
      <c r="P162" s="163"/>
      <c r="Q162" s="109"/>
      <c r="R162" s="111"/>
      <c r="S162" s="100"/>
      <c r="T162" s="110"/>
      <c r="U162" s="110"/>
      <c r="V162" s="100"/>
      <c r="W162" s="100"/>
      <c r="X162" s="100"/>
      <c r="Y162" s="110"/>
      <c r="Z162" s="110"/>
      <c r="AA162" s="100"/>
      <c r="AB162" s="109"/>
      <c r="AC162" s="108"/>
      <c r="AD162" s="109"/>
      <c r="AE162" s="109">
        <v>1</v>
      </c>
      <c r="AF162" s="109">
        <v>1</v>
      </c>
      <c r="AG162" s="109"/>
      <c r="AH162" s="100"/>
      <c r="AI162" s="100"/>
      <c r="AJ162" s="142"/>
      <c r="AK162" s="448"/>
      <c r="AL162" s="111"/>
      <c r="AM162" s="100"/>
      <c r="AN162" s="100"/>
      <c r="AO162" s="111"/>
      <c r="AP162" s="100"/>
      <c r="AQ162" s="100"/>
      <c r="AR162" s="111"/>
      <c r="AS162" s="142"/>
      <c r="AT162" s="150"/>
    </row>
    <row r="163" spans="1:46" ht="16.3">
      <c r="A163" s="611" t="s">
        <v>2</v>
      </c>
      <c r="B163" s="210">
        <f>SUM(J163+K163+L163+M163+N163+S163+V163+W163+X163+AA163+AI163+AJ163+AI163+AM163+AP163+AQ163+AS163+AT163+AU163+AV163)+17</f>
        <v>19</v>
      </c>
      <c r="C163" s="215">
        <f>SUM(J163+K163+L163+M163+N163+S163+W163+X163+V163+AA163+AJ163+AI163+AJ163+AN163+AQ163+AM163+AT163+AU163+AV163+AW163+AP163+AS163)+28</f>
        <v>30</v>
      </c>
      <c r="D163" s="133"/>
      <c r="E163" s="134"/>
      <c r="F163" s="135"/>
      <c r="G163" s="136"/>
      <c r="H163" s="96"/>
      <c r="I163" s="96"/>
      <c r="J163" s="75">
        <v>1</v>
      </c>
      <c r="K163" s="75"/>
      <c r="L163" s="75">
        <v>1</v>
      </c>
      <c r="M163" s="75"/>
      <c r="N163" s="75"/>
      <c r="O163" s="96"/>
      <c r="P163" s="163"/>
      <c r="Q163" s="109"/>
      <c r="R163" s="111"/>
      <c r="S163" s="100"/>
      <c r="T163" s="110"/>
      <c r="U163" s="110"/>
      <c r="V163" s="100"/>
      <c r="W163" s="100"/>
      <c r="X163" s="100"/>
      <c r="Y163" s="110"/>
      <c r="Z163" s="110"/>
      <c r="AA163" s="100"/>
      <c r="AB163" s="109"/>
      <c r="AC163" s="108"/>
      <c r="AD163" s="109">
        <v>1</v>
      </c>
      <c r="AE163" s="109"/>
      <c r="AF163" s="109"/>
      <c r="AG163" s="109"/>
      <c r="AH163" s="100"/>
      <c r="AI163" s="100"/>
      <c r="AJ163" s="142"/>
      <c r="AK163" s="448"/>
      <c r="AL163" s="111"/>
      <c r="AM163" s="100"/>
      <c r="AN163" s="100"/>
      <c r="AO163" s="111"/>
      <c r="AP163" s="100"/>
      <c r="AQ163" s="100"/>
      <c r="AR163" s="111"/>
      <c r="AS163" s="142"/>
      <c r="AT163" s="150"/>
    </row>
    <row r="164" spans="1:46" ht="16.3">
      <c r="A164" s="91" t="s">
        <v>363</v>
      </c>
      <c r="B164" s="209">
        <f>SUM(B162+B163)</f>
        <v>25</v>
      </c>
      <c r="C164" s="214">
        <f>SUM(C162+C163)</f>
        <v>37</v>
      </c>
      <c r="D164" s="133"/>
      <c r="E164" s="134"/>
      <c r="F164" s="135"/>
      <c r="G164" s="136"/>
      <c r="H164" s="96"/>
      <c r="I164" s="96"/>
      <c r="J164" s="75"/>
      <c r="K164" s="75"/>
      <c r="L164" s="75"/>
      <c r="M164" s="75"/>
      <c r="N164" s="75"/>
      <c r="O164" s="96"/>
      <c r="P164" s="163"/>
      <c r="Q164" s="109"/>
      <c r="R164" s="111"/>
      <c r="S164" s="100"/>
      <c r="T164" s="110"/>
      <c r="U164" s="110"/>
      <c r="V164" s="100"/>
      <c r="W164" s="100"/>
      <c r="X164" s="100"/>
      <c r="Y164" s="110"/>
      <c r="Z164" s="110"/>
      <c r="AA164" s="100"/>
      <c r="AB164" s="109"/>
      <c r="AC164" s="108"/>
      <c r="AD164" s="109"/>
      <c r="AE164" s="109"/>
      <c r="AF164" s="109"/>
      <c r="AG164" s="109"/>
      <c r="AH164" s="100"/>
      <c r="AI164" s="100"/>
      <c r="AJ164" s="142"/>
      <c r="AK164" s="448"/>
      <c r="AL164" s="111"/>
      <c r="AM164" s="100"/>
      <c r="AN164" s="100"/>
      <c r="AO164" s="111"/>
      <c r="AP164" s="100"/>
      <c r="AQ164" s="100"/>
      <c r="AR164" s="111"/>
      <c r="AS164" s="142"/>
      <c r="AT164" s="150"/>
    </row>
    <row r="165" spans="1:46" ht="16.3">
      <c r="A165" s="611" t="s">
        <v>5</v>
      </c>
      <c r="B165" s="210">
        <f>SUM(J165+K165+L165+M165+N165+S165+V165+W165+X165+AA165+AI165+AJ165+AI165+AM165+AP165+AQ165+AS165+AT165+AU165+AV165)+5</f>
        <v>5</v>
      </c>
      <c r="C165" s="215">
        <f>SUM(J165+K165+L165+M165+N165+S165+W165+X165+V165+AA165+AJ165+AI165+AJ165+AN165+AQ165+AM165+AT165+AU165+AV165+AW165+AP165+AS165)+8</f>
        <v>8</v>
      </c>
      <c r="D165" s="133"/>
      <c r="E165" s="134"/>
      <c r="F165" s="135"/>
      <c r="G165" s="136"/>
      <c r="H165" s="96"/>
      <c r="I165" s="96"/>
      <c r="J165" s="75"/>
      <c r="K165" s="75"/>
      <c r="L165" s="75"/>
      <c r="M165" s="75"/>
      <c r="N165" s="75"/>
      <c r="O165" s="96"/>
      <c r="P165" s="163"/>
      <c r="Q165" s="109"/>
      <c r="R165" s="111"/>
      <c r="S165" s="100"/>
      <c r="T165" s="110"/>
      <c r="U165" s="110"/>
      <c r="V165" s="100"/>
      <c r="W165" s="100"/>
      <c r="X165" s="100"/>
      <c r="Y165" s="110"/>
      <c r="Z165" s="110"/>
      <c r="AA165" s="100"/>
      <c r="AB165" s="109"/>
      <c r="AC165" s="108"/>
      <c r="AD165" s="109"/>
      <c r="AE165" s="109">
        <v>0</v>
      </c>
      <c r="AF165" s="109"/>
      <c r="AG165" s="109"/>
      <c r="AH165" s="100"/>
      <c r="AI165" s="100"/>
      <c r="AJ165" s="142"/>
      <c r="AK165" s="448"/>
      <c r="AL165" s="111"/>
      <c r="AM165" s="100"/>
      <c r="AN165" s="100"/>
      <c r="AO165" s="111"/>
      <c r="AP165" s="100"/>
      <c r="AQ165" s="100"/>
      <c r="AR165" s="111"/>
      <c r="AS165" s="142"/>
      <c r="AT165" s="150"/>
    </row>
    <row r="166" spans="1:46" ht="16.3">
      <c r="A166" s="611" t="s">
        <v>6</v>
      </c>
      <c r="B166" s="210">
        <f>SUM(J166+K166+L166+M166+N166+S166+V166+W166+X166+AA166+AI166+AJ166+AI166+AM166+AP166+AQ166+AS166+AT166+AU166+AV166)+8</f>
        <v>8</v>
      </c>
      <c r="C166" s="215">
        <f>SUM(J166+K166+L166+M166+N166+S166+W166+X166+V166+AA166+AJ166+AI166+AJ166+AN166+AQ166+AM166+AT166+AU166+AV166+AW166+AP166+AS166)+12</f>
        <v>12</v>
      </c>
      <c r="D166" s="133"/>
      <c r="E166" s="134"/>
      <c r="F166" s="135"/>
      <c r="G166" s="136"/>
      <c r="H166" s="96"/>
      <c r="I166" s="96"/>
      <c r="J166" s="75"/>
      <c r="K166" s="75"/>
      <c r="L166" s="75"/>
      <c r="M166" s="75"/>
      <c r="N166" s="75"/>
      <c r="O166" s="96"/>
      <c r="P166" s="163"/>
      <c r="Q166" s="109"/>
      <c r="R166" s="111"/>
      <c r="S166" s="100"/>
      <c r="T166" s="110"/>
      <c r="U166" s="110"/>
      <c r="V166" s="100"/>
      <c r="W166" s="100"/>
      <c r="X166" s="100"/>
      <c r="Y166" s="110"/>
      <c r="Z166" s="110"/>
      <c r="AA166" s="100"/>
      <c r="AB166" s="109"/>
      <c r="AC166" s="108"/>
      <c r="AD166" s="109"/>
      <c r="AE166" s="109">
        <v>1</v>
      </c>
      <c r="AF166" s="109"/>
      <c r="AG166" s="109"/>
      <c r="AH166" s="100"/>
      <c r="AI166" s="100"/>
      <c r="AJ166" s="142"/>
      <c r="AK166" s="448"/>
      <c r="AL166" s="111"/>
      <c r="AM166" s="100"/>
      <c r="AN166" s="100"/>
      <c r="AO166" s="111"/>
      <c r="AP166" s="100"/>
      <c r="AQ166" s="100"/>
      <c r="AR166" s="111"/>
      <c r="AS166" s="142"/>
      <c r="AT166" s="150"/>
    </row>
    <row r="167" spans="1:46" ht="16.3">
      <c r="A167" s="611" t="s">
        <v>368</v>
      </c>
      <c r="B167" s="211">
        <f>SUM(B165/B166)*100</f>
        <v>62.5</v>
      </c>
      <c r="C167" s="216">
        <f>SUM(C165/C166)*100</f>
        <v>66.666666666666657</v>
      </c>
      <c r="D167" s="133"/>
      <c r="E167" s="134"/>
      <c r="F167" s="135"/>
      <c r="G167" s="136"/>
      <c r="H167" s="96"/>
      <c r="I167" s="96"/>
      <c r="J167" s="75"/>
      <c r="K167" s="75"/>
      <c r="L167" s="75"/>
      <c r="M167" s="75"/>
      <c r="N167" s="75"/>
      <c r="O167" s="96"/>
      <c r="P167" s="163"/>
      <c r="Q167" s="109"/>
      <c r="R167" s="111"/>
      <c r="S167" s="100"/>
      <c r="T167" s="110"/>
      <c r="U167" s="110"/>
      <c r="V167" s="100"/>
      <c r="W167" s="100"/>
      <c r="X167" s="100"/>
      <c r="Y167" s="110"/>
      <c r="Z167" s="110"/>
      <c r="AA167" s="100"/>
      <c r="AB167" s="109"/>
      <c r="AC167" s="108"/>
      <c r="AD167" s="109"/>
      <c r="AE167" s="109">
        <v>0</v>
      </c>
      <c r="AF167" s="109"/>
      <c r="AG167" s="109"/>
      <c r="AH167" s="100"/>
      <c r="AI167" s="100"/>
      <c r="AJ167" s="142"/>
      <c r="AK167" s="448"/>
      <c r="AL167" s="111"/>
      <c r="AM167" s="100"/>
      <c r="AN167" s="100"/>
      <c r="AO167" s="111"/>
      <c r="AP167" s="100"/>
      <c r="AQ167" s="100"/>
      <c r="AR167" s="111"/>
      <c r="AS167" s="142"/>
      <c r="AT167" s="150"/>
    </row>
    <row r="168" spans="1:46" ht="16.3">
      <c r="A168" s="91" t="s">
        <v>3</v>
      </c>
      <c r="B168" s="209">
        <f>SUM(J168+K168+L168+M168+N168+S168+V168+W168+X168+AA168+AI168+AJ168+AI168+AM168+AP168+AQ168+AS168+AT168+AU168+AV168)+1</f>
        <v>1</v>
      </c>
      <c r="C168" s="214">
        <f>SUM(J168+K168+L168+M168+N168+S168+W168+X168+V168+AA168+AJ168+AI168+AJ168+AN168+AQ168+AM168+AT168+AU168+AV168+AW168+AP168+AS168)+1</f>
        <v>1</v>
      </c>
      <c r="D168" s="133"/>
      <c r="E168" s="134"/>
      <c r="F168" s="135"/>
      <c r="G168" s="136"/>
      <c r="H168" s="96"/>
      <c r="I168" s="96"/>
      <c r="J168" s="75"/>
      <c r="K168" s="75"/>
      <c r="L168" s="75"/>
      <c r="M168" s="75"/>
      <c r="N168" s="75"/>
      <c r="O168" s="96"/>
      <c r="P168" s="163"/>
      <c r="Q168" s="109"/>
      <c r="R168" s="111"/>
      <c r="S168" s="100"/>
      <c r="T168" s="110"/>
      <c r="U168" s="110"/>
      <c r="V168" s="100"/>
      <c r="W168" s="100"/>
      <c r="X168" s="100"/>
      <c r="Y168" s="110"/>
      <c r="Z168" s="110"/>
      <c r="AA168" s="100"/>
      <c r="AB168" s="109"/>
      <c r="AC168" s="108"/>
      <c r="AD168" s="109"/>
      <c r="AE168" s="109"/>
      <c r="AF168" s="109"/>
      <c r="AG168" s="109"/>
      <c r="AH168" s="100"/>
      <c r="AI168" s="100"/>
      <c r="AJ168" s="142"/>
      <c r="AK168" s="448"/>
      <c r="AL168" s="111"/>
      <c r="AM168" s="100"/>
      <c r="AN168" s="100"/>
      <c r="AO168" s="111"/>
      <c r="AP168" s="100"/>
      <c r="AQ168" s="100"/>
      <c r="AR168" s="111"/>
      <c r="AS168" s="142"/>
      <c r="AT168" s="150"/>
    </row>
    <row r="169" spans="1:46" ht="17" thickBot="1">
      <c r="A169" s="92" t="s">
        <v>4</v>
      </c>
      <c r="B169" s="212">
        <f>SUM(J169+K169+L169+M169+N169+S169+V169+W169+X169+AA169+AI169+AJ169+AI169+AM169+AP169+AQ169+AS169+AT169+AU169+AV169)+15</f>
        <v>15</v>
      </c>
      <c r="C169" s="217">
        <f>SUM(J169+K169+L169+M169+N169+S169+W169+X169+V169+AA169+AJ169+AI169+AJ169+AN169+AQ169+AM169+AT169+AU169+AV169+AW169+AP169+AS169)+21</f>
        <v>21</v>
      </c>
      <c r="D169" s="144"/>
      <c r="E169" s="145"/>
      <c r="F169" s="146"/>
      <c r="G169" s="147"/>
      <c r="H169" s="114"/>
      <c r="I169" s="114"/>
      <c r="J169" s="112"/>
      <c r="K169" s="112"/>
      <c r="L169" s="112"/>
      <c r="M169" s="112"/>
      <c r="N169" s="112"/>
      <c r="O169" s="114"/>
      <c r="P169" s="164"/>
      <c r="Q169" s="118"/>
      <c r="R169" s="121"/>
      <c r="S169" s="116"/>
      <c r="T169" s="120"/>
      <c r="U169" s="120"/>
      <c r="V169" s="116"/>
      <c r="W169" s="116"/>
      <c r="X169" s="116"/>
      <c r="Y169" s="120"/>
      <c r="Z169" s="120"/>
      <c r="AA169" s="116"/>
      <c r="AB169" s="118"/>
      <c r="AC169" s="117"/>
      <c r="AD169" s="118"/>
      <c r="AE169" s="118">
        <v>0</v>
      </c>
      <c r="AF169" s="118"/>
      <c r="AG169" s="118"/>
      <c r="AH169" s="116"/>
      <c r="AI169" s="116"/>
      <c r="AJ169" s="149"/>
      <c r="AK169" s="449"/>
      <c r="AL169" s="121"/>
      <c r="AM169" s="116"/>
      <c r="AN169" s="116"/>
      <c r="AO169" s="121"/>
      <c r="AP169" s="116"/>
      <c r="AQ169" s="116"/>
      <c r="AR169" s="121"/>
      <c r="AS169" s="149"/>
      <c r="AT169" s="176"/>
    </row>
    <row r="170" spans="1:46" ht="21.1">
      <c r="A170" s="89" t="s">
        <v>632</v>
      </c>
      <c r="B170" s="209"/>
      <c r="C170" s="214"/>
      <c r="D170" s="133"/>
      <c r="E170" s="134"/>
      <c r="F170" s="135"/>
      <c r="G170" s="136"/>
      <c r="H170" s="96"/>
      <c r="I170" s="96" t="s">
        <v>432</v>
      </c>
      <c r="J170" s="75"/>
      <c r="K170" s="75"/>
      <c r="L170" s="75"/>
      <c r="M170" s="75"/>
      <c r="N170" s="75"/>
      <c r="O170" s="96" t="s">
        <v>375</v>
      </c>
      <c r="P170" s="163"/>
      <c r="Q170" s="184" t="s">
        <v>393</v>
      </c>
      <c r="R170" s="586"/>
      <c r="S170" s="100"/>
      <c r="T170" s="110"/>
      <c r="U170" s="110" t="s">
        <v>375</v>
      </c>
      <c r="V170" s="100"/>
      <c r="W170" s="100"/>
      <c r="X170" s="100" t="s">
        <v>375</v>
      </c>
      <c r="Y170" s="110" t="s">
        <v>393</v>
      </c>
      <c r="Z170" s="110"/>
      <c r="AA170" s="100"/>
      <c r="AB170" s="109" t="s">
        <v>393</v>
      </c>
      <c r="AC170" s="108"/>
      <c r="AD170" s="109"/>
      <c r="AE170" s="109"/>
      <c r="AF170" s="109" t="s">
        <v>393</v>
      </c>
      <c r="AG170" s="109"/>
      <c r="AH170" s="100"/>
      <c r="AI170" s="100"/>
      <c r="AJ170" s="142"/>
      <c r="AK170" s="448"/>
      <c r="AL170" s="111"/>
      <c r="AM170" s="100"/>
      <c r="AN170" s="100"/>
      <c r="AO170" s="111"/>
      <c r="AP170" s="100"/>
      <c r="AQ170" s="100"/>
      <c r="AR170" s="111"/>
      <c r="AS170" s="142"/>
      <c r="AT170" s="150"/>
    </row>
    <row r="171" spans="1:46" ht="16.3">
      <c r="A171" s="611" t="s">
        <v>1</v>
      </c>
      <c r="B171" s="210">
        <f>SUM(J171+K171+L171+M171+N171+S171+V171+W171+X171+AA171+AI171+AJ171+AI171+AM171+AP171+AQ171+AS171+AT171+AU171+AV171+AN171)</f>
        <v>0</v>
      </c>
      <c r="C171" s="215">
        <f>B171</f>
        <v>0</v>
      </c>
      <c r="D171" s="133"/>
      <c r="E171" s="134"/>
      <c r="F171" s="135"/>
      <c r="G171" s="136"/>
      <c r="H171" s="96"/>
      <c r="I171" s="96"/>
      <c r="J171" s="75"/>
      <c r="K171" s="75"/>
      <c r="L171" s="75"/>
      <c r="M171" s="75"/>
      <c r="N171" s="75"/>
      <c r="O171" s="96"/>
      <c r="P171" s="163"/>
      <c r="Q171" s="167"/>
      <c r="R171" s="586"/>
      <c r="S171" s="100"/>
      <c r="T171" s="110"/>
      <c r="U171" s="110"/>
      <c r="V171" s="100"/>
      <c r="W171" s="100"/>
      <c r="X171" s="100"/>
      <c r="Y171" s="110"/>
      <c r="Z171" s="110"/>
      <c r="AA171" s="100"/>
      <c r="AB171" s="109"/>
      <c r="AC171" s="108"/>
      <c r="AD171" s="109"/>
      <c r="AE171" s="109"/>
      <c r="AF171" s="109"/>
      <c r="AG171" s="109"/>
      <c r="AH171" s="100"/>
      <c r="AI171" s="100"/>
      <c r="AJ171" s="142"/>
      <c r="AK171" s="448"/>
      <c r="AL171" s="111"/>
      <c r="AM171" s="100"/>
      <c r="AN171" s="100"/>
      <c r="AO171" s="111"/>
      <c r="AP171" s="100"/>
      <c r="AQ171" s="100"/>
      <c r="AR171" s="111"/>
      <c r="AS171" s="142"/>
      <c r="AT171" s="150"/>
    </row>
    <row r="172" spans="1:46" ht="16.3">
      <c r="A172" s="611" t="s">
        <v>2</v>
      </c>
      <c r="B172" s="210">
        <f>SUM(J172+K172+L172+M172+N172+S172+V172+W172+X172+AA172+AI172+AJ172+AI172+AM172+AP172+AQ172+AS172+AT172+AU172+AV172)</f>
        <v>1</v>
      </c>
      <c r="C172" s="215">
        <f t="shared" ref="C172:C175" si="22">B172</f>
        <v>1</v>
      </c>
      <c r="D172" s="133"/>
      <c r="E172" s="134"/>
      <c r="F172" s="135"/>
      <c r="G172" s="136"/>
      <c r="H172" s="96"/>
      <c r="I172" s="96">
        <v>1</v>
      </c>
      <c r="J172" s="75"/>
      <c r="K172" s="75"/>
      <c r="L172" s="75"/>
      <c r="M172" s="75"/>
      <c r="N172" s="75"/>
      <c r="O172" s="96">
        <v>1</v>
      </c>
      <c r="P172" s="163"/>
      <c r="Q172" s="167"/>
      <c r="R172" s="586"/>
      <c r="S172" s="100"/>
      <c r="T172" s="110"/>
      <c r="U172" s="110">
        <v>1</v>
      </c>
      <c r="V172" s="100"/>
      <c r="W172" s="100"/>
      <c r="X172" s="100">
        <v>1</v>
      </c>
      <c r="Y172" s="110"/>
      <c r="Z172" s="110"/>
      <c r="AA172" s="100"/>
      <c r="AB172" s="109"/>
      <c r="AC172" s="108"/>
      <c r="AD172" s="109"/>
      <c r="AE172" s="109"/>
      <c r="AF172" s="109"/>
      <c r="AG172" s="109"/>
      <c r="AH172" s="100"/>
      <c r="AI172" s="100"/>
      <c r="AJ172" s="142"/>
      <c r="AK172" s="448"/>
      <c r="AL172" s="111"/>
      <c r="AM172" s="100"/>
      <c r="AN172" s="100"/>
      <c r="AO172" s="111"/>
      <c r="AP172" s="100"/>
      <c r="AQ172" s="100"/>
      <c r="AR172" s="111"/>
      <c r="AS172" s="142"/>
      <c r="AT172" s="150"/>
    </row>
    <row r="173" spans="1:46" ht="16.3">
      <c r="A173" s="91" t="s">
        <v>363</v>
      </c>
      <c r="B173" s="209">
        <f>SUM(B171+B172)</f>
        <v>1</v>
      </c>
      <c r="C173" s="214">
        <f t="shared" si="22"/>
        <v>1</v>
      </c>
      <c r="D173" s="133"/>
      <c r="E173" s="134"/>
      <c r="F173" s="135"/>
      <c r="G173" s="136"/>
      <c r="H173" s="96"/>
      <c r="I173" s="96"/>
      <c r="J173" s="75"/>
      <c r="K173" s="75"/>
      <c r="L173" s="75"/>
      <c r="M173" s="75"/>
      <c r="N173" s="75"/>
      <c r="O173" s="96"/>
      <c r="P173" s="163"/>
      <c r="Q173" s="167"/>
      <c r="R173" s="586"/>
      <c r="S173" s="100"/>
      <c r="T173" s="110"/>
      <c r="U173" s="110"/>
      <c r="V173" s="100"/>
      <c r="W173" s="100"/>
      <c r="X173" s="100"/>
      <c r="Y173" s="110"/>
      <c r="Z173" s="110"/>
      <c r="AA173" s="100"/>
      <c r="AB173" s="109"/>
      <c r="AC173" s="108"/>
      <c r="AD173" s="109"/>
      <c r="AE173" s="109"/>
      <c r="AF173" s="109"/>
      <c r="AG173" s="109"/>
      <c r="AH173" s="100"/>
      <c r="AI173" s="100"/>
      <c r="AJ173" s="142"/>
      <c r="AK173" s="448"/>
      <c r="AL173" s="111"/>
      <c r="AM173" s="100"/>
      <c r="AN173" s="100"/>
      <c r="AO173" s="111"/>
      <c r="AP173" s="100"/>
      <c r="AQ173" s="100"/>
      <c r="AR173" s="111"/>
      <c r="AS173" s="142"/>
      <c r="AT173" s="150"/>
    </row>
    <row r="174" spans="1:46" ht="16.3">
      <c r="A174" s="91" t="s">
        <v>3</v>
      </c>
      <c r="B174" s="209">
        <f>SUM(J174+K174+L174+M174+N174+S174+V174+W174+X174+AA174+AI174+AJ174+AI174+AM174+AP174+AQ174+AS174+AT174+AU174+AV174)</f>
        <v>0</v>
      </c>
      <c r="C174" s="214">
        <f t="shared" si="22"/>
        <v>0</v>
      </c>
      <c r="D174" s="133"/>
      <c r="E174" s="134"/>
      <c r="F174" s="135"/>
      <c r="G174" s="136"/>
      <c r="H174" s="96"/>
      <c r="I174" s="96"/>
      <c r="J174" s="75"/>
      <c r="K174" s="75"/>
      <c r="L174" s="75"/>
      <c r="M174" s="75"/>
      <c r="N174" s="75"/>
      <c r="O174" s="96"/>
      <c r="P174" s="163"/>
      <c r="Q174" s="167"/>
      <c r="R174" s="586"/>
      <c r="S174" s="100"/>
      <c r="T174" s="110"/>
      <c r="U174" s="110"/>
      <c r="V174" s="100"/>
      <c r="W174" s="100"/>
      <c r="X174" s="100"/>
      <c r="Y174" s="110"/>
      <c r="Z174" s="110"/>
      <c r="AA174" s="100"/>
      <c r="AB174" s="109"/>
      <c r="AC174" s="108"/>
      <c r="AD174" s="109"/>
      <c r="AE174" s="109"/>
      <c r="AF174" s="109"/>
      <c r="AG174" s="109"/>
      <c r="AH174" s="100"/>
      <c r="AI174" s="100"/>
      <c r="AJ174" s="142"/>
      <c r="AK174" s="448"/>
      <c r="AL174" s="111"/>
      <c r="AM174" s="100"/>
      <c r="AN174" s="100"/>
      <c r="AO174" s="111"/>
      <c r="AP174" s="100"/>
      <c r="AQ174" s="100"/>
      <c r="AR174" s="111"/>
      <c r="AS174" s="142"/>
      <c r="AT174" s="150"/>
    </row>
    <row r="175" spans="1:46" ht="17" thickBot="1">
      <c r="A175" s="92" t="s">
        <v>4</v>
      </c>
      <c r="B175" s="212">
        <f>SUM(J175+K175+L175+M175+N175+S175+V175+W175+X175+AA175+AI175+AJ175+AI175+AM175+AP175+AQ175+AS175+AT175+AU175+AV175)</f>
        <v>0</v>
      </c>
      <c r="C175" s="217">
        <f t="shared" si="22"/>
        <v>0</v>
      </c>
      <c r="D175" s="144"/>
      <c r="E175" s="145"/>
      <c r="F175" s="146"/>
      <c r="G175" s="147"/>
      <c r="H175" s="114"/>
      <c r="I175" s="114"/>
      <c r="J175" s="112"/>
      <c r="K175" s="112"/>
      <c r="L175" s="112"/>
      <c r="M175" s="112"/>
      <c r="N175" s="112"/>
      <c r="O175" s="114"/>
      <c r="P175" s="164"/>
      <c r="Q175" s="151"/>
      <c r="R175" s="587"/>
      <c r="S175" s="116"/>
      <c r="T175" s="120"/>
      <c r="U175" s="120"/>
      <c r="V175" s="116"/>
      <c r="W175" s="116"/>
      <c r="X175" s="116"/>
      <c r="Y175" s="120"/>
      <c r="Z175" s="120"/>
      <c r="AA175" s="116"/>
      <c r="AB175" s="118"/>
      <c r="AC175" s="117"/>
      <c r="AD175" s="118"/>
      <c r="AE175" s="118"/>
      <c r="AF175" s="118"/>
      <c r="AG175" s="118"/>
      <c r="AH175" s="116"/>
      <c r="AI175" s="116"/>
      <c r="AJ175" s="149"/>
      <c r="AK175" s="449"/>
      <c r="AL175" s="121"/>
      <c r="AM175" s="116"/>
      <c r="AN175" s="116"/>
      <c r="AO175" s="121"/>
      <c r="AP175" s="116"/>
      <c r="AQ175" s="116"/>
      <c r="AR175" s="121"/>
      <c r="AS175" s="149"/>
      <c r="AT175" s="176"/>
    </row>
    <row r="176" spans="1:46" ht="21.1">
      <c r="A176" s="89" t="s">
        <v>747</v>
      </c>
      <c r="B176" s="209"/>
      <c r="C176" s="214"/>
      <c r="D176" s="133"/>
      <c r="E176" s="134"/>
      <c r="F176" s="135"/>
      <c r="G176" s="136"/>
      <c r="H176" s="96" t="s">
        <v>375</v>
      </c>
      <c r="I176" s="96" t="s">
        <v>378</v>
      </c>
      <c r="J176" s="75"/>
      <c r="K176" s="75"/>
      <c r="L176" s="75"/>
      <c r="M176" s="75" t="s">
        <v>754</v>
      </c>
      <c r="N176" s="75"/>
      <c r="O176" s="96" t="s">
        <v>378</v>
      </c>
      <c r="P176" s="163"/>
      <c r="Q176" s="167">
        <v>9</v>
      </c>
      <c r="R176" s="586"/>
      <c r="S176" s="100" t="s">
        <v>393</v>
      </c>
      <c r="T176" s="110" t="s">
        <v>375</v>
      </c>
      <c r="U176" s="110" t="s">
        <v>378</v>
      </c>
      <c r="V176" s="100" t="s">
        <v>375</v>
      </c>
      <c r="W176" s="100" t="s">
        <v>375</v>
      </c>
      <c r="X176" s="100" t="s">
        <v>378</v>
      </c>
      <c r="Y176" s="110">
        <v>9</v>
      </c>
      <c r="Z176" s="110" t="s">
        <v>375</v>
      </c>
      <c r="AA176" s="100" t="s">
        <v>393</v>
      </c>
      <c r="AB176" s="109">
        <v>9</v>
      </c>
      <c r="AC176" s="108"/>
      <c r="AD176" s="109" t="s">
        <v>378</v>
      </c>
      <c r="AE176" s="109" t="s">
        <v>339</v>
      </c>
      <c r="AF176" s="109" t="s">
        <v>339</v>
      </c>
      <c r="AG176" s="109"/>
      <c r="AH176" s="100"/>
      <c r="AI176" s="100"/>
      <c r="AJ176" s="142"/>
      <c r="AK176" s="448"/>
      <c r="AL176" s="111"/>
      <c r="AM176" s="100"/>
      <c r="AN176" s="100"/>
      <c r="AO176" s="111"/>
      <c r="AP176" s="100"/>
      <c r="AQ176" s="100"/>
      <c r="AR176" s="111"/>
      <c r="AS176" s="142"/>
      <c r="AT176" s="150"/>
    </row>
    <row r="177" spans="1:46" ht="16.3">
      <c r="A177" s="611" t="s">
        <v>1</v>
      </c>
      <c r="B177" s="210">
        <f>SUM(J177+K177+L177+M177+N177+S177+V177+W177+X177+AA177+AI177+AJ177+AI177+AM177+AP177+AQ177+AS177+AT177+AU177+AV177+AN177)</f>
        <v>1</v>
      </c>
      <c r="C177" s="215">
        <f>B177</f>
        <v>1</v>
      </c>
      <c r="D177" s="133"/>
      <c r="E177" s="134"/>
      <c r="F177" s="135"/>
      <c r="G177" s="136"/>
      <c r="H177" s="96"/>
      <c r="I177" s="96">
        <v>1</v>
      </c>
      <c r="J177" s="75"/>
      <c r="K177" s="75"/>
      <c r="L177" s="75"/>
      <c r="M177" s="75"/>
      <c r="N177" s="75"/>
      <c r="O177" s="96">
        <v>1</v>
      </c>
      <c r="P177" s="163"/>
      <c r="Q177" s="167">
        <v>1</v>
      </c>
      <c r="R177" s="586"/>
      <c r="S177" s="100"/>
      <c r="T177" s="110"/>
      <c r="U177" s="110">
        <v>1</v>
      </c>
      <c r="V177" s="100"/>
      <c r="W177" s="100"/>
      <c r="X177" s="100">
        <v>1</v>
      </c>
      <c r="Y177" s="110">
        <v>1</v>
      </c>
      <c r="Z177" s="110"/>
      <c r="AA177" s="100"/>
      <c r="AB177" s="109">
        <v>1</v>
      </c>
      <c r="AC177" s="108"/>
      <c r="AD177" s="109">
        <v>1</v>
      </c>
      <c r="AE177" s="109"/>
      <c r="AF177" s="109"/>
      <c r="AG177" s="109"/>
      <c r="AH177" s="100"/>
      <c r="AI177" s="100"/>
      <c r="AJ177" s="142"/>
      <c r="AK177" s="448"/>
      <c r="AL177" s="111"/>
      <c r="AM177" s="100"/>
      <c r="AN177" s="100"/>
      <c r="AO177" s="111"/>
      <c r="AP177" s="100"/>
      <c r="AQ177" s="100"/>
      <c r="AR177" s="111"/>
      <c r="AS177" s="142"/>
      <c r="AT177" s="150"/>
    </row>
    <row r="178" spans="1:46" ht="16.3">
      <c r="A178" s="611" t="s">
        <v>2</v>
      </c>
      <c r="B178" s="210">
        <f>SUM(J178+K178+L178+M178+N178+S178+V178+W178+X178+AA178+AI178+AJ178+AI178+AM178+AP178+AQ178+AS178+AT178+AU178+AV178)</f>
        <v>3</v>
      </c>
      <c r="C178" s="215">
        <f t="shared" ref="C178:C181" si="23">B178</f>
        <v>3</v>
      </c>
      <c r="D178" s="133"/>
      <c r="E178" s="134"/>
      <c r="F178" s="135"/>
      <c r="G178" s="136"/>
      <c r="H178" s="96">
        <v>1</v>
      </c>
      <c r="I178" s="96"/>
      <c r="J178" s="75"/>
      <c r="K178" s="75"/>
      <c r="L178" s="75"/>
      <c r="M178" s="75">
        <v>1</v>
      </c>
      <c r="N178" s="75"/>
      <c r="O178" s="96"/>
      <c r="P178" s="163"/>
      <c r="Q178" s="167"/>
      <c r="R178" s="586"/>
      <c r="S178" s="100"/>
      <c r="T178" s="110">
        <v>1</v>
      </c>
      <c r="U178" s="110"/>
      <c r="V178" s="100">
        <v>1</v>
      </c>
      <c r="W178" s="100">
        <v>1</v>
      </c>
      <c r="X178" s="100"/>
      <c r="Y178" s="110"/>
      <c r="Z178" s="110">
        <v>1</v>
      </c>
      <c r="AA178" s="100"/>
      <c r="AB178" s="109"/>
      <c r="AC178" s="108"/>
      <c r="AD178" s="109"/>
      <c r="AE178" s="109"/>
      <c r="AF178" s="109"/>
      <c r="AG178" s="109"/>
      <c r="AH178" s="100"/>
      <c r="AI178" s="100"/>
      <c r="AJ178" s="142"/>
      <c r="AK178" s="448"/>
      <c r="AL178" s="111"/>
      <c r="AM178" s="100"/>
      <c r="AN178" s="100"/>
      <c r="AO178" s="111"/>
      <c r="AP178" s="100"/>
      <c r="AQ178" s="100"/>
      <c r="AR178" s="111"/>
      <c r="AS178" s="142"/>
      <c r="AT178" s="150"/>
    </row>
    <row r="179" spans="1:46" ht="16.3">
      <c r="A179" s="91" t="s">
        <v>363</v>
      </c>
      <c r="B179" s="209">
        <f>SUM(B177+B178)</f>
        <v>4</v>
      </c>
      <c r="C179" s="214">
        <f t="shared" si="23"/>
        <v>4</v>
      </c>
      <c r="D179" s="133"/>
      <c r="E179" s="134"/>
      <c r="F179" s="135"/>
      <c r="G179" s="136"/>
      <c r="H179" s="96"/>
      <c r="I179" s="96"/>
      <c r="J179" s="75"/>
      <c r="K179" s="75"/>
      <c r="L179" s="75"/>
      <c r="M179" s="75"/>
      <c r="N179" s="75"/>
      <c r="O179" s="96"/>
      <c r="P179" s="163"/>
      <c r="Q179" s="167"/>
      <c r="R179" s="586"/>
      <c r="S179" s="100"/>
      <c r="T179" s="110"/>
      <c r="U179" s="110"/>
      <c r="V179" s="100"/>
      <c r="W179" s="100"/>
      <c r="X179" s="100"/>
      <c r="Y179" s="110"/>
      <c r="Z179" s="110"/>
      <c r="AA179" s="100"/>
      <c r="AB179" s="109"/>
      <c r="AC179" s="108"/>
      <c r="AD179" s="109"/>
      <c r="AE179" s="109"/>
      <c r="AF179" s="109"/>
      <c r="AG179" s="109"/>
      <c r="AH179" s="100"/>
      <c r="AI179" s="100"/>
      <c r="AJ179" s="142"/>
      <c r="AK179" s="448"/>
      <c r="AL179" s="111"/>
      <c r="AM179" s="100"/>
      <c r="AN179" s="100"/>
      <c r="AO179" s="111"/>
      <c r="AP179" s="100"/>
      <c r="AQ179" s="100"/>
      <c r="AR179" s="111"/>
      <c r="AS179" s="142"/>
      <c r="AT179" s="150"/>
    </row>
    <row r="180" spans="1:46" ht="16.3">
      <c r="A180" s="91" t="s">
        <v>3</v>
      </c>
      <c r="B180" s="209">
        <f>SUM(J180+K180+L180+M180+N180+S180+V180+W180+X180+AA180+AI180+AJ180+AI180+AM180+AP180+AQ180+AS180+AT180+AU180+AV180)</f>
        <v>1</v>
      </c>
      <c r="C180" s="214">
        <f t="shared" si="23"/>
        <v>1</v>
      </c>
      <c r="D180" s="133"/>
      <c r="E180" s="134"/>
      <c r="F180" s="135"/>
      <c r="G180" s="136"/>
      <c r="H180" s="96"/>
      <c r="I180" s="96"/>
      <c r="J180" s="75"/>
      <c r="K180" s="75"/>
      <c r="L180" s="75"/>
      <c r="M180" s="75"/>
      <c r="N180" s="75"/>
      <c r="O180" s="96"/>
      <c r="P180" s="163"/>
      <c r="Q180" s="167"/>
      <c r="R180" s="586"/>
      <c r="S180" s="100"/>
      <c r="T180" s="110"/>
      <c r="U180" s="110"/>
      <c r="V180" s="100"/>
      <c r="W180" s="100"/>
      <c r="X180" s="100">
        <v>1</v>
      </c>
      <c r="Y180" s="110"/>
      <c r="Z180" s="110"/>
      <c r="AA180" s="100"/>
      <c r="AB180" s="109">
        <v>1</v>
      </c>
      <c r="AC180" s="108"/>
      <c r="AD180" s="109"/>
      <c r="AE180" s="109"/>
      <c r="AF180" s="109"/>
      <c r="AG180" s="109"/>
      <c r="AH180" s="100"/>
      <c r="AI180" s="100"/>
      <c r="AJ180" s="142"/>
      <c r="AK180" s="448"/>
      <c r="AL180" s="111"/>
      <c r="AM180" s="100"/>
      <c r="AN180" s="100"/>
      <c r="AO180" s="111"/>
      <c r="AP180" s="100"/>
      <c r="AQ180" s="100"/>
      <c r="AR180" s="111"/>
      <c r="AS180" s="142"/>
      <c r="AT180" s="150"/>
    </row>
    <row r="181" spans="1:46" ht="17" thickBot="1">
      <c r="A181" s="92" t="s">
        <v>4</v>
      </c>
      <c r="B181" s="212">
        <f>SUM(J181+K181+L181+M181+N181+S181+V181+W181+X181+AA181+AI181+AJ181+AI181+AM181+AP181+AQ181+AS181+AT181+AU181+AV181)</f>
        <v>5</v>
      </c>
      <c r="C181" s="217">
        <f t="shared" si="23"/>
        <v>5</v>
      </c>
      <c r="D181" s="144"/>
      <c r="E181" s="145"/>
      <c r="F181" s="146"/>
      <c r="G181" s="147"/>
      <c r="H181" s="114"/>
      <c r="I181" s="114"/>
      <c r="J181" s="112"/>
      <c r="K181" s="112"/>
      <c r="L181" s="112"/>
      <c r="M181" s="112"/>
      <c r="N181" s="112"/>
      <c r="O181" s="114"/>
      <c r="P181" s="164"/>
      <c r="Q181" s="151"/>
      <c r="R181" s="587"/>
      <c r="S181" s="116"/>
      <c r="T181" s="120"/>
      <c r="U181" s="120"/>
      <c r="V181" s="116"/>
      <c r="W181" s="116"/>
      <c r="X181" s="116">
        <v>5</v>
      </c>
      <c r="Y181" s="120"/>
      <c r="Z181" s="120"/>
      <c r="AA181" s="116"/>
      <c r="AB181" s="118">
        <v>5</v>
      </c>
      <c r="AC181" s="117"/>
      <c r="AD181" s="118"/>
      <c r="AE181" s="118"/>
      <c r="AF181" s="118"/>
      <c r="AG181" s="118"/>
      <c r="AH181" s="116"/>
      <c r="AI181" s="116"/>
      <c r="AJ181" s="149"/>
      <c r="AK181" s="449"/>
      <c r="AL181" s="121"/>
      <c r="AM181" s="116"/>
      <c r="AN181" s="116"/>
      <c r="AO181" s="121"/>
      <c r="AP181" s="116"/>
      <c r="AQ181" s="116"/>
      <c r="AR181" s="121"/>
      <c r="AS181" s="149"/>
      <c r="AT181" s="176"/>
    </row>
    <row r="182" spans="1:46" ht="21.1">
      <c r="A182" s="89" t="s">
        <v>1038</v>
      </c>
      <c r="B182" s="209"/>
      <c r="C182" s="214"/>
      <c r="D182" s="133"/>
      <c r="E182" s="134"/>
      <c r="F182" s="135"/>
      <c r="G182" s="136"/>
      <c r="H182" s="96" t="s">
        <v>344</v>
      </c>
      <c r="I182" s="96" t="s">
        <v>344</v>
      </c>
      <c r="J182" s="75" t="s">
        <v>344</v>
      </c>
      <c r="K182" s="75" t="s">
        <v>344</v>
      </c>
      <c r="L182" s="75" t="s">
        <v>344</v>
      </c>
      <c r="M182" s="75" t="s">
        <v>344</v>
      </c>
      <c r="N182" s="75" t="s">
        <v>344</v>
      </c>
      <c r="O182" s="96" t="s">
        <v>344</v>
      </c>
      <c r="P182" s="163"/>
      <c r="Q182" s="167" t="s">
        <v>344</v>
      </c>
      <c r="R182" s="586"/>
      <c r="S182" s="100" t="s">
        <v>344</v>
      </c>
      <c r="T182" s="110" t="s">
        <v>344</v>
      </c>
      <c r="U182" s="110" t="s">
        <v>344</v>
      </c>
      <c r="V182" s="100" t="s">
        <v>344</v>
      </c>
      <c r="W182" s="100" t="s">
        <v>344</v>
      </c>
      <c r="X182" s="100" t="s">
        <v>344</v>
      </c>
      <c r="Y182" s="110" t="s">
        <v>344</v>
      </c>
      <c r="Z182" s="110" t="s">
        <v>344</v>
      </c>
      <c r="AA182" s="100" t="s">
        <v>344</v>
      </c>
      <c r="AB182" s="109" t="s">
        <v>344</v>
      </c>
      <c r="AC182" s="108"/>
      <c r="AD182" s="109" t="s">
        <v>719</v>
      </c>
      <c r="AE182" s="109" t="s">
        <v>375</v>
      </c>
      <c r="AF182" s="109"/>
      <c r="AG182" s="109"/>
      <c r="AH182" s="100"/>
      <c r="AI182" s="100"/>
      <c r="AJ182" s="142"/>
      <c r="AK182" s="448"/>
      <c r="AL182" s="111"/>
      <c r="AM182" s="100"/>
      <c r="AN182" s="100"/>
      <c r="AO182" s="111"/>
      <c r="AP182" s="100"/>
      <c r="AQ182" s="100"/>
      <c r="AR182" s="111"/>
      <c r="AS182" s="142"/>
      <c r="AT182" s="150"/>
    </row>
    <row r="183" spans="1:46" ht="16.3">
      <c r="A183" s="611" t="s">
        <v>1</v>
      </c>
      <c r="B183" s="210"/>
      <c r="C183" s="215"/>
      <c r="D183" s="133"/>
      <c r="E183" s="134"/>
      <c r="F183" s="135"/>
      <c r="G183" s="136"/>
      <c r="H183" s="96"/>
      <c r="I183" s="96"/>
      <c r="J183" s="75"/>
      <c r="K183" s="75"/>
      <c r="L183" s="75"/>
      <c r="M183" s="75"/>
      <c r="N183" s="75"/>
      <c r="O183" s="96"/>
      <c r="P183" s="163"/>
      <c r="Q183" s="167"/>
      <c r="R183" s="586"/>
      <c r="S183" s="100"/>
      <c r="T183" s="110"/>
      <c r="U183" s="110"/>
      <c r="V183" s="100"/>
      <c r="W183" s="100"/>
      <c r="X183" s="100"/>
      <c r="Y183" s="110"/>
      <c r="Z183" s="110"/>
      <c r="AA183" s="100"/>
      <c r="AB183" s="109"/>
      <c r="AC183" s="108"/>
      <c r="AD183" s="109"/>
      <c r="AE183" s="109"/>
      <c r="AF183" s="109"/>
      <c r="AG183" s="109"/>
      <c r="AH183" s="100"/>
      <c r="AI183" s="100"/>
      <c r="AJ183" s="142"/>
      <c r="AK183" s="448"/>
      <c r="AL183" s="111"/>
      <c r="AM183" s="100"/>
      <c r="AN183" s="100"/>
      <c r="AO183" s="111"/>
      <c r="AP183" s="100"/>
      <c r="AQ183" s="100"/>
      <c r="AR183" s="111"/>
      <c r="AS183" s="142"/>
      <c r="AT183" s="150"/>
    </row>
    <row r="184" spans="1:46" ht="16.3">
      <c r="A184" s="611" t="s">
        <v>2</v>
      </c>
      <c r="B184" s="210"/>
      <c r="C184" s="215"/>
      <c r="D184" s="133"/>
      <c r="E184" s="134"/>
      <c r="F184" s="135"/>
      <c r="G184" s="136"/>
      <c r="H184" s="96"/>
      <c r="I184" s="96"/>
      <c r="J184" s="75"/>
      <c r="K184" s="75"/>
      <c r="L184" s="75"/>
      <c r="M184" s="75"/>
      <c r="N184" s="75"/>
      <c r="O184" s="96"/>
      <c r="P184" s="163"/>
      <c r="Q184" s="167"/>
      <c r="R184" s="586"/>
      <c r="S184" s="100"/>
      <c r="T184" s="110"/>
      <c r="U184" s="110"/>
      <c r="V184" s="100"/>
      <c r="W184" s="100"/>
      <c r="X184" s="100"/>
      <c r="Y184" s="110"/>
      <c r="Z184" s="110"/>
      <c r="AA184" s="100"/>
      <c r="AB184" s="109"/>
      <c r="AC184" s="108"/>
      <c r="AD184" s="109"/>
      <c r="AE184" s="109">
        <v>1</v>
      </c>
      <c r="AF184" s="109"/>
      <c r="AG184" s="109"/>
      <c r="AH184" s="100"/>
      <c r="AI184" s="100"/>
      <c r="AJ184" s="142"/>
      <c r="AK184" s="448"/>
      <c r="AL184" s="111"/>
      <c r="AM184" s="100"/>
      <c r="AN184" s="100"/>
      <c r="AO184" s="111"/>
      <c r="AP184" s="100"/>
      <c r="AQ184" s="100"/>
      <c r="AR184" s="111"/>
      <c r="AS184" s="142"/>
      <c r="AT184" s="150"/>
    </row>
    <row r="185" spans="1:46" ht="16.3">
      <c r="A185" s="91" t="s">
        <v>363</v>
      </c>
      <c r="B185" s="209"/>
      <c r="C185" s="214"/>
      <c r="D185" s="133"/>
      <c r="E185" s="134"/>
      <c r="F185" s="135"/>
      <c r="G185" s="136"/>
      <c r="H185" s="96"/>
      <c r="I185" s="96"/>
      <c r="J185" s="75"/>
      <c r="K185" s="75"/>
      <c r="L185" s="75"/>
      <c r="M185" s="75"/>
      <c r="N185" s="75"/>
      <c r="O185" s="96"/>
      <c r="P185" s="163"/>
      <c r="Q185" s="167"/>
      <c r="R185" s="586"/>
      <c r="S185" s="100"/>
      <c r="T185" s="110"/>
      <c r="U185" s="110"/>
      <c r="V185" s="100"/>
      <c r="W185" s="100"/>
      <c r="X185" s="100"/>
      <c r="Y185" s="110"/>
      <c r="Z185" s="110"/>
      <c r="AA185" s="100"/>
      <c r="AB185" s="109"/>
      <c r="AC185" s="108"/>
      <c r="AD185" s="109"/>
      <c r="AE185" s="109"/>
      <c r="AF185" s="109"/>
      <c r="AG185" s="109"/>
      <c r="AH185" s="100"/>
      <c r="AI185" s="100"/>
      <c r="AJ185" s="142"/>
      <c r="AK185" s="448"/>
      <c r="AL185" s="111"/>
      <c r="AM185" s="100"/>
      <c r="AN185" s="100"/>
      <c r="AO185" s="111"/>
      <c r="AP185" s="100"/>
      <c r="AQ185" s="100"/>
      <c r="AR185" s="111"/>
      <c r="AS185" s="142"/>
      <c r="AT185" s="150"/>
    </row>
    <row r="186" spans="1:46" ht="16.3">
      <c r="A186" s="91" t="s">
        <v>3</v>
      </c>
      <c r="B186" s="209"/>
      <c r="C186" s="214"/>
      <c r="D186" s="133"/>
      <c r="E186" s="134"/>
      <c r="F186" s="135"/>
      <c r="G186" s="136"/>
      <c r="H186" s="96"/>
      <c r="I186" s="96"/>
      <c r="J186" s="75"/>
      <c r="K186" s="75"/>
      <c r="L186" s="75"/>
      <c r="M186" s="75"/>
      <c r="N186" s="75"/>
      <c r="O186" s="96"/>
      <c r="P186" s="163"/>
      <c r="Q186" s="167"/>
      <c r="R186" s="586"/>
      <c r="S186" s="100"/>
      <c r="T186" s="110"/>
      <c r="U186" s="110"/>
      <c r="V186" s="100"/>
      <c r="W186" s="100"/>
      <c r="X186" s="100"/>
      <c r="Y186" s="110"/>
      <c r="Z186" s="110"/>
      <c r="AA186" s="100"/>
      <c r="AB186" s="109"/>
      <c r="AC186" s="108"/>
      <c r="AD186" s="109"/>
      <c r="AE186" s="109"/>
      <c r="AF186" s="109"/>
      <c r="AG186" s="109"/>
      <c r="AH186" s="100"/>
      <c r="AI186" s="100"/>
      <c r="AJ186" s="142"/>
      <c r="AK186" s="448"/>
      <c r="AL186" s="111"/>
      <c r="AM186" s="100"/>
      <c r="AN186" s="100"/>
      <c r="AO186" s="111"/>
      <c r="AP186" s="100"/>
      <c r="AQ186" s="100"/>
      <c r="AR186" s="111"/>
      <c r="AS186" s="142"/>
      <c r="AT186" s="150"/>
    </row>
    <row r="187" spans="1:46" ht="17" thickBot="1">
      <c r="A187" s="92" t="s">
        <v>4</v>
      </c>
      <c r="B187" s="212"/>
      <c r="C187" s="217"/>
      <c r="D187" s="144"/>
      <c r="E187" s="145"/>
      <c r="F187" s="146"/>
      <c r="G187" s="147"/>
      <c r="H187" s="114"/>
      <c r="I187" s="114"/>
      <c r="J187" s="112"/>
      <c r="K187" s="112"/>
      <c r="L187" s="112"/>
      <c r="M187" s="112"/>
      <c r="N187" s="112"/>
      <c r="O187" s="114"/>
      <c r="P187" s="164"/>
      <c r="Q187" s="151"/>
      <c r="R187" s="587"/>
      <c r="S187" s="116"/>
      <c r="T187" s="120"/>
      <c r="U187" s="120"/>
      <c r="V187" s="112"/>
      <c r="W187" s="100"/>
      <c r="X187" s="100"/>
      <c r="Y187" s="110"/>
      <c r="Z187" s="110"/>
      <c r="AA187" s="100"/>
      <c r="AB187" s="109"/>
      <c r="AC187" s="108"/>
      <c r="AD187" s="109"/>
      <c r="AE187" s="109"/>
      <c r="AF187" s="109"/>
      <c r="AG187" s="109"/>
      <c r="AH187" s="100"/>
      <c r="AI187" s="100"/>
      <c r="AJ187" s="142"/>
      <c r="AK187" s="448"/>
      <c r="AL187" s="111"/>
      <c r="AM187" s="100"/>
      <c r="AN187" s="100"/>
      <c r="AO187" s="111"/>
      <c r="AP187" s="100"/>
      <c r="AQ187" s="100"/>
      <c r="AR187" s="111"/>
      <c r="AS187" s="142"/>
      <c r="AT187" s="150"/>
    </row>
    <row r="188" spans="1:46" ht="21.1">
      <c r="A188" s="89" t="s">
        <v>69</v>
      </c>
      <c r="B188" s="209"/>
      <c r="C188" s="214"/>
      <c r="D188" s="133"/>
      <c r="E188" s="134"/>
      <c r="F188" s="135"/>
      <c r="G188" s="136"/>
      <c r="H188" s="96" t="s">
        <v>339</v>
      </c>
      <c r="I188" s="96" t="s">
        <v>339</v>
      </c>
      <c r="J188" s="75" t="s">
        <v>339</v>
      </c>
      <c r="K188" s="75" t="s">
        <v>339</v>
      </c>
      <c r="L188" s="75" t="s">
        <v>339</v>
      </c>
      <c r="M188" s="75" t="s">
        <v>339</v>
      </c>
      <c r="N188" s="75" t="s">
        <v>339</v>
      </c>
      <c r="O188" s="96" t="s">
        <v>339</v>
      </c>
      <c r="P188" s="105"/>
      <c r="Q188" s="167" t="s">
        <v>339</v>
      </c>
      <c r="R188" s="586"/>
      <c r="S188" s="100" t="s">
        <v>375</v>
      </c>
      <c r="T188" s="110" t="s">
        <v>369</v>
      </c>
      <c r="U188" s="110"/>
      <c r="V188" s="100" t="s">
        <v>369</v>
      </c>
      <c r="W188" s="102" t="s">
        <v>369</v>
      </c>
      <c r="X188" s="102" t="s">
        <v>369</v>
      </c>
      <c r="Y188" s="101" t="s">
        <v>369</v>
      </c>
      <c r="Z188" s="101" t="s">
        <v>375</v>
      </c>
      <c r="AA188" s="102" t="s">
        <v>369</v>
      </c>
      <c r="AB188" s="99"/>
      <c r="AC188" s="98"/>
      <c r="AD188" s="99" t="s">
        <v>369</v>
      </c>
      <c r="AE188" s="99" t="s">
        <v>369</v>
      </c>
      <c r="AF188" s="99"/>
      <c r="AG188" s="99"/>
      <c r="AH188" s="102"/>
      <c r="AI188" s="102"/>
      <c r="AJ188" s="138"/>
      <c r="AK188" s="446"/>
      <c r="AL188" s="103"/>
      <c r="AM188" s="102"/>
      <c r="AN188" s="102"/>
      <c r="AO188" s="103"/>
      <c r="AP188" s="102"/>
      <c r="AQ188" s="102"/>
      <c r="AR188" s="103"/>
      <c r="AS188" s="138"/>
      <c r="AT188" s="478"/>
    </row>
    <row r="189" spans="1:46" ht="16.3">
      <c r="A189" s="611" t="s">
        <v>1</v>
      </c>
      <c r="B189" s="210">
        <f>SUM(J189+K189+L189+M189+N189+S189+V189+W189+X189+AA189+AI189+AJ189+AI189+AM189+AP189+AQ189+AS189+AT189+AU189+AV189+AN189)+66</f>
        <v>70</v>
      </c>
      <c r="C189" s="215">
        <f>SUM(J189+K189+L189+M189+N189+S189+W189+X189+V189+AA189+AJ189+AI189+AJ189+AN189+AQ189+AM189+AT189+AU189+AV189+AW189+AP189+AS189)+92</f>
        <v>96</v>
      </c>
      <c r="D189" s="133"/>
      <c r="E189" s="134"/>
      <c r="F189" s="135"/>
      <c r="G189" s="136"/>
      <c r="H189" s="96"/>
      <c r="I189" s="96"/>
      <c r="J189" s="75"/>
      <c r="K189" s="75"/>
      <c r="L189" s="75"/>
      <c r="M189" s="75"/>
      <c r="N189" s="75"/>
      <c r="O189" s="96"/>
      <c r="P189" s="105"/>
      <c r="Q189" s="96"/>
      <c r="R189" s="107"/>
      <c r="S189" s="75"/>
      <c r="T189" s="106">
        <v>1</v>
      </c>
      <c r="U189" s="106"/>
      <c r="V189" s="75">
        <v>1</v>
      </c>
      <c r="W189" s="75">
        <v>1</v>
      </c>
      <c r="X189" s="75">
        <v>1</v>
      </c>
      <c r="Y189" s="106">
        <v>1</v>
      </c>
      <c r="Z189" s="106"/>
      <c r="AA189" s="75">
        <v>1</v>
      </c>
      <c r="AB189" s="96"/>
      <c r="AC189" s="105"/>
      <c r="AD189" s="96">
        <v>1</v>
      </c>
      <c r="AE189" s="96">
        <v>1</v>
      </c>
      <c r="AF189" s="96"/>
      <c r="AG189" s="96"/>
      <c r="AH189" s="75"/>
      <c r="AI189" s="75"/>
      <c r="AJ189" s="141"/>
      <c r="AK189" s="447"/>
      <c r="AL189" s="107"/>
      <c r="AM189" s="75"/>
      <c r="AN189" s="75"/>
      <c r="AO189" s="107"/>
      <c r="AP189" s="75"/>
      <c r="AQ189" s="75"/>
      <c r="AR189" s="107"/>
      <c r="AS189" s="141"/>
      <c r="AT189" s="168"/>
    </row>
    <row r="190" spans="1:46" ht="16.3">
      <c r="A190" s="611" t="s">
        <v>2</v>
      </c>
      <c r="B190" s="210">
        <f>SUM(J190+K190+L190+M190+N190+S190+V190+W190+X190+AA190+AI190+AJ190+AI190+AM190+AP190+AQ190+AS190+AT190+AU190+AV190)+28</f>
        <v>29</v>
      </c>
      <c r="C190" s="215">
        <f>SUM(J190+K190+L190+M190+N190+S190+W190+X190+V190+AA190+AJ190+AI190+AJ190+AN190+AQ190+AM190+AT190+AU190+AV190+AW190+AP190+AS190)+34</f>
        <v>35</v>
      </c>
      <c r="D190" s="133"/>
      <c r="E190" s="134"/>
      <c r="F190" s="135"/>
      <c r="G190" s="136"/>
      <c r="H190" s="96"/>
      <c r="I190" s="96"/>
      <c r="J190" s="75"/>
      <c r="K190" s="75"/>
      <c r="L190" s="75"/>
      <c r="M190" s="75"/>
      <c r="N190" s="75"/>
      <c r="O190" s="96"/>
      <c r="P190" s="163"/>
      <c r="Q190" s="109"/>
      <c r="R190" s="111"/>
      <c r="S190" s="100">
        <v>1</v>
      </c>
      <c r="T190" s="110"/>
      <c r="U190" s="110"/>
      <c r="V190" s="100"/>
      <c r="W190" s="100"/>
      <c r="X190" s="100"/>
      <c r="Y190" s="110"/>
      <c r="Z190" s="110">
        <v>1</v>
      </c>
      <c r="AA190" s="100"/>
      <c r="AB190" s="109"/>
      <c r="AC190" s="108"/>
      <c r="AD190" s="109"/>
      <c r="AE190" s="109"/>
      <c r="AF190" s="109"/>
      <c r="AG190" s="109"/>
      <c r="AH190" s="100"/>
      <c r="AI190" s="100"/>
      <c r="AJ190" s="142"/>
      <c r="AK190" s="448"/>
      <c r="AL190" s="111"/>
      <c r="AM190" s="100"/>
      <c r="AN190" s="100"/>
      <c r="AO190" s="111"/>
      <c r="AP190" s="100"/>
      <c r="AQ190" s="100"/>
      <c r="AR190" s="111"/>
      <c r="AS190" s="142"/>
      <c r="AT190" s="150"/>
    </row>
    <row r="191" spans="1:46" ht="16.3">
      <c r="A191" s="91" t="s">
        <v>363</v>
      </c>
      <c r="B191" s="209">
        <f>SUM(B189+B190)</f>
        <v>99</v>
      </c>
      <c r="C191" s="214">
        <f>SUM(C189+C190)</f>
        <v>131</v>
      </c>
      <c r="D191" s="133"/>
      <c r="E191" s="134"/>
      <c r="F191" s="135"/>
      <c r="G191" s="136"/>
      <c r="H191" s="96"/>
      <c r="I191" s="96"/>
      <c r="J191" s="75"/>
      <c r="K191" s="75"/>
      <c r="L191" s="75"/>
      <c r="M191" s="75"/>
      <c r="N191" s="75"/>
      <c r="O191" s="96"/>
      <c r="P191" s="163"/>
      <c r="Q191" s="109"/>
      <c r="R191" s="111"/>
      <c r="S191" s="100"/>
      <c r="T191" s="110"/>
      <c r="U191" s="110"/>
      <c r="V191" s="100"/>
      <c r="W191" s="100"/>
      <c r="X191" s="100"/>
      <c r="Y191" s="110"/>
      <c r="Z191" s="110"/>
      <c r="AA191" s="100"/>
      <c r="AB191" s="109"/>
      <c r="AC191" s="108"/>
      <c r="AD191" s="109"/>
      <c r="AE191" s="109"/>
      <c r="AF191" s="109"/>
      <c r="AG191" s="109"/>
      <c r="AH191" s="100"/>
      <c r="AI191" s="100"/>
      <c r="AJ191" s="142"/>
      <c r="AK191" s="448"/>
      <c r="AL191" s="111"/>
      <c r="AM191" s="100"/>
      <c r="AN191" s="100"/>
      <c r="AO191" s="111"/>
      <c r="AP191" s="100"/>
      <c r="AQ191" s="100"/>
      <c r="AR191" s="111"/>
      <c r="AS191" s="142"/>
      <c r="AT191" s="150"/>
    </row>
    <row r="192" spans="1:46" ht="16.3">
      <c r="A192" s="611" t="s">
        <v>362</v>
      </c>
      <c r="B192" s="210">
        <f>SUM(J192+K192+L192+M192+N192+S192+V192+W192+X192+AA192+AI192+AJ192+AI192+AM192+AP192+AQ192+AS192+AT192+AU192+AV192)+1</f>
        <v>1</v>
      </c>
      <c r="C192" s="215">
        <f>SUM(J192+K192+L192+M192+N192+S192+W192+X192+V192+AA192+AJ192+AI192+AJ192+AN192+AQ192+AM192+AT192+AU192+AV192+AW192+AP192+AS192)+1</f>
        <v>1</v>
      </c>
      <c r="D192" s="133"/>
      <c r="E192" s="134"/>
      <c r="F192" s="135"/>
      <c r="G192" s="136"/>
      <c r="H192" s="96"/>
      <c r="I192" s="96"/>
      <c r="J192" s="75"/>
      <c r="K192" s="75"/>
      <c r="L192" s="75"/>
      <c r="M192" s="75"/>
      <c r="N192" s="75"/>
      <c r="O192" s="96"/>
      <c r="P192" s="163"/>
      <c r="Q192" s="109"/>
      <c r="R192" s="111"/>
      <c r="S192" s="100"/>
      <c r="T192" s="110"/>
      <c r="U192" s="110"/>
      <c r="V192" s="100"/>
      <c r="W192" s="100"/>
      <c r="X192" s="100"/>
      <c r="Y192" s="110"/>
      <c r="Z192" s="110"/>
      <c r="AA192" s="100"/>
      <c r="AB192" s="109"/>
      <c r="AC192" s="108"/>
      <c r="AD192" s="109"/>
      <c r="AE192" s="109"/>
      <c r="AF192" s="109"/>
      <c r="AG192" s="109"/>
      <c r="AH192" s="100"/>
      <c r="AI192" s="100"/>
      <c r="AJ192" s="142"/>
      <c r="AK192" s="448"/>
      <c r="AL192" s="111"/>
      <c r="AM192" s="100"/>
      <c r="AN192" s="100"/>
      <c r="AO192" s="111"/>
      <c r="AP192" s="100"/>
      <c r="AQ192" s="100"/>
      <c r="AR192" s="111"/>
      <c r="AS192" s="142"/>
      <c r="AT192" s="150"/>
    </row>
    <row r="193" spans="1:46" ht="16.3">
      <c r="A193" s="611" t="s">
        <v>364</v>
      </c>
      <c r="B193" s="210">
        <f>SUM(J193+K193+L193+M193+N193+S193+V193+W193+X193+AA193+AI193+AJ193+AI193+AM193+AP193+AQ193+AS193+AT193+AU193+AV193)+1</f>
        <v>1</v>
      </c>
      <c r="C193" s="215">
        <f>SUM(J193+K193+L193+M193+N193+S193+W193+X193+V193+AA193+AJ193+AI193+AJ193+AN193+AQ193+AM193+AT193+AU193+AV193+AW193+AP193+AS193)+1</f>
        <v>1</v>
      </c>
      <c r="D193" s="133"/>
      <c r="E193" s="134"/>
      <c r="F193" s="135"/>
      <c r="G193" s="136"/>
      <c r="H193" s="96"/>
      <c r="I193" s="96"/>
      <c r="J193" s="75"/>
      <c r="K193" s="75"/>
      <c r="L193" s="75"/>
      <c r="M193" s="75"/>
      <c r="N193" s="75"/>
      <c r="O193" s="96"/>
      <c r="P193" s="163"/>
      <c r="Q193" s="109"/>
      <c r="R193" s="111"/>
      <c r="S193" s="100"/>
      <c r="T193" s="110"/>
      <c r="U193" s="110"/>
      <c r="V193" s="100"/>
      <c r="W193" s="100"/>
      <c r="X193" s="100"/>
      <c r="Y193" s="110"/>
      <c r="Z193" s="110"/>
      <c r="AA193" s="100"/>
      <c r="AB193" s="109"/>
      <c r="AC193" s="108"/>
      <c r="AD193" s="109"/>
      <c r="AE193" s="109"/>
      <c r="AF193" s="109"/>
      <c r="AG193" s="109"/>
      <c r="AH193" s="100"/>
      <c r="AI193" s="100"/>
      <c r="AJ193" s="142"/>
      <c r="AK193" s="448"/>
      <c r="AL193" s="111"/>
      <c r="AM193" s="100"/>
      <c r="AN193" s="100"/>
      <c r="AO193" s="111"/>
      <c r="AP193" s="100"/>
      <c r="AQ193" s="100"/>
      <c r="AR193" s="111"/>
      <c r="AS193" s="142"/>
      <c r="AT193" s="150"/>
    </row>
    <row r="194" spans="1:46" ht="16.3">
      <c r="A194" s="91" t="s">
        <v>3</v>
      </c>
      <c r="B194" s="209">
        <f>SUM(J194+K194+L194+M194+N194+S194+V194+W194+X194+AA194+AI194+AJ194+AI194+AM194+AP194+AQ194+AS194+AT194+AU194+AV194)+7</f>
        <v>8</v>
      </c>
      <c r="C194" s="214">
        <f>SUM(J194+K194+L194+M194+N194+S194+W194+X194+V194+AA194+AJ194+AI194+AJ194+AN194+AQ194+AM194+AT194+AU194+AV194+AW194+AP194+AS194)+9</f>
        <v>10</v>
      </c>
      <c r="D194" s="133"/>
      <c r="E194" s="134"/>
      <c r="F194" s="135"/>
      <c r="G194" s="136"/>
      <c r="H194" s="96"/>
      <c r="I194" s="96"/>
      <c r="J194" s="75"/>
      <c r="K194" s="75"/>
      <c r="L194" s="75"/>
      <c r="M194" s="75"/>
      <c r="N194" s="75"/>
      <c r="O194" s="96"/>
      <c r="P194" s="105"/>
      <c r="Q194" s="109"/>
      <c r="R194" s="111"/>
      <c r="S194" s="100"/>
      <c r="T194" s="110"/>
      <c r="U194" s="110"/>
      <c r="V194" s="100"/>
      <c r="W194" s="100"/>
      <c r="X194" s="100"/>
      <c r="Y194" s="110"/>
      <c r="Z194" s="110"/>
      <c r="AA194" s="100">
        <v>1</v>
      </c>
      <c r="AB194" s="109"/>
      <c r="AC194" s="108"/>
      <c r="AD194" s="109"/>
      <c r="AE194" s="109"/>
      <c r="AF194" s="109"/>
      <c r="AG194" s="109"/>
      <c r="AH194" s="100"/>
      <c r="AI194" s="100"/>
      <c r="AJ194" s="142"/>
      <c r="AK194" s="448"/>
      <c r="AL194" s="111"/>
      <c r="AM194" s="100"/>
      <c r="AN194" s="100"/>
      <c r="AO194" s="111"/>
      <c r="AP194" s="100"/>
      <c r="AQ194" s="100"/>
      <c r="AR194" s="111"/>
      <c r="AS194" s="142"/>
      <c r="AT194" s="150"/>
    </row>
    <row r="195" spans="1:46" ht="17" thickBot="1">
      <c r="A195" s="92" t="s">
        <v>4</v>
      </c>
      <c r="B195" s="212">
        <f>SUM(J195+K195+L195+M195+N195+S195+V195+W195+X195+AA195+AI195+AJ195+AI195+AM195+AP195+AQ195+AS195+AT195+AU195+AV195)+35</f>
        <v>40</v>
      </c>
      <c r="C195" s="217">
        <f>SUM(J195+K195+L195+M195+N195+S195+W195+X195+V195+AA195+AJ195+AI195+AJ195+AN195+AQ195+AM195+AT195+AU195+AV195+AW195+AP195+AS195)+45</f>
        <v>50</v>
      </c>
      <c r="D195" s="144"/>
      <c r="E195" s="145"/>
      <c r="F195" s="146"/>
      <c r="G195" s="147"/>
      <c r="H195" s="114"/>
      <c r="I195" s="114"/>
      <c r="J195" s="112"/>
      <c r="K195" s="112"/>
      <c r="L195" s="112"/>
      <c r="M195" s="112"/>
      <c r="N195" s="112"/>
      <c r="O195" s="114"/>
      <c r="P195" s="127"/>
      <c r="Q195" s="118"/>
      <c r="R195" s="130"/>
      <c r="S195" s="116"/>
      <c r="T195" s="120"/>
      <c r="U195" s="120"/>
      <c r="V195" s="116"/>
      <c r="W195" s="116"/>
      <c r="X195" s="116"/>
      <c r="Y195" s="120"/>
      <c r="Z195" s="120"/>
      <c r="AA195" s="116">
        <v>5</v>
      </c>
      <c r="AB195" s="118"/>
      <c r="AC195" s="117"/>
      <c r="AD195" s="118"/>
      <c r="AE195" s="118"/>
      <c r="AF195" s="118"/>
      <c r="AG195" s="118"/>
      <c r="AH195" s="116"/>
      <c r="AI195" s="116"/>
      <c r="AJ195" s="149"/>
      <c r="AK195" s="449"/>
      <c r="AL195" s="121"/>
      <c r="AM195" s="116"/>
      <c r="AN195" s="116"/>
      <c r="AO195" s="121"/>
      <c r="AP195" s="116"/>
      <c r="AQ195" s="116"/>
      <c r="AR195" s="121"/>
      <c r="AS195" s="149"/>
      <c r="AT195" s="176"/>
    </row>
    <row r="196" spans="1:46" ht="21.1">
      <c r="A196" s="89" t="s">
        <v>389</v>
      </c>
      <c r="B196" s="209"/>
      <c r="C196" s="214"/>
      <c r="D196" s="133"/>
      <c r="E196" s="134"/>
      <c r="F196" s="135"/>
      <c r="G196" s="136"/>
      <c r="H196" s="96" t="s">
        <v>339</v>
      </c>
      <c r="I196" s="96" t="s">
        <v>339</v>
      </c>
      <c r="J196" s="75" t="s">
        <v>339</v>
      </c>
      <c r="K196" s="75" t="s">
        <v>339</v>
      </c>
      <c r="L196" s="75" t="s">
        <v>339</v>
      </c>
      <c r="M196" s="75" t="s">
        <v>339</v>
      </c>
      <c r="N196" s="75" t="s">
        <v>339</v>
      </c>
      <c r="O196" s="96" t="s">
        <v>339</v>
      </c>
      <c r="P196" s="163"/>
      <c r="Q196" s="109" t="s">
        <v>339</v>
      </c>
      <c r="R196" s="111"/>
      <c r="S196" s="100" t="s">
        <v>339</v>
      </c>
      <c r="T196" s="110" t="s">
        <v>339</v>
      </c>
      <c r="U196" s="110" t="s">
        <v>850</v>
      </c>
      <c r="V196" s="100" t="s">
        <v>375</v>
      </c>
      <c r="W196" s="100" t="s">
        <v>375</v>
      </c>
      <c r="X196" s="100" t="s">
        <v>375</v>
      </c>
      <c r="Y196" s="110" t="s">
        <v>339</v>
      </c>
      <c r="Z196" s="110" t="s">
        <v>339</v>
      </c>
      <c r="AA196" s="100" t="s">
        <v>339</v>
      </c>
      <c r="AB196" s="109"/>
      <c r="AC196" s="108"/>
      <c r="AD196" s="109"/>
      <c r="AE196" s="109"/>
      <c r="AF196" s="109"/>
      <c r="AG196" s="109"/>
      <c r="AH196" s="100"/>
      <c r="AI196" s="100"/>
      <c r="AJ196" s="142"/>
      <c r="AK196" s="448"/>
      <c r="AL196" s="111"/>
      <c r="AM196" s="100"/>
      <c r="AN196" s="100"/>
      <c r="AO196" s="111"/>
      <c r="AP196" s="100"/>
      <c r="AQ196" s="100"/>
      <c r="AR196" s="111"/>
      <c r="AS196" s="142"/>
      <c r="AT196" s="150"/>
    </row>
    <row r="197" spans="1:46" ht="16.3">
      <c r="A197" s="611" t="s">
        <v>1</v>
      </c>
      <c r="B197" s="210">
        <f>SUM(J197+K197+L197+M197+N197+S197+V197+W197+X197+AA197+AI197+AJ197+AI197+AM197+AP197+AQ197+AS197+AT197+AU197+AV197+AN197)+18</f>
        <v>18</v>
      </c>
      <c r="C197" s="215">
        <f>SUM(J197+K197+L197+M197+N197+S197+W197+X197+V197+AA197+AJ197+AI197+AJ197+AN197+AQ197+AM197+AT197+AU197+AV197+AW197+AP197+AS197)+25</f>
        <v>25</v>
      </c>
      <c r="D197" s="133"/>
      <c r="E197" s="134"/>
      <c r="F197" s="135"/>
      <c r="G197" s="136"/>
      <c r="H197" s="96"/>
      <c r="I197" s="96"/>
      <c r="J197" s="75"/>
      <c r="K197" s="75"/>
      <c r="L197" s="75"/>
      <c r="M197" s="75"/>
      <c r="N197" s="75"/>
      <c r="O197" s="96"/>
      <c r="P197" s="163"/>
      <c r="Q197" s="109"/>
      <c r="R197" s="111"/>
      <c r="S197" s="100"/>
      <c r="T197" s="110"/>
      <c r="U197" s="110">
        <v>1</v>
      </c>
      <c r="V197" s="100"/>
      <c r="W197" s="100"/>
      <c r="X197" s="100"/>
      <c r="Y197" s="110"/>
      <c r="Z197" s="110"/>
      <c r="AA197" s="100"/>
      <c r="AB197" s="109"/>
      <c r="AC197" s="108"/>
      <c r="AD197" s="109"/>
      <c r="AE197" s="109"/>
      <c r="AF197" s="109"/>
      <c r="AG197" s="109"/>
      <c r="AH197" s="100"/>
      <c r="AI197" s="100"/>
      <c r="AJ197" s="142"/>
      <c r="AK197" s="448"/>
      <c r="AL197" s="111"/>
      <c r="AM197" s="100"/>
      <c r="AN197" s="100"/>
      <c r="AO197" s="111"/>
      <c r="AP197" s="100"/>
      <c r="AQ197" s="100"/>
      <c r="AR197" s="111"/>
      <c r="AS197" s="142"/>
      <c r="AT197" s="150"/>
    </row>
    <row r="198" spans="1:46" ht="16.3">
      <c r="A198" s="611" t="s">
        <v>2</v>
      </c>
      <c r="B198" s="210">
        <f>SUM(J198+K198+L198+M198+N198+S198+V198+W198+X198+AA198+AI198+AJ198+AI198+AM198+AP198+AQ198+AS198+AT198+AU198+AV198)+60</f>
        <v>63</v>
      </c>
      <c r="C198" s="215">
        <f>SUM(J198+K198+L198+M198+N198+S198+W198+X198+V198+AA198+AJ198+AI198+AJ198+AN198+AQ198+AM198+AT198+AU198+AV198+AW198+AP198+AS198)+83</f>
        <v>86</v>
      </c>
      <c r="D198" s="133"/>
      <c r="E198" s="134"/>
      <c r="F198" s="135"/>
      <c r="G198" s="136"/>
      <c r="H198" s="96"/>
      <c r="I198" s="96"/>
      <c r="J198" s="75"/>
      <c r="K198" s="75"/>
      <c r="L198" s="75"/>
      <c r="M198" s="75"/>
      <c r="N198" s="75"/>
      <c r="O198" s="96"/>
      <c r="P198" s="163"/>
      <c r="Q198" s="109"/>
      <c r="R198" s="111"/>
      <c r="S198" s="100"/>
      <c r="T198" s="110"/>
      <c r="U198" s="110"/>
      <c r="V198" s="100">
        <v>1</v>
      </c>
      <c r="W198" s="100">
        <v>1</v>
      </c>
      <c r="X198" s="100">
        <v>1</v>
      </c>
      <c r="Y198" s="110"/>
      <c r="Z198" s="110"/>
      <c r="AA198" s="100"/>
      <c r="AB198" s="109"/>
      <c r="AC198" s="108"/>
      <c r="AD198" s="109"/>
      <c r="AE198" s="109"/>
      <c r="AF198" s="109"/>
      <c r="AG198" s="109"/>
      <c r="AH198" s="100"/>
      <c r="AI198" s="100"/>
      <c r="AJ198" s="142"/>
      <c r="AK198" s="448"/>
      <c r="AL198" s="111"/>
      <c r="AM198" s="100"/>
      <c r="AN198" s="100"/>
      <c r="AO198" s="111"/>
      <c r="AP198" s="100"/>
      <c r="AQ198" s="100"/>
      <c r="AR198" s="111"/>
      <c r="AS198" s="142"/>
      <c r="AT198" s="150"/>
    </row>
    <row r="199" spans="1:46" ht="16.3">
      <c r="A199" s="91" t="s">
        <v>363</v>
      </c>
      <c r="B199" s="209">
        <f>SUM(B197+B198)</f>
        <v>81</v>
      </c>
      <c r="C199" s="214">
        <f>SUM(C197+C198)</f>
        <v>111</v>
      </c>
      <c r="D199" s="133"/>
      <c r="E199" s="134"/>
      <c r="F199" s="135"/>
      <c r="G199" s="136"/>
      <c r="H199" s="96"/>
      <c r="I199" s="96"/>
      <c r="J199" s="75"/>
      <c r="K199" s="75"/>
      <c r="L199" s="75"/>
      <c r="M199" s="75"/>
      <c r="N199" s="75"/>
      <c r="O199" s="96"/>
      <c r="P199" s="163"/>
      <c r="Q199" s="109"/>
      <c r="R199" s="111"/>
      <c r="S199" s="100"/>
      <c r="T199" s="110"/>
      <c r="U199" s="110"/>
      <c r="V199" s="100"/>
      <c r="W199" s="100"/>
      <c r="X199" s="100"/>
      <c r="Y199" s="110"/>
      <c r="Z199" s="110"/>
      <c r="AA199" s="100"/>
      <c r="AB199" s="109"/>
      <c r="AC199" s="108"/>
      <c r="AD199" s="109"/>
      <c r="AE199" s="109"/>
      <c r="AF199" s="109"/>
      <c r="AG199" s="109"/>
      <c r="AH199" s="100"/>
      <c r="AI199" s="100"/>
      <c r="AJ199" s="142"/>
      <c r="AK199" s="448"/>
      <c r="AL199" s="111"/>
      <c r="AM199" s="100"/>
      <c r="AN199" s="100"/>
      <c r="AO199" s="111"/>
      <c r="AP199" s="100"/>
      <c r="AQ199" s="100"/>
      <c r="AR199" s="111"/>
      <c r="AS199" s="142"/>
      <c r="AT199" s="150"/>
    </row>
    <row r="200" spans="1:46" ht="16.3">
      <c r="A200" s="611" t="s">
        <v>362</v>
      </c>
      <c r="B200" s="210">
        <f>SUM(J200+K200+L200+M200+N200+S200+V200+W200+X200+AA200+AI200+AJ200+AI200+AM200+AP200+AQ200+AS200+AT200+AU200+AV200)+1</f>
        <v>1</v>
      </c>
      <c r="C200" s="215">
        <f>SUM(J200+K200+L200+M200+N200+S200+W200+X200+V200+AA200+AJ200+AI200+AJ200+AN200+AQ200+AM200+AT200+AU200+AV200+AW200+AP200+AS200)+3</f>
        <v>3</v>
      </c>
      <c r="D200" s="133"/>
      <c r="E200" s="134"/>
      <c r="F200" s="135"/>
      <c r="G200" s="136"/>
      <c r="H200" s="96"/>
      <c r="I200" s="96"/>
      <c r="J200" s="75"/>
      <c r="K200" s="75"/>
      <c r="L200" s="75"/>
      <c r="M200" s="75"/>
      <c r="N200" s="75"/>
      <c r="O200" s="96"/>
      <c r="P200" s="163"/>
      <c r="Q200" s="109"/>
      <c r="R200" s="111"/>
      <c r="S200" s="100"/>
      <c r="T200" s="110"/>
      <c r="U200" s="110"/>
      <c r="V200" s="100"/>
      <c r="W200" s="100"/>
      <c r="X200" s="100"/>
      <c r="Y200" s="110"/>
      <c r="Z200" s="110"/>
      <c r="AA200" s="100"/>
      <c r="AB200" s="109"/>
      <c r="AC200" s="108"/>
      <c r="AD200" s="109"/>
      <c r="AE200" s="109"/>
      <c r="AF200" s="109"/>
      <c r="AG200" s="109"/>
      <c r="AH200" s="100"/>
      <c r="AI200" s="100"/>
      <c r="AJ200" s="142"/>
      <c r="AK200" s="448"/>
      <c r="AL200" s="111"/>
      <c r="AM200" s="100"/>
      <c r="AN200" s="100"/>
      <c r="AO200" s="111"/>
      <c r="AP200" s="100"/>
      <c r="AQ200" s="100"/>
      <c r="AR200" s="111"/>
      <c r="AS200" s="142"/>
      <c r="AT200" s="150"/>
    </row>
    <row r="201" spans="1:46" ht="16.3">
      <c r="A201" s="91" t="s">
        <v>3</v>
      </c>
      <c r="B201" s="209">
        <f>SUM(J201+K201+L201+M201+N201+S201+V201+W201+X201+AA201+AI201+AJ201+AI201+AM201+AP201+AQ201+AS201+AT201+AU201+AV201)+9</f>
        <v>9</v>
      </c>
      <c r="C201" s="214">
        <f>SUM(J201+K201+L201+M201+N201+S201+W201+X201+V201+AA201+AJ201+AI201+AJ201+AN201+AQ201+AM201+AT201+AU201+AV201+AW201+AP201+AS201)+11</f>
        <v>11</v>
      </c>
      <c r="D201" s="133"/>
      <c r="E201" s="134"/>
      <c r="F201" s="135"/>
      <c r="G201" s="136"/>
      <c r="H201" s="96"/>
      <c r="I201" s="96"/>
      <c r="J201" s="75"/>
      <c r="K201" s="75"/>
      <c r="L201" s="75"/>
      <c r="M201" s="75"/>
      <c r="N201" s="75"/>
      <c r="O201" s="96"/>
      <c r="P201" s="163"/>
      <c r="Q201" s="109"/>
      <c r="R201" s="111"/>
      <c r="S201" s="100"/>
      <c r="T201" s="110"/>
      <c r="U201" s="110"/>
      <c r="V201" s="100"/>
      <c r="W201" s="100"/>
      <c r="X201" s="100"/>
      <c r="Y201" s="110"/>
      <c r="Z201" s="110"/>
      <c r="AA201" s="100"/>
      <c r="AB201" s="109"/>
      <c r="AC201" s="108"/>
      <c r="AD201" s="109"/>
      <c r="AE201" s="109"/>
      <c r="AF201" s="109"/>
      <c r="AG201" s="109"/>
      <c r="AH201" s="100"/>
      <c r="AI201" s="100"/>
      <c r="AJ201" s="142"/>
      <c r="AK201" s="448"/>
      <c r="AL201" s="111"/>
      <c r="AM201" s="100"/>
      <c r="AN201" s="100"/>
      <c r="AO201" s="111"/>
      <c r="AP201" s="100"/>
      <c r="AQ201" s="100"/>
      <c r="AR201" s="111"/>
      <c r="AS201" s="142"/>
      <c r="AT201" s="150"/>
    </row>
    <row r="202" spans="1:46" ht="17" thickBot="1">
      <c r="A202" s="92" t="s">
        <v>4</v>
      </c>
      <c r="B202" s="209">
        <f>SUM(J202+K202+L202+M202+N202+S202+V202+W202+X202+AA202+AI202+AJ202+AI202+AM202+AP202+AQ202+AS202+AT202+AU202+AV202)+45</f>
        <v>45</v>
      </c>
      <c r="C202" s="214">
        <f>SUM(J202+K202+L202+M202+N202+S202+W202+X202+V202+AA202+AJ202+AI202+AJ202+AN202+AQ202+AM202+AT202+AU202+AV202+AW202+AP202+AS202)+55</f>
        <v>55</v>
      </c>
      <c r="D202" s="133"/>
      <c r="E202" s="134"/>
      <c r="F202" s="135"/>
      <c r="G202" s="136"/>
      <c r="H202" s="114"/>
      <c r="I202" s="114"/>
      <c r="J202" s="112"/>
      <c r="K202" s="112"/>
      <c r="L202" s="112"/>
      <c r="M202" s="112"/>
      <c r="N202" s="112"/>
      <c r="O202" s="114"/>
      <c r="P202" s="164"/>
      <c r="Q202" s="118"/>
      <c r="R202" s="130"/>
      <c r="S202" s="100"/>
      <c r="T202" s="110"/>
      <c r="U202" s="110"/>
      <c r="V202" s="100"/>
      <c r="W202" s="100"/>
      <c r="X202" s="100"/>
      <c r="Y202" s="110"/>
      <c r="Z202" s="110"/>
      <c r="AA202" s="100"/>
      <c r="AB202" s="109"/>
      <c r="AC202" s="108"/>
      <c r="AD202" s="109"/>
      <c r="AE202" s="109"/>
      <c r="AF202" s="109"/>
      <c r="AG202" s="109"/>
      <c r="AH202" s="100"/>
      <c r="AI202" s="100"/>
      <c r="AJ202" s="142"/>
      <c r="AK202" s="448"/>
      <c r="AL202" s="111"/>
      <c r="AM202" s="100"/>
      <c r="AN202" s="100"/>
      <c r="AO202" s="111"/>
      <c r="AP202" s="100"/>
      <c r="AQ202" s="100"/>
      <c r="AR202" s="111"/>
      <c r="AS202" s="142"/>
      <c r="AT202" s="150"/>
    </row>
    <row r="203" spans="1:46" ht="21.1">
      <c r="A203" s="89" t="s">
        <v>685</v>
      </c>
      <c r="B203" s="213"/>
      <c r="C203" s="218"/>
      <c r="D203" s="153"/>
      <c r="E203" s="154"/>
      <c r="F203" s="155"/>
      <c r="G203" s="156"/>
      <c r="H203" s="96"/>
      <c r="I203" s="96"/>
      <c r="J203" s="75" t="s">
        <v>369</v>
      </c>
      <c r="K203" s="75"/>
      <c r="L203" s="75"/>
      <c r="M203" s="75"/>
      <c r="N203" s="75"/>
      <c r="O203" s="96"/>
      <c r="P203" s="163"/>
      <c r="Q203" s="124"/>
      <c r="R203" s="586"/>
      <c r="S203" s="102"/>
      <c r="T203" s="101"/>
      <c r="U203" s="101"/>
      <c r="V203" s="102"/>
      <c r="W203" s="102"/>
      <c r="X203" s="102"/>
      <c r="Y203" s="101"/>
      <c r="Z203" s="101"/>
      <c r="AA203" s="102"/>
      <c r="AB203" s="99"/>
      <c r="AC203" s="98"/>
      <c r="AD203" s="99"/>
      <c r="AE203" s="99"/>
      <c r="AF203" s="99"/>
      <c r="AG203" s="99"/>
      <c r="AH203" s="102"/>
      <c r="AI203" s="102"/>
      <c r="AJ203" s="138"/>
      <c r="AK203" s="446"/>
      <c r="AL203" s="103"/>
      <c r="AM203" s="102"/>
      <c r="AN203" s="102"/>
      <c r="AO203" s="103"/>
      <c r="AP203" s="102"/>
      <c r="AQ203" s="102"/>
      <c r="AR203" s="103"/>
      <c r="AS203" s="138"/>
      <c r="AT203" s="478"/>
    </row>
    <row r="204" spans="1:46" ht="16.3">
      <c r="A204" s="585" t="s">
        <v>1</v>
      </c>
      <c r="B204" s="210">
        <f>SUM(J204+K204+L204+M204+N204+S204+V204+W204+X204+AA204+AI204+AJ204+AI204+AM204+AP204+AQ204+AS204+AT204+AU204+AV204+AN204)</f>
        <v>1</v>
      </c>
      <c r="C204" s="215">
        <f>B204</f>
        <v>1</v>
      </c>
      <c r="D204" s="133"/>
      <c r="E204" s="134"/>
      <c r="F204" s="135"/>
      <c r="G204" s="136"/>
      <c r="H204" s="96"/>
      <c r="I204" s="96"/>
      <c r="J204" s="75">
        <v>1</v>
      </c>
      <c r="K204" s="75"/>
      <c r="L204" s="75"/>
      <c r="M204" s="75"/>
      <c r="N204" s="75"/>
      <c r="O204" s="96"/>
      <c r="P204" s="163"/>
      <c r="Q204" s="109"/>
      <c r="R204" s="111"/>
      <c r="S204" s="100"/>
      <c r="T204" s="110"/>
      <c r="U204" s="110"/>
      <c r="V204" s="100"/>
      <c r="W204" s="100"/>
      <c r="X204" s="100"/>
      <c r="Y204" s="110"/>
      <c r="Z204" s="110"/>
      <c r="AA204" s="100"/>
      <c r="AB204" s="109"/>
      <c r="AC204" s="108"/>
      <c r="AD204" s="109"/>
      <c r="AE204" s="109"/>
      <c r="AF204" s="109"/>
      <c r="AG204" s="109"/>
      <c r="AH204" s="100"/>
      <c r="AI204" s="100"/>
      <c r="AJ204" s="142"/>
      <c r="AK204" s="448"/>
      <c r="AL204" s="111"/>
      <c r="AM204" s="100"/>
      <c r="AN204" s="100"/>
      <c r="AO204" s="111"/>
      <c r="AP204" s="100"/>
      <c r="AQ204" s="100"/>
      <c r="AR204" s="111"/>
      <c r="AS204" s="142"/>
      <c r="AT204" s="150"/>
    </row>
    <row r="205" spans="1:46" ht="16.3">
      <c r="A205" s="585" t="s">
        <v>2</v>
      </c>
      <c r="B205" s="210">
        <f>SUM(J205+K205+L205+M205+N205+S205+V205+W205+X205+AA205+AI205+AJ205+AI205+AM205+AP205+AQ205+AS205+AT205+AU205+AV205)</f>
        <v>0</v>
      </c>
      <c r="C205" s="215">
        <f t="shared" ref="C205:C208" si="24">B205</f>
        <v>0</v>
      </c>
      <c r="D205" s="133"/>
      <c r="E205" s="134"/>
      <c r="F205" s="135"/>
      <c r="G205" s="136"/>
      <c r="H205" s="96"/>
      <c r="I205" s="96"/>
      <c r="J205" s="75"/>
      <c r="K205" s="75"/>
      <c r="L205" s="75"/>
      <c r="M205" s="75"/>
      <c r="N205" s="75"/>
      <c r="O205" s="96"/>
      <c r="P205" s="163"/>
      <c r="Q205" s="109"/>
      <c r="R205" s="111"/>
      <c r="S205" s="100"/>
      <c r="T205" s="110"/>
      <c r="U205" s="110"/>
      <c r="V205" s="100"/>
      <c r="W205" s="100"/>
      <c r="X205" s="100"/>
      <c r="Y205" s="110"/>
      <c r="Z205" s="110"/>
      <c r="AA205" s="100"/>
      <c r="AB205" s="109"/>
      <c r="AC205" s="108"/>
      <c r="AD205" s="109"/>
      <c r="AE205" s="109"/>
      <c r="AF205" s="109"/>
      <c r="AG205" s="109"/>
      <c r="AH205" s="100"/>
      <c r="AI205" s="100"/>
      <c r="AJ205" s="142"/>
      <c r="AK205" s="448"/>
      <c r="AL205" s="111"/>
      <c r="AM205" s="100"/>
      <c r="AN205" s="100"/>
      <c r="AO205" s="111"/>
      <c r="AP205" s="100"/>
      <c r="AQ205" s="100"/>
      <c r="AR205" s="111"/>
      <c r="AS205" s="142"/>
      <c r="AT205" s="150"/>
    </row>
    <row r="206" spans="1:46" ht="16.3">
      <c r="A206" s="91" t="s">
        <v>363</v>
      </c>
      <c r="B206" s="209">
        <f>SUM(B204+B205)</f>
        <v>1</v>
      </c>
      <c r="C206" s="214">
        <f t="shared" si="24"/>
        <v>1</v>
      </c>
      <c r="D206" s="133"/>
      <c r="E206" s="134"/>
      <c r="F206" s="135"/>
      <c r="G206" s="136"/>
      <c r="H206" s="96"/>
      <c r="I206" s="96"/>
      <c r="J206" s="75"/>
      <c r="K206" s="75"/>
      <c r="L206" s="75"/>
      <c r="M206" s="75"/>
      <c r="N206" s="75"/>
      <c r="O206" s="96"/>
      <c r="P206" s="163"/>
      <c r="Q206" s="109"/>
      <c r="R206" s="111"/>
      <c r="S206" s="100"/>
      <c r="T206" s="110"/>
      <c r="U206" s="110"/>
      <c r="V206" s="100"/>
      <c r="W206" s="100"/>
      <c r="X206" s="100"/>
      <c r="Y206" s="110"/>
      <c r="Z206" s="110"/>
      <c r="AA206" s="100"/>
      <c r="AB206" s="109"/>
      <c r="AC206" s="108"/>
      <c r="AD206" s="109"/>
      <c r="AE206" s="109"/>
      <c r="AF206" s="109"/>
      <c r="AG206" s="109"/>
      <c r="AH206" s="100"/>
      <c r="AI206" s="100"/>
      <c r="AJ206" s="142"/>
      <c r="AK206" s="448"/>
      <c r="AL206" s="111"/>
      <c r="AM206" s="100"/>
      <c r="AN206" s="100"/>
      <c r="AO206" s="111"/>
      <c r="AP206" s="100"/>
      <c r="AQ206" s="100"/>
      <c r="AR206" s="111"/>
      <c r="AS206" s="142"/>
      <c r="AT206" s="150"/>
    </row>
    <row r="207" spans="1:46" ht="16.3">
      <c r="A207" s="91" t="s">
        <v>3</v>
      </c>
      <c r="B207" s="209">
        <f>SUM(J207+K207+L207+M207+N207+S207+V207+W207+X207+AA207+AI207+AJ207+AI207+AM207+AP207+AQ207+AS207+AT207+AU207+AV207)</f>
        <v>0</v>
      </c>
      <c r="C207" s="214">
        <f t="shared" si="24"/>
        <v>0</v>
      </c>
      <c r="D207" s="133"/>
      <c r="E207" s="134"/>
      <c r="F207" s="135"/>
      <c r="G207" s="136"/>
      <c r="H207" s="96"/>
      <c r="I207" s="96"/>
      <c r="J207" s="75"/>
      <c r="K207" s="75"/>
      <c r="L207" s="75"/>
      <c r="M207" s="75"/>
      <c r="N207" s="75"/>
      <c r="O207" s="96"/>
      <c r="P207" s="163"/>
      <c r="Q207" s="109"/>
      <c r="R207" s="111"/>
      <c r="S207" s="100"/>
      <c r="T207" s="110"/>
      <c r="U207" s="110"/>
      <c r="V207" s="100"/>
      <c r="W207" s="100"/>
      <c r="X207" s="100"/>
      <c r="Y207" s="110"/>
      <c r="Z207" s="110"/>
      <c r="AA207" s="100"/>
      <c r="AB207" s="109"/>
      <c r="AC207" s="108"/>
      <c r="AD207" s="109"/>
      <c r="AE207" s="109"/>
      <c r="AF207" s="109"/>
      <c r="AG207" s="109"/>
      <c r="AH207" s="100"/>
      <c r="AI207" s="100"/>
      <c r="AJ207" s="142"/>
      <c r="AK207" s="448"/>
      <c r="AL207" s="111"/>
      <c r="AM207" s="100"/>
      <c r="AN207" s="100"/>
      <c r="AO207" s="111"/>
      <c r="AP207" s="100"/>
      <c r="AQ207" s="100"/>
      <c r="AR207" s="111"/>
      <c r="AS207" s="142"/>
      <c r="AT207" s="150"/>
    </row>
    <row r="208" spans="1:46" ht="17" thickBot="1">
      <c r="A208" s="92" t="s">
        <v>4</v>
      </c>
      <c r="B208" s="212">
        <f>SUM(J208+K208+L208+M208+N208+S208+V208+W208+X208+AA208+AI208+AJ208+AI208+AM208+AP208+AQ208+AS208+AT208+AU208+AV208)</f>
        <v>0</v>
      </c>
      <c r="C208" s="217">
        <f t="shared" si="24"/>
        <v>0</v>
      </c>
      <c r="D208" s="144"/>
      <c r="E208" s="145"/>
      <c r="F208" s="146"/>
      <c r="G208" s="147"/>
      <c r="H208" s="114"/>
      <c r="I208" s="114"/>
      <c r="J208" s="112"/>
      <c r="K208" s="112"/>
      <c r="L208" s="112"/>
      <c r="M208" s="112"/>
      <c r="N208" s="112"/>
      <c r="O208" s="114"/>
      <c r="P208" s="164"/>
      <c r="Q208" s="118"/>
      <c r="R208" s="130"/>
      <c r="S208" s="116"/>
      <c r="T208" s="120"/>
      <c r="U208" s="120"/>
      <c r="V208" s="116"/>
      <c r="W208" s="116"/>
      <c r="X208" s="116"/>
      <c r="Y208" s="120"/>
      <c r="Z208" s="120"/>
      <c r="AA208" s="116"/>
      <c r="AB208" s="118"/>
      <c r="AC208" s="117"/>
      <c r="AD208" s="118"/>
      <c r="AE208" s="118"/>
      <c r="AF208" s="118"/>
      <c r="AG208" s="118"/>
      <c r="AH208" s="116"/>
      <c r="AI208" s="116"/>
      <c r="AJ208" s="149"/>
      <c r="AK208" s="449"/>
      <c r="AL208" s="121"/>
      <c r="AM208" s="116"/>
      <c r="AN208" s="116"/>
      <c r="AO208" s="121"/>
      <c r="AP208" s="116"/>
      <c r="AQ208" s="116"/>
      <c r="AR208" s="121"/>
      <c r="AS208" s="149"/>
      <c r="AT208" s="176"/>
    </row>
    <row r="209" spans="1:46" ht="21.1">
      <c r="A209" s="89" t="s">
        <v>144</v>
      </c>
      <c r="B209" s="209"/>
      <c r="C209" s="214"/>
      <c r="D209" s="133"/>
      <c r="E209" s="134"/>
      <c r="F209" s="135"/>
      <c r="G209" s="136"/>
      <c r="H209" s="96" t="s">
        <v>369</v>
      </c>
      <c r="I209" s="96"/>
      <c r="J209" s="75"/>
      <c r="K209" s="75" t="s">
        <v>369</v>
      </c>
      <c r="L209" s="75">
        <v>1</v>
      </c>
      <c r="M209" s="75" t="s">
        <v>369</v>
      </c>
      <c r="N209" s="75" t="s">
        <v>369</v>
      </c>
      <c r="O209" s="96"/>
      <c r="P209" s="163"/>
      <c r="Q209" s="109"/>
      <c r="R209" s="111"/>
      <c r="S209" s="100" t="s">
        <v>369</v>
      </c>
      <c r="T209" s="110" t="s">
        <v>375</v>
      </c>
      <c r="U209" s="110" t="s">
        <v>375</v>
      </c>
      <c r="V209" s="100"/>
      <c r="W209" s="100" t="s">
        <v>375</v>
      </c>
      <c r="X209" s="100" t="s">
        <v>375</v>
      </c>
      <c r="Y209" s="110" t="s">
        <v>375</v>
      </c>
      <c r="Z209" s="110" t="s">
        <v>375</v>
      </c>
      <c r="AA209" s="100" t="s">
        <v>441</v>
      </c>
      <c r="AB209" s="109" t="s">
        <v>375</v>
      </c>
      <c r="AC209" s="108"/>
      <c r="AD209" s="109" t="s">
        <v>375</v>
      </c>
      <c r="AE209" s="109" t="s">
        <v>375</v>
      </c>
      <c r="AF209" s="109" t="s">
        <v>369</v>
      </c>
      <c r="AG209" s="109"/>
      <c r="AH209" s="100"/>
      <c r="AI209" s="100"/>
      <c r="AJ209" s="142"/>
      <c r="AK209" s="448"/>
      <c r="AL209" s="111"/>
      <c r="AM209" s="100"/>
      <c r="AN209" s="100"/>
      <c r="AO209" s="111"/>
      <c r="AP209" s="100"/>
      <c r="AQ209" s="100"/>
      <c r="AR209" s="111"/>
      <c r="AS209" s="142"/>
      <c r="AT209" s="150"/>
    </row>
    <row r="210" spans="1:46" ht="16.3">
      <c r="A210" s="611" t="s">
        <v>1</v>
      </c>
      <c r="B210" s="210">
        <f>SUM(J210+K210+L210+M210+N210+S210+V210+W210+X210+AA210+AI210+AJ210+AI210+AM210+AP210+AQ210+AS210+AT210+AU210+AV210+AN210)+9</f>
        <v>14</v>
      </c>
      <c r="C210" s="215">
        <f>B210</f>
        <v>14</v>
      </c>
      <c r="D210" s="133"/>
      <c r="E210" s="134"/>
      <c r="F210" s="135"/>
      <c r="G210" s="136"/>
      <c r="H210" s="96">
        <v>1</v>
      </c>
      <c r="I210" s="96"/>
      <c r="J210" s="75"/>
      <c r="K210" s="75">
        <v>1</v>
      </c>
      <c r="L210" s="75">
        <v>1</v>
      </c>
      <c r="M210" s="75">
        <v>1</v>
      </c>
      <c r="N210" s="75">
        <v>1</v>
      </c>
      <c r="O210" s="96"/>
      <c r="P210" s="163"/>
      <c r="Q210" s="109"/>
      <c r="R210" s="111"/>
      <c r="S210" s="100">
        <v>1</v>
      </c>
      <c r="T210" s="110"/>
      <c r="U210" s="110"/>
      <c r="V210" s="100"/>
      <c r="W210" s="100"/>
      <c r="X210" s="100"/>
      <c r="Y210" s="110"/>
      <c r="Z210" s="110"/>
      <c r="AA210" s="100"/>
      <c r="AB210" s="109"/>
      <c r="AC210" s="108"/>
      <c r="AD210" s="109"/>
      <c r="AE210" s="109"/>
      <c r="AF210" s="109">
        <v>1</v>
      </c>
      <c r="AG210" s="109"/>
      <c r="AH210" s="100"/>
      <c r="AI210" s="100"/>
      <c r="AJ210" s="142"/>
      <c r="AK210" s="448"/>
      <c r="AL210" s="111"/>
      <c r="AM210" s="100"/>
      <c r="AN210" s="100"/>
      <c r="AO210" s="111"/>
      <c r="AP210" s="100"/>
      <c r="AQ210" s="100"/>
      <c r="AR210" s="111"/>
      <c r="AS210" s="142"/>
      <c r="AT210" s="150"/>
    </row>
    <row r="211" spans="1:46" ht="16.3">
      <c r="A211" s="611" t="s">
        <v>2</v>
      </c>
      <c r="B211" s="210">
        <f>SUM(J211+K211+L211+M211+N211+S211+V211+W211+X211+AA211+AI211+AJ211+AI211+AM211+AP211+AQ211+AS211+AT211+AU211+AV211)+51</f>
        <v>54</v>
      </c>
      <c r="C211" s="215">
        <f t="shared" ref="C211:C215" si="25">B211</f>
        <v>54</v>
      </c>
      <c r="D211" s="133"/>
      <c r="E211" s="134"/>
      <c r="F211" s="135"/>
      <c r="G211" s="136"/>
      <c r="H211" s="96"/>
      <c r="I211" s="96"/>
      <c r="J211" s="75"/>
      <c r="K211" s="75"/>
      <c r="L211" s="75"/>
      <c r="M211" s="75"/>
      <c r="N211" s="75"/>
      <c r="O211" s="96"/>
      <c r="P211" s="163"/>
      <c r="Q211" s="109"/>
      <c r="R211" s="111"/>
      <c r="S211" s="100"/>
      <c r="T211" s="110">
        <v>1</v>
      </c>
      <c r="U211" s="110">
        <v>1</v>
      </c>
      <c r="V211" s="100"/>
      <c r="W211" s="100">
        <v>1</v>
      </c>
      <c r="X211" s="100">
        <v>1</v>
      </c>
      <c r="Y211" s="110">
        <v>1</v>
      </c>
      <c r="Z211" s="110">
        <v>1</v>
      </c>
      <c r="AA211" s="100">
        <v>1</v>
      </c>
      <c r="AB211" s="109">
        <v>1</v>
      </c>
      <c r="AC211" s="108"/>
      <c r="AD211" s="109">
        <v>1</v>
      </c>
      <c r="AE211" s="109">
        <v>1</v>
      </c>
      <c r="AF211" s="109"/>
      <c r="AG211" s="109"/>
      <c r="AH211" s="100"/>
      <c r="AI211" s="100"/>
      <c r="AJ211" s="142"/>
      <c r="AK211" s="448"/>
      <c r="AL211" s="111"/>
      <c r="AM211" s="100"/>
      <c r="AN211" s="100"/>
      <c r="AO211" s="111"/>
      <c r="AP211" s="100"/>
      <c r="AQ211" s="100"/>
      <c r="AR211" s="111"/>
      <c r="AS211" s="142"/>
      <c r="AT211" s="150"/>
    </row>
    <row r="212" spans="1:46" ht="16.3">
      <c r="A212" s="91" t="s">
        <v>363</v>
      </c>
      <c r="B212" s="209">
        <f>SUM(B210+B211)</f>
        <v>68</v>
      </c>
      <c r="C212" s="214">
        <f t="shared" si="25"/>
        <v>68</v>
      </c>
      <c r="D212" s="133"/>
      <c r="E212" s="134"/>
      <c r="F212" s="135"/>
      <c r="G212" s="136"/>
      <c r="H212" s="96"/>
      <c r="I212" s="96"/>
      <c r="J212" s="75"/>
      <c r="K212" s="75"/>
      <c r="L212" s="75"/>
      <c r="M212" s="75"/>
      <c r="N212" s="75"/>
      <c r="O212" s="96"/>
      <c r="P212" s="163"/>
      <c r="Q212" s="109"/>
      <c r="R212" s="111"/>
      <c r="S212" s="100"/>
      <c r="T212" s="110"/>
      <c r="U212" s="110"/>
      <c r="V212" s="100"/>
      <c r="W212" s="100"/>
      <c r="X212" s="100"/>
      <c r="Y212" s="110"/>
      <c r="Z212" s="110"/>
      <c r="AA212" s="100"/>
      <c r="AB212" s="109"/>
      <c r="AC212" s="108"/>
      <c r="AD212" s="109"/>
      <c r="AE212" s="109"/>
      <c r="AF212" s="109"/>
      <c r="AG212" s="109"/>
      <c r="AH212" s="100"/>
      <c r="AI212" s="100"/>
      <c r="AJ212" s="142"/>
      <c r="AK212" s="448"/>
      <c r="AL212" s="111"/>
      <c r="AM212" s="100"/>
      <c r="AN212" s="100"/>
      <c r="AO212" s="111"/>
      <c r="AP212" s="100"/>
      <c r="AQ212" s="100"/>
      <c r="AR212" s="111"/>
      <c r="AS212" s="142"/>
      <c r="AT212" s="150"/>
    </row>
    <row r="213" spans="1:46" ht="16.3">
      <c r="A213" s="611" t="s">
        <v>362</v>
      </c>
      <c r="B213" s="210">
        <f>SUM(J213+K213+L213+M213+N213+S213+V213+W213+X213+AA213+AI213+AJ213+AI213+AM213+AP213+AQ213+AS213+AT213+AU213+AV213)+1</f>
        <v>2</v>
      </c>
      <c r="C213" s="215">
        <f t="shared" si="25"/>
        <v>2</v>
      </c>
      <c r="D213" s="133"/>
      <c r="E213" s="134"/>
      <c r="F213" s="135"/>
      <c r="G213" s="136"/>
      <c r="H213" s="96"/>
      <c r="I213" s="96"/>
      <c r="J213" s="75"/>
      <c r="K213" s="75"/>
      <c r="L213" s="75"/>
      <c r="M213" s="75"/>
      <c r="N213" s="75"/>
      <c r="O213" s="96"/>
      <c r="P213" s="163"/>
      <c r="Q213" s="109"/>
      <c r="R213" s="111"/>
      <c r="S213" s="100"/>
      <c r="T213" s="110"/>
      <c r="U213" s="110"/>
      <c r="V213" s="100"/>
      <c r="W213" s="100"/>
      <c r="X213" s="100"/>
      <c r="Y213" s="110"/>
      <c r="Z213" s="110"/>
      <c r="AA213" s="100">
        <v>1</v>
      </c>
      <c r="AB213" s="109"/>
      <c r="AC213" s="108"/>
      <c r="AD213" s="109"/>
      <c r="AE213" s="109"/>
      <c r="AF213" s="109"/>
      <c r="AG213" s="109"/>
      <c r="AH213" s="100"/>
      <c r="AI213" s="100"/>
      <c r="AJ213" s="142"/>
      <c r="AK213" s="448"/>
      <c r="AL213" s="111"/>
      <c r="AM213" s="100"/>
      <c r="AN213" s="100"/>
      <c r="AO213" s="111"/>
      <c r="AP213" s="100"/>
      <c r="AQ213" s="100"/>
      <c r="AR213" s="111"/>
      <c r="AS213" s="142"/>
      <c r="AT213" s="150"/>
    </row>
    <row r="214" spans="1:46" ht="16.3">
      <c r="A214" s="91" t="s">
        <v>3</v>
      </c>
      <c r="B214" s="209">
        <f>SUM(J214+K214+L214+M214+N214+S214+V214+W214+X214+AA214+AI214+AJ214+AI214+AM214+AP214+AQ214+AS214+AT214+AU214+AV214)</f>
        <v>1</v>
      </c>
      <c r="C214" s="214">
        <f t="shared" si="25"/>
        <v>1</v>
      </c>
      <c r="D214" s="133"/>
      <c r="E214" s="134"/>
      <c r="F214" s="135"/>
      <c r="G214" s="136"/>
      <c r="H214" s="96"/>
      <c r="I214" s="96"/>
      <c r="J214" s="75"/>
      <c r="K214" s="75"/>
      <c r="L214" s="75"/>
      <c r="M214" s="75"/>
      <c r="N214" s="75"/>
      <c r="O214" s="96"/>
      <c r="P214" s="163"/>
      <c r="Q214" s="109"/>
      <c r="R214" s="111"/>
      <c r="S214" s="100"/>
      <c r="T214" s="110"/>
      <c r="U214" s="110"/>
      <c r="V214" s="100"/>
      <c r="W214" s="100"/>
      <c r="X214" s="100">
        <v>1</v>
      </c>
      <c r="Y214" s="110"/>
      <c r="Z214" s="110"/>
      <c r="AA214" s="100"/>
      <c r="AB214" s="109"/>
      <c r="AC214" s="108"/>
      <c r="AD214" s="109"/>
      <c r="AE214" s="109"/>
      <c r="AF214" s="109"/>
      <c r="AG214" s="109"/>
      <c r="AH214" s="100"/>
      <c r="AI214" s="100"/>
      <c r="AJ214" s="142"/>
      <c r="AK214" s="448"/>
      <c r="AL214" s="111"/>
      <c r="AM214" s="100"/>
      <c r="AN214" s="100"/>
      <c r="AO214" s="111"/>
      <c r="AP214" s="100"/>
      <c r="AQ214" s="100"/>
      <c r="AR214" s="111"/>
      <c r="AS214" s="142"/>
      <c r="AT214" s="150"/>
    </row>
    <row r="215" spans="1:46" ht="17" thickBot="1">
      <c r="A215" s="92" t="s">
        <v>4</v>
      </c>
      <c r="B215" s="212">
        <f>SUM(J215+K215+L215+M215+N215+S215+V215+W215+X215+AA215+AI215+AJ215+AI215+AM215+AP215+AQ215+AS215+AT215+AU215+AV215)</f>
        <v>5</v>
      </c>
      <c r="C215" s="217">
        <f t="shared" si="25"/>
        <v>5</v>
      </c>
      <c r="D215" s="144"/>
      <c r="E215" s="145"/>
      <c r="F215" s="146"/>
      <c r="G215" s="147"/>
      <c r="H215" s="114"/>
      <c r="I215" s="114"/>
      <c r="J215" s="112"/>
      <c r="K215" s="112"/>
      <c r="L215" s="112"/>
      <c r="M215" s="112"/>
      <c r="N215" s="112"/>
      <c r="O215" s="114"/>
      <c r="P215" s="164"/>
      <c r="Q215" s="118"/>
      <c r="R215" s="121"/>
      <c r="S215" s="116"/>
      <c r="T215" s="120"/>
      <c r="U215" s="119"/>
      <c r="V215" s="100"/>
      <c r="W215" s="100"/>
      <c r="X215" s="100">
        <v>5</v>
      </c>
      <c r="Y215" s="110"/>
      <c r="Z215" s="110"/>
      <c r="AA215" s="100"/>
      <c r="AB215" s="109"/>
      <c r="AC215" s="108"/>
      <c r="AD215" s="109"/>
      <c r="AE215" s="109"/>
      <c r="AF215" s="109"/>
      <c r="AG215" s="109"/>
      <c r="AH215" s="100"/>
      <c r="AI215" s="100"/>
      <c r="AJ215" s="142"/>
      <c r="AK215" s="448"/>
      <c r="AL215" s="111"/>
      <c r="AM215" s="100"/>
      <c r="AN215" s="100"/>
      <c r="AO215" s="111"/>
      <c r="AP215" s="100"/>
      <c r="AQ215" s="100"/>
      <c r="AR215" s="111"/>
      <c r="AS215" s="142"/>
      <c r="AT215" s="150"/>
    </row>
    <row r="216" spans="1:46" ht="21.1">
      <c r="A216" s="89" t="s">
        <v>420</v>
      </c>
      <c r="B216" s="209"/>
      <c r="C216" s="214"/>
      <c r="D216" s="133"/>
      <c r="E216" s="134"/>
      <c r="F216" s="135"/>
      <c r="G216" s="136"/>
      <c r="H216" s="96"/>
      <c r="I216" s="96" t="s">
        <v>369</v>
      </c>
      <c r="J216" s="75"/>
      <c r="K216" s="75"/>
      <c r="L216" s="75"/>
      <c r="M216" s="75"/>
      <c r="N216" s="75"/>
      <c r="O216" s="96"/>
      <c r="P216" s="163"/>
      <c r="Q216" s="109" t="s">
        <v>375</v>
      </c>
      <c r="R216" s="111"/>
      <c r="S216" s="100"/>
      <c r="T216" s="110"/>
      <c r="U216" s="110"/>
      <c r="V216" s="102"/>
      <c r="W216" s="102"/>
      <c r="X216" s="102"/>
      <c r="Y216" s="101"/>
      <c r="Z216" s="101"/>
      <c r="AA216" s="102"/>
      <c r="AB216" s="99"/>
      <c r="AC216" s="98"/>
      <c r="AD216" s="99"/>
      <c r="AE216" s="99"/>
      <c r="AF216" s="99"/>
      <c r="AG216" s="99"/>
      <c r="AH216" s="102"/>
      <c r="AI216" s="102"/>
      <c r="AJ216" s="138"/>
      <c r="AK216" s="446"/>
      <c r="AL216" s="103"/>
      <c r="AM216" s="102"/>
      <c r="AN216" s="102"/>
      <c r="AO216" s="103"/>
      <c r="AP216" s="102"/>
      <c r="AQ216" s="102"/>
      <c r="AR216" s="103"/>
      <c r="AS216" s="138"/>
      <c r="AT216" s="478"/>
    </row>
    <row r="217" spans="1:46" ht="16.3">
      <c r="A217" s="611" t="s">
        <v>1</v>
      </c>
      <c r="B217" s="210">
        <f>SUM(J217+K217+L217+M217+N217+S217+V217+W217+X217+AA217+AI217+AJ217+AI217+AM217+AP217+AQ217+AS217+AT217+AU217+AV217+AN217)</f>
        <v>0</v>
      </c>
      <c r="C217" s="215">
        <f>SUM(J217+K217+L217+M217+N217+S217+W217+X217+V217+AA217+AJ217+AI217+AJ217+AN217+AQ217+AM217+AT217+AU217+AV217+AW217+AP217+AS217)</f>
        <v>0</v>
      </c>
      <c r="D217" s="133"/>
      <c r="E217" s="134"/>
      <c r="F217" s="135"/>
      <c r="G217" s="136"/>
      <c r="H217" s="96"/>
      <c r="I217" s="96">
        <v>1</v>
      </c>
      <c r="J217" s="75"/>
      <c r="K217" s="75"/>
      <c r="L217" s="75"/>
      <c r="M217" s="75"/>
      <c r="N217" s="75"/>
      <c r="O217" s="96"/>
      <c r="P217" s="163"/>
      <c r="Q217" s="109"/>
      <c r="R217" s="111"/>
      <c r="S217" s="100"/>
      <c r="T217" s="110"/>
      <c r="U217" s="110"/>
      <c r="V217" s="100"/>
      <c r="W217" s="100"/>
      <c r="X217" s="100"/>
      <c r="Y217" s="110"/>
      <c r="Z217" s="110"/>
      <c r="AA217" s="100"/>
      <c r="AB217" s="109"/>
      <c r="AC217" s="108"/>
      <c r="AD217" s="109"/>
      <c r="AE217" s="109"/>
      <c r="AF217" s="109"/>
      <c r="AG217" s="109"/>
      <c r="AH217" s="100"/>
      <c r="AI217" s="100"/>
      <c r="AJ217" s="142"/>
      <c r="AK217" s="448"/>
      <c r="AL217" s="111"/>
      <c r="AM217" s="100"/>
      <c r="AN217" s="100"/>
      <c r="AO217" s="111"/>
      <c r="AP217" s="100"/>
      <c r="AQ217" s="100"/>
      <c r="AR217" s="111"/>
      <c r="AS217" s="142"/>
      <c r="AT217" s="150"/>
    </row>
    <row r="218" spans="1:46" ht="16.3">
      <c r="A218" s="611" t="s">
        <v>2</v>
      </c>
      <c r="B218" s="210">
        <f>SUM(J218+K218+L218+M218+N218+S218+V218+W218+X218+AA218+AI218+AJ218+AI218+AM218+AP218+AQ218+AS218+AT218+AU218+AV218)</f>
        <v>0</v>
      </c>
      <c r="C218" s="215">
        <f>SUM(J218+K218+L218+M218+N218+S218+W218+X218+V218+AA218+AJ218+AI218+AJ218+AN218+AQ218+AM218+AT218+AU218+AV218+AW218+AP218+AS218)+6</f>
        <v>6</v>
      </c>
      <c r="D218" s="133"/>
      <c r="E218" s="134"/>
      <c r="F218" s="135"/>
      <c r="G218" s="136"/>
      <c r="H218" s="96"/>
      <c r="I218" s="96"/>
      <c r="J218" s="75"/>
      <c r="K218" s="75"/>
      <c r="L218" s="75"/>
      <c r="M218" s="75"/>
      <c r="N218" s="75"/>
      <c r="O218" s="96"/>
      <c r="P218" s="163"/>
      <c r="Q218" s="109">
        <v>1</v>
      </c>
      <c r="R218" s="111"/>
      <c r="S218" s="100"/>
      <c r="T218" s="110"/>
      <c r="U218" s="110"/>
      <c r="V218" s="100"/>
      <c r="W218" s="100"/>
      <c r="X218" s="100"/>
      <c r="Y218" s="110"/>
      <c r="Z218" s="110"/>
      <c r="AA218" s="100"/>
      <c r="AB218" s="109"/>
      <c r="AC218" s="108"/>
      <c r="AD218" s="109"/>
      <c r="AE218" s="109"/>
      <c r="AF218" s="109"/>
      <c r="AG218" s="109"/>
      <c r="AH218" s="100"/>
      <c r="AI218" s="100"/>
      <c r="AJ218" s="142"/>
      <c r="AK218" s="448"/>
      <c r="AL218" s="111"/>
      <c r="AM218" s="100"/>
      <c r="AN218" s="100"/>
      <c r="AO218" s="111"/>
      <c r="AP218" s="100"/>
      <c r="AQ218" s="100"/>
      <c r="AR218" s="111"/>
      <c r="AS218" s="142"/>
      <c r="AT218" s="150"/>
    </row>
    <row r="219" spans="1:46" ht="16.3">
      <c r="A219" s="91" t="s">
        <v>363</v>
      </c>
      <c r="B219" s="209">
        <f>SUM(B217+B218)</f>
        <v>0</v>
      </c>
      <c r="C219" s="214">
        <f>SUM(C217+C218)</f>
        <v>6</v>
      </c>
      <c r="D219" s="133"/>
      <c r="E219" s="134"/>
      <c r="F219" s="135"/>
      <c r="G219" s="136"/>
      <c r="H219" s="96"/>
      <c r="I219" s="96"/>
      <c r="J219" s="75"/>
      <c r="K219" s="75"/>
      <c r="L219" s="75"/>
      <c r="M219" s="75"/>
      <c r="N219" s="75"/>
      <c r="O219" s="96"/>
      <c r="P219" s="163"/>
      <c r="Q219" s="109"/>
      <c r="R219" s="111"/>
      <c r="S219" s="100"/>
      <c r="T219" s="110"/>
      <c r="U219" s="110"/>
      <c r="V219" s="100"/>
      <c r="W219" s="100"/>
      <c r="X219" s="100"/>
      <c r="Y219" s="110"/>
      <c r="Z219" s="110"/>
      <c r="AA219" s="100"/>
      <c r="AB219" s="109"/>
      <c r="AC219" s="108"/>
      <c r="AD219" s="109"/>
      <c r="AE219" s="109"/>
      <c r="AF219" s="109"/>
      <c r="AG219" s="109"/>
      <c r="AH219" s="100"/>
      <c r="AI219" s="100"/>
      <c r="AJ219" s="142"/>
      <c r="AK219" s="448"/>
      <c r="AL219" s="111"/>
      <c r="AM219" s="100"/>
      <c r="AN219" s="100"/>
      <c r="AO219" s="111"/>
      <c r="AP219" s="100"/>
      <c r="AQ219" s="100"/>
      <c r="AR219" s="111"/>
      <c r="AS219" s="142"/>
      <c r="AT219" s="150"/>
    </row>
    <row r="220" spans="1:46" ht="16.3">
      <c r="A220" s="91" t="s">
        <v>3</v>
      </c>
      <c r="B220" s="209">
        <f>SUM(J220+K220+L220+M220+N220+S220+V220+W220+X220+AA220+AI220+AJ220+AI220+AM220+AP220+AQ220+AS220+AT220+AU220+AV220)</f>
        <v>0</v>
      </c>
      <c r="C220" s="214">
        <f>SUM(J220+K220+L220+M220+N220+S220+W220+X220+V220+AA220+AJ220+AI220+AJ220+AN220+AQ220+AM220+AT220+AU220+AV220+AW220+AP220+AS220)+1</f>
        <v>1</v>
      </c>
      <c r="D220" s="133"/>
      <c r="E220" s="134"/>
      <c r="F220" s="135"/>
      <c r="G220" s="136"/>
      <c r="H220" s="96"/>
      <c r="I220" s="96"/>
      <c r="J220" s="75"/>
      <c r="K220" s="75"/>
      <c r="L220" s="75"/>
      <c r="M220" s="75"/>
      <c r="N220" s="75"/>
      <c r="O220" s="96"/>
      <c r="P220" s="163"/>
      <c r="Q220" s="109"/>
      <c r="R220" s="111"/>
      <c r="S220" s="100"/>
      <c r="T220" s="110"/>
      <c r="U220" s="110"/>
      <c r="V220" s="100"/>
      <c r="W220" s="100"/>
      <c r="X220" s="100"/>
      <c r="Y220" s="110"/>
      <c r="Z220" s="110"/>
      <c r="AA220" s="100"/>
      <c r="AB220" s="109"/>
      <c r="AC220" s="108"/>
      <c r="AD220" s="109"/>
      <c r="AE220" s="109"/>
      <c r="AF220" s="109"/>
      <c r="AG220" s="109"/>
      <c r="AH220" s="100"/>
      <c r="AI220" s="100"/>
      <c r="AJ220" s="142"/>
      <c r="AK220" s="448"/>
      <c r="AL220" s="111"/>
      <c r="AM220" s="100"/>
      <c r="AN220" s="100"/>
      <c r="AO220" s="111"/>
      <c r="AP220" s="100"/>
      <c r="AQ220" s="100"/>
      <c r="AR220" s="111"/>
      <c r="AS220" s="142"/>
      <c r="AT220" s="150"/>
    </row>
    <row r="221" spans="1:46" ht="17" thickBot="1">
      <c r="A221" s="92" t="s">
        <v>4</v>
      </c>
      <c r="B221" s="212">
        <f>SUM(J221+K221+L221+M221+N221+S221+V221+W221+X221+AA221+AI221+AJ221+AI221+AM221+AP221+AQ221+AS221+AT221+AU221+AV221)</f>
        <v>0</v>
      </c>
      <c r="C221" s="217">
        <f>SUM(J221+K221+L221+M221+N221+S221+W221+X221+V221+AA221+AJ221+AI221+AJ221+AN221+AQ221+AM221+AT221+AU221+AV221+AW221+AP221+AS221)+5</f>
        <v>5</v>
      </c>
      <c r="D221" s="144"/>
      <c r="E221" s="145"/>
      <c r="F221" s="146"/>
      <c r="G221" s="147"/>
      <c r="H221" s="114"/>
      <c r="I221" s="114"/>
      <c r="J221" s="112"/>
      <c r="K221" s="112"/>
      <c r="L221" s="112"/>
      <c r="M221" s="112"/>
      <c r="N221" s="112"/>
      <c r="O221" s="114"/>
      <c r="P221" s="164"/>
      <c r="Q221" s="118"/>
      <c r="R221" s="130"/>
      <c r="S221" s="116"/>
      <c r="T221" s="120"/>
      <c r="U221" s="120"/>
      <c r="V221" s="116"/>
      <c r="W221" s="116"/>
      <c r="X221" s="116"/>
      <c r="Y221" s="120"/>
      <c r="Z221" s="120"/>
      <c r="AA221" s="116"/>
      <c r="AB221" s="118"/>
      <c r="AC221" s="117"/>
      <c r="AD221" s="118"/>
      <c r="AE221" s="118"/>
      <c r="AF221" s="118"/>
      <c r="AG221" s="118"/>
      <c r="AH221" s="116"/>
      <c r="AI221" s="116"/>
      <c r="AJ221" s="149"/>
      <c r="AK221" s="449"/>
      <c r="AL221" s="121"/>
      <c r="AM221" s="116"/>
      <c r="AN221" s="116"/>
      <c r="AO221" s="121"/>
      <c r="AP221" s="116"/>
      <c r="AQ221" s="116"/>
      <c r="AR221" s="121"/>
      <c r="AS221" s="149"/>
      <c r="AT221" s="176"/>
    </row>
    <row r="222" spans="1:46" ht="21.1">
      <c r="A222" s="89" t="s">
        <v>631</v>
      </c>
      <c r="B222" s="209"/>
      <c r="C222" s="214"/>
      <c r="D222" s="133"/>
      <c r="E222" s="134"/>
      <c r="F222" s="135"/>
      <c r="G222" s="136"/>
      <c r="H222" s="96"/>
      <c r="I222" s="96" t="s">
        <v>432</v>
      </c>
      <c r="J222" s="75"/>
      <c r="K222" s="75"/>
      <c r="L222" s="75"/>
      <c r="M222" s="75"/>
      <c r="N222" s="75"/>
      <c r="O222" s="96" t="s">
        <v>375</v>
      </c>
      <c r="P222" s="163"/>
      <c r="Q222" s="109"/>
      <c r="R222" s="111"/>
      <c r="S222" s="100"/>
      <c r="T222" s="110"/>
      <c r="U222" s="110"/>
      <c r="V222" s="100"/>
      <c r="W222" s="100"/>
      <c r="X222" s="100"/>
      <c r="Y222" s="110"/>
      <c r="Z222" s="110"/>
      <c r="AA222" s="100"/>
      <c r="AB222" s="109"/>
      <c r="AC222" s="108"/>
      <c r="AD222" s="109"/>
      <c r="AE222" s="109"/>
      <c r="AF222" s="109"/>
      <c r="AG222" s="109"/>
      <c r="AH222" s="100"/>
      <c r="AI222" s="100"/>
      <c r="AJ222" s="142"/>
      <c r="AK222" s="448"/>
      <c r="AL222" s="111"/>
      <c r="AM222" s="100"/>
      <c r="AN222" s="100"/>
      <c r="AO222" s="111"/>
      <c r="AP222" s="100"/>
      <c r="AQ222" s="100"/>
      <c r="AR222" s="111"/>
      <c r="AS222" s="142"/>
      <c r="AT222" s="150"/>
    </row>
    <row r="223" spans="1:46" ht="16.3">
      <c r="A223" s="611" t="s">
        <v>1</v>
      </c>
      <c r="B223" s="210">
        <f>SUM(J223+K223+L223+M223+N223+S223+V223+W223+X223+AA223+AI223+AJ223+AI223+AM223+AP223+AQ223+AS223+AT223+AU223+AV223+AN223)</f>
        <v>0</v>
      </c>
      <c r="C223" s="215">
        <f>B223</f>
        <v>0</v>
      </c>
      <c r="D223" s="133"/>
      <c r="E223" s="134"/>
      <c r="F223" s="135"/>
      <c r="G223" s="136"/>
      <c r="H223" s="96"/>
      <c r="I223" s="96"/>
      <c r="J223" s="75"/>
      <c r="K223" s="75"/>
      <c r="L223" s="75"/>
      <c r="M223" s="75"/>
      <c r="N223" s="75"/>
      <c r="O223" s="96"/>
      <c r="P223" s="163"/>
      <c r="Q223" s="109"/>
      <c r="R223" s="111"/>
      <c r="S223" s="100"/>
      <c r="T223" s="110"/>
      <c r="U223" s="110"/>
      <c r="V223" s="100"/>
      <c r="W223" s="100"/>
      <c r="X223" s="100"/>
      <c r="Y223" s="110"/>
      <c r="Z223" s="110"/>
      <c r="AA223" s="100"/>
      <c r="AB223" s="109"/>
      <c r="AC223" s="108"/>
      <c r="AD223" s="109"/>
      <c r="AE223" s="109"/>
      <c r="AF223" s="109"/>
      <c r="AG223" s="109"/>
      <c r="AH223" s="100"/>
      <c r="AI223" s="100"/>
      <c r="AJ223" s="142"/>
      <c r="AK223" s="448"/>
      <c r="AL223" s="111"/>
      <c r="AM223" s="100"/>
      <c r="AN223" s="100"/>
      <c r="AO223" s="111"/>
      <c r="AP223" s="100"/>
      <c r="AQ223" s="100"/>
      <c r="AR223" s="111"/>
      <c r="AS223" s="142"/>
      <c r="AT223" s="150"/>
    </row>
    <row r="224" spans="1:46" ht="16.3">
      <c r="A224" s="611" t="s">
        <v>2</v>
      </c>
      <c r="B224" s="210">
        <f>SUM(J224+K224+L224+M224+N224+S224+V224+W224+X224+AA224+AI224+AJ224+AI224+AM224+AP224+AQ224+AS224+AT224+AU224+AV224)</f>
        <v>0</v>
      </c>
      <c r="C224" s="215">
        <f t="shared" ref="C224:C227" si="26">B224</f>
        <v>0</v>
      </c>
      <c r="D224" s="133"/>
      <c r="E224" s="134"/>
      <c r="F224" s="135"/>
      <c r="G224" s="136"/>
      <c r="H224" s="96"/>
      <c r="I224" s="96">
        <v>1</v>
      </c>
      <c r="J224" s="75"/>
      <c r="K224" s="75"/>
      <c r="L224" s="75"/>
      <c r="M224" s="75"/>
      <c r="N224" s="75"/>
      <c r="O224" s="96">
        <v>1</v>
      </c>
      <c r="P224" s="163"/>
      <c r="Q224" s="109"/>
      <c r="R224" s="111"/>
      <c r="S224" s="100"/>
      <c r="T224" s="110"/>
      <c r="U224" s="110"/>
      <c r="V224" s="100"/>
      <c r="W224" s="100"/>
      <c r="X224" s="100"/>
      <c r="Y224" s="110"/>
      <c r="Z224" s="110"/>
      <c r="AA224" s="100"/>
      <c r="AB224" s="109"/>
      <c r="AC224" s="108"/>
      <c r="AD224" s="109"/>
      <c r="AE224" s="109"/>
      <c r="AF224" s="109"/>
      <c r="AG224" s="109"/>
      <c r="AH224" s="100"/>
      <c r="AI224" s="100"/>
      <c r="AJ224" s="142"/>
      <c r="AK224" s="448"/>
      <c r="AL224" s="111"/>
      <c r="AM224" s="100"/>
      <c r="AN224" s="100"/>
      <c r="AO224" s="111"/>
      <c r="AP224" s="100"/>
      <c r="AQ224" s="100"/>
      <c r="AR224" s="111"/>
      <c r="AS224" s="142"/>
      <c r="AT224" s="150"/>
    </row>
    <row r="225" spans="1:46" ht="16.3">
      <c r="A225" s="91" t="s">
        <v>363</v>
      </c>
      <c r="B225" s="209">
        <f>SUM(B223+B224)</f>
        <v>0</v>
      </c>
      <c r="C225" s="214">
        <f t="shared" si="26"/>
        <v>0</v>
      </c>
      <c r="D225" s="133"/>
      <c r="E225" s="134"/>
      <c r="F225" s="135"/>
      <c r="G225" s="136"/>
      <c r="H225" s="96"/>
      <c r="I225" s="96"/>
      <c r="J225" s="75"/>
      <c r="K225" s="75"/>
      <c r="L225" s="75"/>
      <c r="M225" s="75"/>
      <c r="N225" s="75"/>
      <c r="O225" s="96"/>
      <c r="P225" s="163"/>
      <c r="Q225" s="109"/>
      <c r="R225" s="111"/>
      <c r="S225" s="100"/>
      <c r="T225" s="110"/>
      <c r="U225" s="110"/>
      <c r="V225" s="100"/>
      <c r="W225" s="100"/>
      <c r="X225" s="100"/>
      <c r="Y225" s="110"/>
      <c r="Z225" s="110"/>
      <c r="AA225" s="100"/>
      <c r="AB225" s="109"/>
      <c r="AC225" s="108"/>
      <c r="AD225" s="109"/>
      <c r="AE225" s="109"/>
      <c r="AF225" s="109"/>
      <c r="AG225" s="109"/>
      <c r="AH225" s="100"/>
      <c r="AI225" s="100"/>
      <c r="AJ225" s="142"/>
      <c r="AK225" s="448"/>
      <c r="AL225" s="111"/>
      <c r="AM225" s="100"/>
      <c r="AN225" s="100"/>
      <c r="AO225" s="111"/>
      <c r="AP225" s="100"/>
      <c r="AQ225" s="100"/>
      <c r="AR225" s="111"/>
      <c r="AS225" s="142"/>
      <c r="AT225" s="150"/>
    </row>
    <row r="226" spans="1:46" ht="16.3">
      <c r="A226" s="91" t="s">
        <v>3</v>
      </c>
      <c r="B226" s="209">
        <f>SUM(J226+K226+L226+M226+N226+S226+V226+W226+X226+AA226+AI226+AJ226+AI226+AM226+AP226+AQ226+AS226+AT226+AU226+AV226)</f>
        <v>0</v>
      </c>
      <c r="C226" s="214">
        <f t="shared" si="26"/>
        <v>0</v>
      </c>
      <c r="D226" s="133"/>
      <c r="E226" s="134"/>
      <c r="F226" s="135"/>
      <c r="G226" s="136"/>
      <c r="H226" s="96"/>
      <c r="I226" s="96"/>
      <c r="J226" s="75"/>
      <c r="K226" s="75"/>
      <c r="L226" s="75"/>
      <c r="M226" s="75"/>
      <c r="N226" s="75"/>
      <c r="O226" s="96"/>
      <c r="P226" s="163"/>
      <c r="Q226" s="109"/>
      <c r="R226" s="111"/>
      <c r="S226" s="100"/>
      <c r="T226" s="110"/>
      <c r="U226" s="110"/>
      <c r="V226" s="100"/>
      <c r="W226" s="100"/>
      <c r="X226" s="100"/>
      <c r="Y226" s="110"/>
      <c r="Z226" s="110"/>
      <c r="AA226" s="100"/>
      <c r="AB226" s="109"/>
      <c r="AC226" s="108"/>
      <c r="AD226" s="109"/>
      <c r="AE226" s="109"/>
      <c r="AF226" s="109"/>
      <c r="AG226" s="109"/>
      <c r="AH226" s="100"/>
      <c r="AI226" s="100"/>
      <c r="AJ226" s="142"/>
      <c r="AK226" s="448"/>
      <c r="AL226" s="111"/>
      <c r="AM226" s="100"/>
      <c r="AN226" s="100"/>
      <c r="AO226" s="111"/>
      <c r="AP226" s="100"/>
      <c r="AQ226" s="100"/>
      <c r="AR226" s="111"/>
      <c r="AS226" s="142"/>
      <c r="AT226" s="150"/>
    </row>
    <row r="227" spans="1:46" ht="17" thickBot="1">
      <c r="A227" s="92" t="s">
        <v>4</v>
      </c>
      <c r="B227" s="212">
        <f>SUM(J227+K227+L227+M227+N227+S227+V227+W227+X227+AA227+AI227+AJ227+AI227+AM227+AP227+AQ227+AS227+AT227+AU227+AV227)</f>
        <v>0</v>
      </c>
      <c r="C227" s="217">
        <f t="shared" si="26"/>
        <v>0</v>
      </c>
      <c r="D227" s="144"/>
      <c r="E227" s="145"/>
      <c r="F227" s="146"/>
      <c r="G227" s="147"/>
      <c r="H227" s="114"/>
      <c r="I227" s="114"/>
      <c r="J227" s="112"/>
      <c r="K227" s="112"/>
      <c r="L227" s="112"/>
      <c r="M227" s="112"/>
      <c r="N227" s="112"/>
      <c r="O227" s="114"/>
      <c r="P227" s="164"/>
      <c r="Q227" s="118"/>
      <c r="R227" s="121"/>
      <c r="S227" s="112"/>
      <c r="T227" s="120"/>
      <c r="U227" s="120"/>
      <c r="V227" s="116"/>
      <c r="W227" s="116"/>
      <c r="X227" s="116"/>
      <c r="Y227" s="120"/>
      <c r="Z227" s="120"/>
      <c r="AA227" s="116"/>
      <c r="AB227" s="118"/>
      <c r="AC227" s="117"/>
      <c r="AD227" s="118"/>
      <c r="AE227" s="118"/>
      <c r="AF227" s="118"/>
      <c r="AG227" s="118"/>
      <c r="AH227" s="116"/>
      <c r="AI227" s="116"/>
      <c r="AJ227" s="149"/>
      <c r="AK227" s="449"/>
      <c r="AL227" s="121"/>
      <c r="AM227" s="116"/>
      <c r="AN227" s="116"/>
      <c r="AO227" s="121"/>
      <c r="AP227" s="116"/>
      <c r="AQ227" s="116"/>
      <c r="AR227" s="121"/>
      <c r="AS227" s="149"/>
      <c r="AT227" s="176"/>
    </row>
    <row r="228" spans="1:46" ht="21.1">
      <c r="A228" s="89" t="s">
        <v>768</v>
      </c>
      <c r="B228" s="209"/>
      <c r="C228" s="214"/>
      <c r="D228" s="133"/>
      <c r="E228" s="134"/>
      <c r="F228" s="135"/>
      <c r="G228" s="136"/>
      <c r="H228" s="96" t="s">
        <v>567</v>
      </c>
      <c r="I228" s="96" t="s">
        <v>567</v>
      </c>
      <c r="J228" s="75" t="s">
        <v>567</v>
      </c>
      <c r="K228" s="75" t="s">
        <v>567</v>
      </c>
      <c r="L228" s="75" t="s">
        <v>567</v>
      </c>
      <c r="M228" s="75" t="s">
        <v>719</v>
      </c>
      <c r="N228" s="75" t="s">
        <v>432</v>
      </c>
      <c r="O228" s="96"/>
      <c r="P228" s="163"/>
      <c r="Q228" s="109" t="s">
        <v>369</v>
      </c>
      <c r="R228" s="111"/>
      <c r="S228" s="100"/>
      <c r="T228" s="110" t="s">
        <v>375</v>
      </c>
      <c r="U228" s="110" t="s">
        <v>369</v>
      </c>
      <c r="V228" s="100"/>
      <c r="W228" s="100"/>
      <c r="X228" s="100"/>
      <c r="Y228" s="110"/>
      <c r="Z228" s="110" t="s">
        <v>369</v>
      </c>
      <c r="AA228" s="100"/>
      <c r="AB228" s="109">
        <v>1</v>
      </c>
      <c r="AC228" s="108"/>
      <c r="AD228" s="109" t="s">
        <v>375</v>
      </c>
      <c r="AE228" s="109" t="s">
        <v>375</v>
      </c>
      <c r="AF228" s="109" t="s">
        <v>375</v>
      </c>
      <c r="AG228" s="109"/>
      <c r="AH228" s="100"/>
      <c r="AI228" s="100"/>
      <c r="AJ228" s="142"/>
      <c r="AK228" s="448"/>
      <c r="AL228" s="111"/>
      <c r="AM228" s="100"/>
      <c r="AN228" s="100"/>
      <c r="AO228" s="111"/>
      <c r="AP228" s="100"/>
      <c r="AQ228" s="100"/>
      <c r="AR228" s="111"/>
      <c r="AS228" s="142"/>
      <c r="AT228" s="150"/>
    </row>
    <row r="229" spans="1:46" ht="16.3">
      <c r="A229" s="611" t="s">
        <v>1</v>
      </c>
      <c r="B229" s="210">
        <f>SUM(J229+K229+L229+M229+N229+S229+V229+W229+X229+AA229+AI229+AJ229+AI229+AM229+AP229+AQ229+AS229+AT229+AU229+AV229+AN229)</f>
        <v>0</v>
      </c>
      <c r="C229" s="215">
        <f>B229</f>
        <v>0</v>
      </c>
      <c r="D229" s="133"/>
      <c r="E229" s="134"/>
      <c r="F229" s="135"/>
      <c r="G229" s="136"/>
      <c r="H229" s="96"/>
      <c r="I229" s="96"/>
      <c r="J229" s="75"/>
      <c r="K229" s="75"/>
      <c r="L229" s="75"/>
      <c r="M229" s="75"/>
      <c r="N229" s="75"/>
      <c r="O229" s="96"/>
      <c r="P229" s="163"/>
      <c r="Q229" s="109">
        <v>1</v>
      </c>
      <c r="R229" s="111"/>
      <c r="S229" s="100"/>
      <c r="T229" s="110"/>
      <c r="U229" s="110">
        <v>1</v>
      </c>
      <c r="V229" s="100"/>
      <c r="W229" s="100"/>
      <c r="X229" s="100"/>
      <c r="Y229" s="110"/>
      <c r="Z229" s="110">
        <v>1</v>
      </c>
      <c r="AA229" s="100"/>
      <c r="AB229" s="109">
        <v>1</v>
      </c>
      <c r="AC229" s="108"/>
      <c r="AD229" s="109"/>
      <c r="AE229" s="109"/>
      <c r="AF229" s="109"/>
      <c r="AG229" s="109"/>
      <c r="AH229" s="100"/>
      <c r="AI229" s="100"/>
      <c r="AJ229" s="142"/>
      <c r="AK229" s="448"/>
      <c r="AL229" s="111"/>
      <c r="AM229" s="100"/>
      <c r="AN229" s="100"/>
      <c r="AO229" s="111"/>
      <c r="AP229" s="100"/>
      <c r="AQ229" s="100"/>
      <c r="AR229" s="111"/>
      <c r="AS229" s="142"/>
      <c r="AT229" s="150"/>
    </row>
    <row r="230" spans="1:46" ht="16.3">
      <c r="A230" s="611" t="s">
        <v>2</v>
      </c>
      <c r="B230" s="210">
        <f>SUM(J230+K230+L230+M230+N230+S230+V230+W230+X230+AA230+AI230+AJ230+AI230+AM230+AP230+AQ230+AS230+AT230+AU230+AV230)</f>
        <v>1</v>
      </c>
      <c r="C230" s="215">
        <f t="shared" ref="C230:C233" si="27">B230</f>
        <v>1</v>
      </c>
      <c r="D230" s="133"/>
      <c r="E230" s="134"/>
      <c r="F230" s="135"/>
      <c r="G230" s="136"/>
      <c r="H230" s="96"/>
      <c r="I230" s="96"/>
      <c r="J230" s="75"/>
      <c r="K230" s="75"/>
      <c r="L230" s="75"/>
      <c r="M230" s="75"/>
      <c r="N230" s="75">
        <v>1</v>
      </c>
      <c r="O230" s="96"/>
      <c r="P230" s="163"/>
      <c r="Q230" s="109"/>
      <c r="R230" s="111"/>
      <c r="S230" s="100"/>
      <c r="T230" s="110">
        <v>1</v>
      </c>
      <c r="U230" s="110"/>
      <c r="V230" s="100"/>
      <c r="W230" s="100"/>
      <c r="X230" s="100"/>
      <c r="Y230" s="110"/>
      <c r="Z230" s="110"/>
      <c r="AA230" s="100"/>
      <c r="AB230" s="109"/>
      <c r="AC230" s="108"/>
      <c r="AD230" s="109">
        <v>1</v>
      </c>
      <c r="AE230" s="109">
        <v>1</v>
      </c>
      <c r="AF230" s="109">
        <v>1</v>
      </c>
      <c r="AG230" s="109"/>
      <c r="AH230" s="100"/>
      <c r="AI230" s="100"/>
      <c r="AJ230" s="142"/>
      <c r="AK230" s="448"/>
      <c r="AL230" s="111"/>
      <c r="AM230" s="100"/>
      <c r="AN230" s="100"/>
      <c r="AO230" s="111"/>
      <c r="AP230" s="100"/>
      <c r="AQ230" s="100"/>
      <c r="AR230" s="111"/>
      <c r="AS230" s="142"/>
      <c r="AT230" s="150"/>
    </row>
    <row r="231" spans="1:46" ht="16.3">
      <c r="A231" s="91" t="s">
        <v>363</v>
      </c>
      <c r="B231" s="209">
        <f>SUM(B229+B230)</f>
        <v>1</v>
      </c>
      <c r="C231" s="214">
        <f t="shared" si="27"/>
        <v>1</v>
      </c>
      <c r="D231" s="133"/>
      <c r="E231" s="134"/>
      <c r="F231" s="135"/>
      <c r="G231" s="136"/>
      <c r="H231" s="96"/>
      <c r="I231" s="96"/>
      <c r="J231" s="75"/>
      <c r="K231" s="75"/>
      <c r="L231" s="75"/>
      <c r="M231" s="75"/>
      <c r="N231" s="75"/>
      <c r="O231" s="96"/>
      <c r="P231" s="163"/>
      <c r="Q231" s="109"/>
      <c r="R231" s="111"/>
      <c r="S231" s="100"/>
      <c r="T231" s="110"/>
      <c r="U231" s="110"/>
      <c r="V231" s="100"/>
      <c r="W231" s="100"/>
      <c r="X231" s="100"/>
      <c r="Y231" s="110"/>
      <c r="Z231" s="110"/>
      <c r="AA231" s="100"/>
      <c r="AB231" s="109"/>
      <c r="AC231" s="108"/>
      <c r="AD231" s="109"/>
      <c r="AE231" s="109"/>
      <c r="AF231" s="109"/>
      <c r="AG231" s="109"/>
      <c r="AH231" s="100"/>
      <c r="AI231" s="100"/>
      <c r="AJ231" s="142"/>
      <c r="AK231" s="448"/>
      <c r="AL231" s="111"/>
      <c r="AM231" s="100"/>
      <c r="AN231" s="100"/>
      <c r="AO231" s="111"/>
      <c r="AP231" s="100"/>
      <c r="AQ231" s="100"/>
      <c r="AR231" s="111"/>
      <c r="AS231" s="142"/>
      <c r="AT231" s="150"/>
    </row>
    <row r="232" spans="1:46" ht="16.3">
      <c r="A232" s="91" t="s">
        <v>3</v>
      </c>
      <c r="B232" s="209">
        <f>SUM(J232+K232+L232+M232+N232+S232+V232+W232+X232+AA232+AI232+AJ232+AI232+AM232+AP232+AQ232+AS232+AT232+AU232+AV232)</f>
        <v>0</v>
      </c>
      <c r="C232" s="214">
        <f t="shared" si="27"/>
        <v>0</v>
      </c>
      <c r="D232" s="133"/>
      <c r="E232" s="134"/>
      <c r="F232" s="135"/>
      <c r="G232" s="136"/>
      <c r="H232" s="96"/>
      <c r="I232" s="96"/>
      <c r="J232" s="75"/>
      <c r="K232" s="75"/>
      <c r="L232" s="75"/>
      <c r="M232" s="75"/>
      <c r="N232" s="75"/>
      <c r="O232" s="96"/>
      <c r="P232" s="163"/>
      <c r="Q232" s="109"/>
      <c r="R232" s="111"/>
      <c r="S232" s="100"/>
      <c r="T232" s="110"/>
      <c r="U232" s="110"/>
      <c r="V232" s="100"/>
      <c r="W232" s="100"/>
      <c r="X232" s="100"/>
      <c r="Y232" s="110"/>
      <c r="Z232" s="110"/>
      <c r="AA232" s="100"/>
      <c r="AB232" s="109"/>
      <c r="AC232" s="108"/>
      <c r="AD232" s="109"/>
      <c r="AE232" s="109"/>
      <c r="AF232" s="109"/>
      <c r="AG232" s="109"/>
      <c r="AH232" s="100"/>
      <c r="AI232" s="100"/>
      <c r="AJ232" s="142"/>
      <c r="AK232" s="448"/>
      <c r="AL232" s="111"/>
      <c r="AM232" s="100"/>
      <c r="AN232" s="100"/>
      <c r="AO232" s="111"/>
      <c r="AP232" s="100"/>
      <c r="AQ232" s="100"/>
      <c r="AR232" s="111"/>
      <c r="AS232" s="142"/>
      <c r="AT232" s="150"/>
    </row>
    <row r="233" spans="1:46" ht="17" thickBot="1">
      <c r="A233" s="92" t="s">
        <v>4</v>
      </c>
      <c r="B233" s="212">
        <f>SUM(J233+K233+L233+M233+N233+S233+V233+W233+X233+AA233+AI233+AJ233+AI233+AM233+AP233+AQ233+AS233+AT233+AU233+AV233)</f>
        <v>0</v>
      </c>
      <c r="C233" s="217">
        <f t="shared" si="27"/>
        <v>0</v>
      </c>
      <c r="D233" s="144"/>
      <c r="E233" s="145"/>
      <c r="F233" s="146"/>
      <c r="G233" s="147"/>
      <c r="H233" s="114"/>
      <c r="I233" s="114"/>
      <c r="J233" s="112"/>
      <c r="K233" s="112"/>
      <c r="L233" s="112"/>
      <c r="M233" s="112"/>
      <c r="N233" s="112"/>
      <c r="O233" s="114"/>
      <c r="P233" s="164"/>
      <c r="Q233" s="118"/>
      <c r="R233" s="121"/>
      <c r="S233" s="116"/>
      <c r="T233" s="120"/>
      <c r="U233" s="120"/>
      <c r="V233" s="116"/>
      <c r="W233" s="116"/>
      <c r="X233" s="116"/>
      <c r="Y233" s="120"/>
      <c r="Z233" s="120"/>
      <c r="AA233" s="116"/>
      <c r="AB233" s="118"/>
      <c r="AC233" s="117"/>
      <c r="AD233" s="118"/>
      <c r="AE233" s="118"/>
      <c r="AF233" s="118"/>
      <c r="AG233" s="118"/>
      <c r="AH233" s="116"/>
      <c r="AI233" s="116"/>
      <c r="AJ233" s="149"/>
      <c r="AK233" s="449"/>
      <c r="AL233" s="121"/>
      <c r="AM233" s="116"/>
      <c r="AN233" s="116"/>
      <c r="AO233" s="121"/>
      <c r="AP233" s="116"/>
      <c r="AQ233" s="116"/>
      <c r="AR233" s="121"/>
      <c r="AS233" s="149"/>
      <c r="AT233" s="176"/>
    </row>
    <row r="234" spans="1:46" ht="21.1">
      <c r="A234" s="89" t="s">
        <v>450</v>
      </c>
      <c r="B234" s="209"/>
      <c r="C234" s="214"/>
      <c r="D234" s="133"/>
      <c r="E234" s="134"/>
      <c r="F234" s="135"/>
      <c r="G234" s="136"/>
      <c r="H234" s="96" t="s">
        <v>375</v>
      </c>
      <c r="I234" s="96"/>
      <c r="J234" s="75" t="s">
        <v>375</v>
      </c>
      <c r="K234" s="75" t="s">
        <v>375</v>
      </c>
      <c r="L234" s="75" t="s">
        <v>375</v>
      </c>
      <c r="M234" s="75" t="s">
        <v>375</v>
      </c>
      <c r="N234" s="75"/>
      <c r="O234" s="96" t="s">
        <v>369</v>
      </c>
      <c r="P234" s="163"/>
      <c r="Q234" s="109" t="s">
        <v>375</v>
      </c>
      <c r="R234" s="111"/>
      <c r="S234" s="100"/>
      <c r="T234" s="110"/>
      <c r="U234" s="110"/>
      <c r="V234" s="100"/>
      <c r="W234" s="100"/>
      <c r="X234" s="100"/>
      <c r="Y234" s="110"/>
      <c r="Z234" s="110"/>
      <c r="AA234" s="100"/>
      <c r="AB234" s="109" t="s">
        <v>393</v>
      </c>
      <c r="AC234" s="108"/>
      <c r="AD234" s="109"/>
      <c r="AE234" s="109"/>
      <c r="AF234" s="109"/>
      <c r="AG234" s="109"/>
      <c r="AH234" s="100"/>
      <c r="AI234" s="100"/>
      <c r="AJ234" s="142"/>
      <c r="AK234" s="448"/>
      <c r="AL234" s="111"/>
      <c r="AM234" s="100"/>
      <c r="AN234" s="100"/>
      <c r="AO234" s="111"/>
      <c r="AP234" s="100"/>
      <c r="AQ234" s="100"/>
      <c r="AR234" s="111"/>
      <c r="AS234" s="142"/>
      <c r="AT234" s="150"/>
    </row>
    <row r="235" spans="1:46" ht="16.3">
      <c r="A235" s="611" t="s">
        <v>1</v>
      </c>
      <c r="B235" s="210">
        <f>SUM(J235+K235+L235+M235+N235+S235+V235+W235+X235+AA235+AI235+AJ235+AI235+AM235+AP235+AQ235+AS235+AT235+AU235+AV235+AN235)</f>
        <v>0</v>
      </c>
      <c r="C235" s="215">
        <f>B235</f>
        <v>0</v>
      </c>
      <c r="D235" s="133"/>
      <c r="E235" s="134"/>
      <c r="F235" s="135"/>
      <c r="G235" s="136"/>
      <c r="H235" s="96"/>
      <c r="I235" s="96"/>
      <c r="J235" s="75"/>
      <c r="K235" s="75"/>
      <c r="L235" s="75"/>
      <c r="M235" s="75"/>
      <c r="N235" s="75"/>
      <c r="O235" s="96">
        <v>1</v>
      </c>
      <c r="P235" s="163"/>
      <c r="Q235" s="109"/>
      <c r="R235" s="111"/>
      <c r="S235" s="100"/>
      <c r="T235" s="110"/>
      <c r="U235" s="110"/>
      <c r="V235" s="100"/>
      <c r="W235" s="100"/>
      <c r="X235" s="100"/>
      <c r="Y235" s="110"/>
      <c r="Z235" s="110"/>
      <c r="AA235" s="100"/>
      <c r="AB235" s="109"/>
      <c r="AC235" s="108"/>
      <c r="AD235" s="109"/>
      <c r="AE235" s="109"/>
      <c r="AF235" s="109"/>
      <c r="AG235" s="109"/>
      <c r="AH235" s="100"/>
      <c r="AI235" s="100"/>
      <c r="AJ235" s="142"/>
      <c r="AK235" s="448"/>
      <c r="AL235" s="111"/>
      <c r="AM235" s="100"/>
      <c r="AN235" s="100"/>
      <c r="AO235" s="111"/>
      <c r="AP235" s="100"/>
      <c r="AQ235" s="100"/>
      <c r="AR235" s="111"/>
      <c r="AS235" s="142"/>
      <c r="AT235" s="150"/>
    </row>
    <row r="236" spans="1:46" ht="16.3">
      <c r="A236" s="611" t="s">
        <v>2</v>
      </c>
      <c r="B236" s="210">
        <f>SUM(J236+K236+L236+M236+N236+S236+V236+W236+X236+AA236+AI236+AJ236+AI236+AM236+AP236+AQ236+AS236+AT236+AU236+AV236)</f>
        <v>4</v>
      </c>
      <c r="C236" s="215">
        <f t="shared" ref="C236:C239" si="28">B236</f>
        <v>4</v>
      </c>
      <c r="D236" s="133"/>
      <c r="E236" s="134"/>
      <c r="F236" s="135"/>
      <c r="G236" s="136"/>
      <c r="H236" s="96">
        <v>1</v>
      </c>
      <c r="I236" s="96"/>
      <c r="J236" s="75">
        <v>1</v>
      </c>
      <c r="K236" s="75">
        <v>1</v>
      </c>
      <c r="L236" s="75">
        <v>1</v>
      </c>
      <c r="M236" s="75">
        <v>1</v>
      </c>
      <c r="N236" s="75"/>
      <c r="O236" s="96"/>
      <c r="P236" s="163"/>
      <c r="Q236" s="109">
        <v>1</v>
      </c>
      <c r="R236" s="111"/>
      <c r="S236" s="100"/>
      <c r="T236" s="110"/>
      <c r="U236" s="110"/>
      <c r="V236" s="100"/>
      <c r="W236" s="100"/>
      <c r="X236" s="100"/>
      <c r="Y236" s="110"/>
      <c r="Z236" s="110"/>
      <c r="AA236" s="100"/>
      <c r="AB236" s="109"/>
      <c r="AC236" s="108"/>
      <c r="AD236" s="109"/>
      <c r="AE236" s="109"/>
      <c r="AF236" s="109"/>
      <c r="AG236" s="109"/>
      <c r="AH236" s="100"/>
      <c r="AI236" s="100"/>
      <c r="AJ236" s="142"/>
      <c r="AK236" s="448"/>
      <c r="AL236" s="111"/>
      <c r="AM236" s="100"/>
      <c r="AN236" s="100"/>
      <c r="AO236" s="111"/>
      <c r="AP236" s="100"/>
      <c r="AQ236" s="100"/>
      <c r="AR236" s="111"/>
      <c r="AS236" s="142"/>
      <c r="AT236" s="150"/>
    </row>
    <row r="237" spans="1:46" ht="16.3">
      <c r="A237" s="91" t="s">
        <v>363</v>
      </c>
      <c r="B237" s="209">
        <f>SUM(B235+B236)</f>
        <v>4</v>
      </c>
      <c r="C237" s="214">
        <f t="shared" si="28"/>
        <v>4</v>
      </c>
      <c r="D237" s="133"/>
      <c r="E237" s="134"/>
      <c r="F237" s="135"/>
      <c r="G237" s="136"/>
      <c r="H237" s="96"/>
      <c r="I237" s="96"/>
      <c r="J237" s="75"/>
      <c r="K237" s="75"/>
      <c r="L237" s="75"/>
      <c r="M237" s="75"/>
      <c r="N237" s="75"/>
      <c r="O237" s="96"/>
      <c r="P237" s="163"/>
      <c r="Q237" s="109"/>
      <c r="R237" s="111"/>
      <c r="S237" s="100"/>
      <c r="T237" s="110"/>
      <c r="U237" s="110"/>
      <c r="V237" s="100"/>
      <c r="W237" s="100"/>
      <c r="X237" s="100"/>
      <c r="Y237" s="110"/>
      <c r="Z237" s="110"/>
      <c r="AA237" s="100"/>
      <c r="AB237" s="109"/>
      <c r="AC237" s="108"/>
      <c r="AD237" s="109"/>
      <c r="AE237" s="109"/>
      <c r="AF237" s="109"/>
      <c r="AG237" s="109"/>
      <c r="AH237" s="100"/>
      <c r="AI237" s="100"/>
      <c r="AJ237" s="142"/>
      <c r="AK237" s="448"/>
      <c r="AL237" s="111"/>
      <c r="AM237" s="100"/>
      <c r="AN237" s="100"/>
      <c r="AO237" s="111"/>
      <c r="AP237" s="100"/>
      <c r="AQ237" s="100"/>
      <c r="AR237" s="111"/>
      <c r="AS237" s="142"/>
      <c r="AT237" s="150"/>
    </row>
    <row r="238" spans="1:46" ht="16.3">
      <c r="A238" s="91" t="s">
        <v>3</v>
      </c>
      <c r="B238" s="209">
        <f>SUM(J238+K238+L238+M238+N238+S238+V238+W238+X238+AA238+AI238+AJ238+AI238+AM238+AP238+AQ238+AS238+AT238+AU238+AV238)</f>
        <v>0</v>
      </c>
      <c r="C238" s="214">
        <f t="shared" si="28"/>
        <v>0</v>
      </c>
      <c r="D238" s="133"/>
      <c r="E238" s="134"/>
      <c r="F238" s="135"/>
      <c r="G238" s="136"/>
      <c r="H238" s="96"/>
      <c r="I238" s="96"/>
      <c r="J238" s="75"/>
      <c r="K238" s="75"/>
      <c r="L238" s="75"/>
      <c r="M238" s="75"/>
      <c r="N238" s="75"/>
      <c r="O238" s="96"/>
      <c r="P238" s="163"/>
      <c r="Q238" s="109"/>
      <c r="R238" s="111"/>
      <c r="S238" s="100"/>
      <c r="T238" s="110"/>
      <c r="U238" s="110"/>
      <c r="V238" s="100"/>
      <c r="W238" s="100"/>
      <c r="X238" s="100"/>
      <c r="Y238" s="110"/>
      <c r="Z238" s="110"/>
      <c r="AA238" s="100"/>
      <c r="AB238" s="109"/>
      <c r="AC238" s="108"/>
      <c r="AD238" s="109"/>
      <c r="AE238" s="109"/>
      <c r="AF238" s="109"/>
      <c r="AG238" s="109"/>
      <c r="AH238" s="100"/>
      <c r="AI238" s="100"/>
      <c r="AJ238" s="142"/>
      <c r="AK238" s="448"/>
      <c r="AL238" s="111"/>
      <c r="AM238" s="100"/>
      <c r="AN238" s="100"/>
      <c r="AO238" s="111"/>
      <c r="AP238" s="100"/>
      <c r="AQ238" s="100"/>
      <c r="AR238" s="111"/>
      <c r="AS238" s="142"/>
      <c r="AT238" s="150"/>
    </row>
    <row r="239" spans="1:46" ht="17" thickBot="1">
      <c r="A239" s="92" t="s">
        <v>4</v>
      </c>
      <c r="B239" s="212">
        <f>SUM(J239+K239+L239+M239+N239+S239+V239+W239+X239+AA239+AI239+AJ239+AI239+AM239+AP239+AQ239+AS239+AT239+AU239+AV239)</f>
        <v>0</v>
      </c>
      <c r="C239" s="217">
        <f t="shared" si="28"/>
        <v>0</v>
      </c>
      <c r="D239" s="144"/>
      <c r="E239" s="145"/>
      <c r="F239" s="146"/>
      <c r="G239" s="147"/>
      <c r="H239" s="114"/>
      <c r="I239" s="114"/>
      <c r="J239" s="112"/>
      <c r="K239" s="112"/>
      <c r="L239" s="112"/>
      <c r="M239" s="112"/>
      <c r="N239" s="112"/>
      <c r="O239" s="114"/>
      <c r="P239" s="164"/>
      <c r="Q239" s="118"/>
      <c r="R239" s="121"/>
      <c r="S239" s="112"/>
      <c r="T239" s="110"/>
      <c r="U239" s="110"/>
      <c r="V239" s="100"/>
      <c r="W239" s="100"/>
      <c r="X239" s="100"/>
      <c r="Y239" s="110"/>
      <c r="Z239" s="110"/>
      <c r="AA239" s="100"/>
      <c r="AB239" s="109"/>
      <c r="AC239" s="108"/>
      <c r="AD239" s="109"/>
      <c r="AE239" s="109"/>
      <c r="AF239" s="109"/>
      <c r="AG239" s="109"/>
      <c r="AH239" s="100"/>
      <c r="AI239" s="100"/>
      <c r="AJ239" s="142"/>
      <c r="AK239" s="448"/>
      <c r="AL239" s="111"/>
      <c r="AM239" s="100"/>
      <c r="AN239" s="100"/>
      <c r="AO239" s="111"/>
      <c r="AP239" s="100"/>
      <c r="AQ239" s="100"/>
      <c r="AR239" s="111"/>
      <c r="AS239" s="142"/>
      <c r="AT239" s="150"/>
    </row>
    <row r="240" spans="1:46" ht="21.1">
      <c r="A240" s="89" t="s">
        <v>163</v>
      </c>
      <c r="B240" s="209"/>
      <c r="C240" s="214"/>
      <c r="D240" s="133"/>
      <c r="E240" s="134"/>
      <c r="F240" s="135"/>
      <c r="G240" s="136"/>
      <c r="H240" s="96" t="s">
        <v>375</v>
      </c>
      <c r="I240" s="96"/>
      <c r="J240" s="75" t="s">
        <v>375</v>
      </c>
      <c r="K240" s="75" t="s">
        <v>339</v>
      </c>
      <c r="L240" s="75" t="s">
        <v>339</v>
      </c>
      <c r="M240" s="75" t="s">
        <v>375</v>
      </c>
      <c r="N240" s="75"/>
      <c r="O240" s="96"/>
      <c r="P240" s="163"/>
      <c r="Q240" s="109"/>
      <c r="R240" s="111"/>
      <c r="S240" s="100" t="s">
        <v>370</v>
      </c>
      <c r="T240" s="101" t="s">
        <v>339</v>
      </c>
      <c r="U240" s="101" t="s">
        <v>339</v>
      </c>
      <c r="V240" s="102" t="s">
        <v>339</v>
      </c>
      <c r="W240" s="102" t="s">
        <v>339</v>
      </c>
      <c r="X240" s="102" t="s">
        <v>339</v>
      </c>
      <c r="Y240" s="101" t="s">
        <v>339</v>
      </c>
      <c r="Z240" s="101" t="s">
        <v>339</v>
      </c>
      <c r="AA240" s="102" t="s">
        <v>375</v>
      </c>
      <c r="AB240" s="99"/>
      <c r="AC240" s="98"/>
      <c r="AD240" s="99"/>
      <c r="AE240" s="99"/>
      <c r="AF240" s="99"/>
      <c r="AG240" s="99"/>
      <c r="AH240" s="102"/>
      <c r="AI240" s="102"/>
      <c r="AJ240" s="138"/>
      <c r="AK240" s="446"/>
      <c r="AL240" s="103"/>
      <c r="AM240" s="102"/>
      <c r="AN240" s="102"/>
      <c r="AO240" s="103"/>
      <c r="AP240" s="102"/>
      <c r="AQ240" s="102"/>
      <c r="AR240" s="103"/>
      <c r="AS240" s="138"/>
      <c r="AT240" s="478"/>
    </row>
    <row r="241" spans="1:46" ht="16.3">
      <c r="A241" s="611" t="s">
        <v>1</v>
      </c>
      <c r="B241" s="210">
        <f>SUM(J241+K241+L241+M241+N241+S241+V241+W241+X241+AA241+AI241+AJ241+AI241+AM241+AP241+AQ241+AS241+AT241+AU241+AV241+AN241)+35</f>
        <v>36</v>
      </c>
      <c r="C241" s="215">
        <f>B241</f>
        <v>36</v>
      </c>
      <c r="D241" s="133"/>
      <c r="E241" s="134"/>
      <c r="F241" s="135"/>
      <c r="G241" s="136"/>
      <c r="H241" s="96"/>
      <c r="I241" s="96"/>
      <c r="J241" s="75"/>
      <c r="K241" s="75"/>
      <c r="L241" s="75"/>
      <c r="M241" s="75"/>
      <c r="N241" s="75"/>
      <c r="O241" s="96"/>
      <c r="P241" s="163"/>
      <c r="Q241" s="109"/>
      <c r="R241" s="111"/>
      <c r="S241" s="100">
        <v>1</v>
      </c>
      <c r="T241" s="110"/>
      <c r="U241" s="110"/>
      <c r="V241" s="100"/>
      <c r="W241" s="100"/>
      <c r="X241" s="100"/>
      <c r="Y241" s="110"/>
      <c r="Z241" s="110"/>
      <c r="AA241" s="100"/>
      <c r="AB241" s="109"/>
      <c r="AC241" s="108"/>
      <c r="AD241" s="109"/>
      <c r="AE241" s="109"/>
      <c r="AF241" s="109"/>
      <c r="AG241" s="109"/>
      <c r="AH241" s="100"/>
      <c r="AI241" s="100"/>
      <c r="AJ241" s="142"/>
      <c r="AK241" s="448"/>
      <c r="AL241" s="111"/>
      <c r="AM241" s="100"/>
      <c r="AN241" s="100"/>
      <c r="AO241" s="111"/>
      <c r="AP241" s="100"/>
      <c r="AQ241" s="100"/>
      <c r="AR241" s="111"/>
      <c r="AS241" s="142"/>
      <c r="AT241" s="150"/>
    </row>
    <row r="242" spans="1:46" ht="16.3">
      <c r="A242" s="611" t="s">
        <v>2</v>
      </c>
      <c r="B242" s="210">
        <f>SUM(J242+K242+L242+M242+N242+S242+V242+W242+X242+AA242+AI242+AJ242+AI242+AM242+AP242+AQ242+AS242+AT242+AU242+AV242)+24</f>
        <v>27</v>
      </c>
      <c r="C242" s="215">
        <f t="shared" ref="C242:C245" si="29">B242</f>
        <v>27</v>
      </c>
      <c r="D242" s="133"/>
      <c r="E242" s="134"/>
      <c r="F242" s="135"/>
      <c r="G242" s="136"/>
      <c r="H242" s="96">
        <v>1</v>
      </c>
      <c r="I242" s="96"/>
      <c r="J242" s="75">
        <v>1</v>
      </c>
      <c r="K242" s="75"/>
      <c r="L242" s="75"/>
      <c r="M242" s="75">
        <v>1</v>
      </c>
      <c r="N242" s="75"/>
      <c r="O242" s="96"/>
      <c r="P242" s="163"/>
      <c r="Q242" s="109"/>
      <c r="R242" s="111"/>
      <c r="S242" s="100"/>
      <c r="T242" s="110"/>
      <c r="U242" s="110"/>
      <c r="V242" s="100"/>
      <c r="W242" s="100"/>
      <c r="X242" s="100"/>
      <c r="Y242" s="110"/>
      <c r="Z242" s="110"/>
      <c r="AA242" s="100">
        <v>1</v>
      </c>
      <c r="AB242" s="109"/>
      <c r="AC242" s="108"/>
      <c r="AD242" s="109"/>
      <c r="AE242" s="109"/>
      <c r="AF242" s="109"/>
      <c r="AG242" s="109"/>
      <c r="AH242" s="100"/>
      <c r="AI242" s="100"/>
      <c r="AJ242" s="142"/>
      <c r="AK242" s="448"/>
      <c r="AL242" s="111"/>
      <c r="AM242" s="100"/>
      <c r="AN242" s="100"/>
      <c r="AO242" s="111"/>
      <c r="AP242" s="100"/>
      <c r="AQ242" s="100"/>
      <c r="AR242" s="111"/>
      <c r="AS242" s="142"/>
      <c r="AT242" s="150"/>
    </row>
    <row r="243" spans="1:46" ht="16.3">
      <c r="A243" s="91" t="s">
        <v>363</v>
      </c>
      <c r="B243" s="209">
        <f>SUM(B241+B242)</f>
        <v>63</v>
      </c>
      <c r="C243" s="214">
        <f t="shared" si="29"/>
        <v>63</v>
      </c>
      <c r="D243" s="133"/>
      <c r="E243" s="134"/>
      <c r="F243" s="135"/>
      <c r="G243" s="136"/>
      <c r="H243" s="96"/>
      <c r="I243" s="96"/>
      <c r="J243" s="75"/>
      <c r="K243" s="75"/>
      <c r="L243" s="75"/>
      <c r="M243" s="75"/>
      <c r="N243" s="75"/>
      <c r="O243" s="96"/>
      <c r="P243" s="163"/>
      <c r="Q243" s="109"/>
      <c r="R243" s="111"/>
      <c r="S243" s="100"/>
      <c r="T243" s="110"/>
      <c r="U243" s="110"/>
      <c r="V243" s="100"/>
      <c r="W243" s="100"/>
      <c r="X243" s="100"/>
      <c r="Y243" s="110"/>
      <c r="Z243" s="110"/>
      <c r="AA243" s="100"/>
      <c r="AB243" s="109"/>
      <c r="AC243" s="108"/>
      <c r="AD243" s="109"/>
      <c r="AE243" s="109"/>
      <c r="AF243" s="109"/>
      <c r="AG243" s="109"/>
      <c r="AH243" s="100"/>
      <c r="AI243" s="100"/>
      <c r="AJ243" s="142"/>
      <c r="AK243" s="448"/>
      <c r="AL243" s="111"/>
      <c r="AM243" s="100"/>
      <c r="AN243" s="100"/>
      <c r="AO243" s="111"/>
      <c r="AP243" s="100"/>
      <c r="AQ243" s="100"/>
      <c r="AR243" s="111"/>
      <c r="AS243" s="142"/>
      <c r="AT243" s="150"/>
    </row>
    <row r="244" spans="1:46" ht="16.3">
      <c r="A244" s="91" t="s">
        <v>3</v>
      </c>
      <c r="B244" s="209">
        <f>SUM(J244+K244+L244+M244+N244+S244+V244+W244+X244+AA244+AI244+AJ244+AI244+AM244+AP244+AQ244+AS244+AT244+AU244+AV244)</f>
        <v>0</v>
      </c>
      <c r="C244" s="214">
        <f t="shared" si="29"/>
        <v>0</v>
      </c>
      <c r="D244" s="133"/>
      <c r="E244" s="134"/>
      <c r="F244" s="135"/>
      <c r="G244" s="136"/>
      <c r="H244" s="96"/>
      <c r="I244" s="96"/>
      <c r="J244" s="75"/>
      <c r="K244" s="75"/>
      <c r="L244" s="75"/>
      <c r="M244" s="75"/>
      <c r="N244" s="75"/>
      <c r="O244" s="96"/>
      <c r="P244" s="163"/>
      <c r="Q244" s="109"/>
      <c r="R244" s="111"/>
      <c r="S244" s="100"/>
      <c r="T244" s="110"/>
      <c r="U244" s="110"/>
      <c r="V244" s="100"/>
      <c r="W244" s="100"/>
      <c r="X244" s="100"/>
      <c r="Y244" s="110"/>
      <c r="Z244" s="110"/>
      <c r="AA244" s="100"/>
      <c r="AB244" s="109"/>
      <c r="AC244" s="108"/>
      <c r="AD244" s="109"/>
      <c r="AE244" s="109"/>
      <c r="AF244" s="109"/>
      <c r="AG244" s="109"/>
      <c r="AH244" s="100"/>
      <c r="AI244" s="100"/>
      <c r="AJ244" s="142"/>
      <c r="AK244" s="448"/>
      <c r="AL244" s="111"/>
      <c r="AM244" s="100"/>
      <c r="AN244" s="100"/>
      <c r="AO244" s="111"/>
      <c r="AP244" s="100"/>
      <c r="AQ244" s="100"/>
      <c r="AR244" s="111"/>
      <c r="AS244" s="142"/>
      <c r="AT244" s="150"/>
    </row>
    <row r="245" spans="1:46" ht="17" thickBot="1">
      <c r="A245" s="92" t="s">
        <v>4</v>
      </c>
      <c r="B245" s="209">
        <f>SUM(J245+K245+L245+M245+N245+S245+V245+W245+X245+AA245+AI245+AJ245+AI245+AM245+AP245+AQ245+AS245+AT245+AU245+AV245)</f>
        <v>0</v>
      </c>
      <c r="C245" s="214">
        <f t="shared" si="29"/>
        <v>0</v>
      </c>
      <c r="D245" s="133"/>
      <c r="E245" s="134"/>
      <c r="F245" s="135"/>
      <c r="G245" s="136"/>
      <c r="H245" s="114"/>
      <c r="I245" s="114"/>
      <c r="J245" s="112"/>
      <c r="K245" s="112"/>
      <c r="L245" s="112"/>
      <c r="M245" s="112"/>
      <c r="N245" s="112"/>
      <c r="O245" s="114"/>
      <c r="P245" s="164"/>
      <c r="Q245" s="118"/>
      <c r="R245" s="130"/>
      <c r="S245" s="116"/>
      <c r="T245" s="120"/>
      <c r="U245" s="120"/>
      <c r="V245" s="116"/>
      <c r="W245" s="116"/>
      <c r="X245" s="116"/>
      <c r="Y245" s="120"/>
      <c r="Z245" s="120"/>
      <c r="AA245" s="116"/>
      <c r="AB245" s="118"/>
      <c r="AC245" s="117"/>
      <c r="AD245" s="118"/>
      <c r="AE245" s="118"/>
      <c r="AF245" s="118"/>
      <c r="AG245" s="118"/>
      <c r="AH245" s="116"/>
      <c r="AI245" s="116"/>
      <c r="AJ245" s="149"/>
      <c r="AK245" s="449"/>
      <c r="AL245" s="121"/>
      <c r="AM245" s="116"/>
      <c r="AN245" s="116"/>
      <c r="AO245" s="121"/>
      <c r="AP245" s="116"/>
      <c r="AQ245" s="116"/>
      <c r="AR245" s="121"/>
      <c r="AS245" s="149"/>
      <c r="AT245" s="176"/>
    </row>
    <row r="246" spans="1:46" ht="21.1">
      <c r="A246" s="89" t="s">
        <v>744</v>
      </c>
      <c r="B246" s="213"/>
      <c r="C246" s="218"/>
      <c r="D246" s="153"/>
      <c r="E246" s="154"/>
      <c r="F246" s="155"/>
      <c r="G246" s="156"/>
      <c r="H246" s="96" t="s">
        <v>370</v>
      </c>
      <c r="I246" s="96"/>
      <c r="J246" s="75" t="s">
        <v>370</v>
      </c>
      <c r="K246" s="75">
        <v>3</v>
      </c>
      <c r="L246" s="75" t="s">
        <v>375</v>
      </c>
      <c r="M246" s="75" t="s">
        <v>370</v>
      </c>
      <c r="N246" s="75" t="s">
        <v>375</v>
      </c>
      <c r="O246" s="96"/>
      <c r="P246" s="163"/>
      <c r="Q246" s="109"/>
      <c r="R246" s="111"/>
      <c r="S246" s="100" t="s">
        <v>375</v>
      </c>
      <c r="T246" s="110" t="s">
        <v>370</v>
      </c>
      <c r="U246" s="110" t="s">
        <v>375</v>
      </c>
      <c r="V246" s="100" t="s">
        <v>375</v>
      </c>
      <c r="W246" s="100" t="s">
        <v>370</v>
      </c>
      <c r="X246" s="100" t="s">
        <v>370</v>
      </c>
      <c r="Y246" s="110" t="s">
        <v>375</v>
      </c>
      <c r="Z246" s="110"/>
      <c r="AA246" s="100" t="s">
        <v>370</v>
      </c>
      <c r="AB246" s="109" t="s">
        <v>370</v>
      </c>
      <c r="AC246" s="108"/>
      <c r="AD246" s="109" t="s">
        <v>370</v>
      </c>
      <c r="AE246" s="109" t="s">
        <v>370</v>
      </c>
      <c r="AF246" s="109" t="s">
        <v>370</v>
      </c>
      <c r="AG246" s="109"/>
      <c r="AH246" s="100"/>
      <c r="AI246" s="100"/>
      <c r="AJ246" s="142"/>
      <c r="AK246" s="448"/>
      <c r="AL246" s="111"/>
      <c r="AM246" s="100"/>
      <c r="AN246" s="100"/>
      <c r="AO246" s="111"/>
      <c r="AP246" s="100"/>
      <c r="AQ246" s="100"/>
      <c r="AR246" s="111"/>
      <c r="AS246" s="142"/>
      <c r="AT246" s="150"/>
    </row>
    <row r="247" spans="1:46" ht="16.3">
      <c r="A247" s="611" t="s">
        <v>1</v>
      </c>
      <c r="B247" s="210">
        <f>SUM(J247+K247+L247+M247+N247+S247+V247+W247+X247+AA247+AI247+AJ247+AI247+AM247+AP247+AQ247+AS247+AT247+AU247+AV247+AN247)+12</f>
        <v>18</v>
      </c>
      <c r="C247" s="215">
        <f>B247</f>
        <v>18</v>
      </c>
      <c r="D247" s="133"/>
      <c r="E247" s="134"/>
      <c r="F247" s="135"/>
      <c r="G247" s="136"/>
      <c r="H247" s="96">
        <v>1</v>
      </c>
      <c r="I247" s="96"/>
      <c r="J247" s="75">
        <v>1</v>
      </c>
      <c r="K247" s="75">
        <v>1</v>
      </c>
      <c r="L247" s="75"/>
      <c r="M247" s="75">
        <v>1</v>
      </c>
      <c r="N247" s="75"/>
      <c r="O247" s="96"/>
      <c r="P247" s="163"/>
      <c r="Q247" s="109"/>
      <c r="R247" s="111"/>
      <c r="S247" s="100"/>
      <c r="T247" s="110">
        <v>1</v>
      </c>
      <c r="U247" s="110"/>
      <c r="V247" s="100"/>
      <c r="W247" s="100">
        <v>1</v>
      </c>
      <c r="X247" s="100">
        <v>1</v>
      </c>
      <c r="Y247" s="110"/>
      <c r="Z247" s="110"/>
      <c r="AA247" s="100">
        <v>1</v>
      </c>
      <c r="AB247" s="109">
        <v>1</v>
      </c>
      <c r="AC247" s="108"/>
      <c r="AD247" s="109">
        <v>1</v>
      </c>
      <c r="AE247" s="109">
        <v>1</v>
      </c>
      <c r="AF247" s="109">
        <v>1</v>
      </c>
      <c r="AG247" s="109"/>
      <c r="AH247" s="100"/>
      <c r="AI247" s="100"/>
      <c r="AJ247" s="142"/>
      <c r="AK247" s="448"/>
      <c r="AL247" s="111"/>
      <c r="AM247" s="100"/>
      <c r="AN247" s="100"/>
      <c r="AO247" s="111"/>
      <c r="AP247" s="100"/>
      <c r="AQ247" s="100"/>
      <c r="AR247" s="111"/>
      <c r="AS247" s="142"/>
      <c r="AT247" s="150"/>
    </row>
    <row r="248" spans="1:46" ht="16.3">
      <c r="A248" s="611" t="s">
        <v>2</v>
      </c>
      <c r="B248" s="210">
        <f>SUM(J248+K248+L248+M248+N248+S248+V248+W248+X248+AA248+AI248+AJ248+AI248+AM248+AP248+AQ248+AS248+AT248+AU248+AV248)+3</f>
        <v>7</v>
      </c>
      <c r="C248" s="215">
        <f t="shared" ref="C248:C252" si="30">B248</f>
        <v>7</v>
      </c>
      <c r="D248" s="133"/>
      <c r="E248" s="134"/>
      <c r="F248" s="135"/>
      <c r="G248" s="136"/>
      <c r="H248" s="96"/>
      <c r="I248" s="96"/>
      <c r="J248" s="75"/>
      <c r="K248" s="75"/>
      <c r="L248" s="75">
        <v>1</v>
      </c>
      <c r="M248" s="75"/>
      <c r="N248" s="75">
        <v>1</v>
      </c>
      <c r="O248" s="96"/>
      <c r="P248" s="163"/>
      <c r="Q248" s="109"/>
      <c r="R248" s="111"/>
      <c r="S248" s="100">
        <v>1</v>
      </c>
      <c r="T248" s="110"/>
      <c r="U248" s="110">
        <v>1</v>
      </c>
      <c r="V248" s="100">
        <v>1</v>
      </c>
      <c r="W248" s="100"/>
      <c r="X248" s="100"/>
      <c r="Y248" s="110">
        <v>1</v>
      </c>
      <c r="Z248" s="110"/>
      <c r="AA248" s="100"/>
      <c r="AB248" s="109"/>
      <c r="AC248" s="108"/>
      <c r="AD248" s="109"/>
      <c r="AE248" s="109"/>
      <c r="AF248" s="109"/>
      <c r="AG248" s="109"/>
      <c r="AH248" s="100"/>
      <c r="AI248" s="100"/>
      <c r="AJ248" s="142"/>
      <c r="AK248" s="448"/>
      <c r="AL248" s="111"/>
      <c r="AM248" s="100"/>
      <c r="AN248" s="100"/>
      <c r="AO248" s="111"/>
      <c r="AP248" s="100"/>
      <c r="AQ248" s="100"/>
      <c r="AR248" s="111"/>
      <c r="AS248" s="142"/>
      <c r="AT248" s="150"/>
    </row>
    <row r="249" spans="1:46" ht="16.3">
      <c r="A249" s="91" t="s">
        <v>363</v>
      </c>
      <c r="B249" s="209">
        <f>SUM(B247+B248)</f>
        <v>25</v>
      </c>
      <c r="C249" s="214">
        <f t="shared" si="30"/>
        <v>25</v>
      </c>
      <c r="D249" s="133"/>
      <c r="E249" s="134"/>
      <c r="F249" s="135"/>
      <c r="G249" s="136"/>
      <c r="H249" s="96"/>
      <c r="I249" s="96"/>
      <c r="J249" s="75"/>
      <c r="K249" s="75"/>
      <c r="L249" s="75"/>
      <c r="M249" s="75"/>
      <c r="N249" s="75"/>
      <c r="O249" s="96"/>
      <c r="P249" s="163"/>
      <c r="Q249" s="109"/>
      <c r="R249" s="111"/>
      <c r="S249" s="100"/>
      <c r="T249" s="110"/>
      <c r="U249" s="110"/>
      <c r="V249" s="100"/>
      <c r="W249" s="100"/>
      <c r="X249" s="100"/>
      <c r="Y249" s="110"/>
      <c r="Z249" s="110"/>
      <c r="AA249" s="100"/>
      <c r="AB249" s="109"/>
      <c r="AC249" s="108"/>
      <c r="AD249" s="109"/>
      <c r="AE249" s="109"/>
      <c r="AF249" s="109"/>
      <c r="AG249" s="109"/>
      <c r="AH249" s="100"/>
      <c r="AI249" s="100"/>
      <c r="AJ249" s="142"/>
      <c r="AK249" s="448"/>
      <c r="AL249" s="111"/>
      <c r="AM249" s="100"/>
      <c r="AN249" s="100"/>
      <c r="AO249" s="111"/>
      <c r="AP249" s="100"/>
      <c r="AQ249" s="100"/>
      <c r="AR249" s="111"/>
      <c r="AS249" s="142"/>
      <c r="AT249" s="150"/>
    </row>
    <row r="250" spans="1:46" ht="16.3">
      <c r="A250" s="611" t="s">
        <v>362</v>
      </c>
      <c r="B250" s="210">
        <f>SUM(J250+K250+L250+M250+N250+S250+V250+W250+X250+AA250+AI250+AJ250+AI250+AM250+AP250+AQ250+AS250+AT250+AU250+AV250)+1</f>
        <v>1</v>
      </c>
      <c r="C250" s="215">
        <f t="shared" si="30"/>
        <v>1</v>
      </c>
      <c r="D250" s="133"/>
      <c r="E250" s="134"/>
      <c r="F250" s="135"/>
      <c r="G250" s="136"/>
      <c r="H250" s="96"/>
      <c r="I250" s="96"/>
      <c r="J250" s="75"/>
      <c r="K250" s="75"/>
      <c r="L250" s="75"/>
      <c r="M250" s="75"/>
      <c r="N250" s="75"/>
      <c r="O250" s="96"/>
      <c r="P250" s="163"/>
      <c r="Q250" s="109"/>
      <c r="R250" s="111"/>
      <c r="S250" s="100"/>
      <c r="T250" s="110"/>
      <c r="U250" s="110"/>
      <c r="V250" s="100"/>
      <c r="W250" s="100"/>
      <c r="X250" s="100"/>
      <c r="Y250" s="110"/>
      <c r="Z250" s="110"/>
      <c r="AA250" s="100"/>
      <c r="AB250" s="109"/>
      <c r="AC250" s="108"/>
      <c r="AD250" s="109"/>
      <c r="AE250" s="109"/>
      <c r="AF250" s="109"/>
      <c r="AG250" s="109"/>
      <c r="AH250" s="100"/>
      <c r="AI250" s="100"/>
      <c r="AJ250" s="142"/>
      <c r="AK250" s="448"/>
      <c r="AL250" s="111"/>
      <c r="AM250" s="100"/>
      <c r="AN250" s="100"/>
      <c r="AO250" s="111"/>
      <c r="AP250" s="100"/>
      <c r="AQ250" s="100"/>
      <c r="AR250" s="111"/>
      <c r="AS250" s="142"/>
      <c r="AT250" s="150"/>
    </row>
    <row r="251" spans="1:46" ht="16.3">
      <c r="A251" s="91" t="s">
        <v>3</v>
      </c>
      <c r="B251" s="209">
        <f>SUM(J251+K251+L251+M251+N251+S251+V251+W251+X251+AA251+AI251+AJ251+AI251+AM251+AP251+AQ251+AS251+AT251+AU251+AV251)</f>
        <v>2</v>
      </c>
      <c r="C251" s="214">
        <f t="shared" si="30"/>
        <v>2</v>
      </c>
      <c r="D251" s="133"/>
      <c r="E251" s="134"/>
      <c r="F251" s="135"/>
      <c r="G251" s="136"/>
      <c r="H251" s="96"/>
      <c r="I251" s="96"/>
      <c r="J251" s="75"/>
      <c r="K251" s="75">
        <v>1</v>
      </c>
      <c r="L251" s="75"/>
      <c r="M251" s="75"/>
      <c r="N251" s="75"/>
      <c r="O251" s="96"/>
      <c r="P251" s="163"/>
      <c r="Q251" s="109"/>
      <c r="R251" s="111"/>
      <c r="S251" s="100"/>
      <c r="T251" s="110"/>
      <c r="U251" s="110"/>
      <c r="V251" s="100"/>
      <c r="W251" s="100"/>
      <c r="X251" s="100"/>
      <c r="Y251" s="110"/>
      <c r="Z251" s="110"/>
      <c r="AA251" s="100">
        <v>1</v>
      </c>
      <c r="AB251" s="109"/>
      <c r="AC251" s="108"/>
      <c r="AD251" s="109"/>
      <c r="AE251" s="109"/>
      <c r="AF251" s="109"/>
      <c r="AG251" s="109"/>
      <c r="AH251" s="100"/>
      <c r="AI251" s="100"/>
      <c r="AJ251" s="142"/>
      <c r="AK251" s="448"/>
      <c r="AL251" s="111"/>
      <c r="AM251" s="100"/>
      <c r="AN251" s="100"/>
      <c r="AO251" s="111"/>
      <c r="AP251" s="100"/>
      <c r="AQ251" s="100"/>
      <c r="AR251" s="111"/>
      <c r="AS251" s="142"/>
      <c r="AT251" s="150"/>
    </row>
    <row r="252" spans="1:46" ht="17" thickBot="1">
      <c r="A252" s="92" t="s">
        <v>4</v>
      </c>
      <c r="B252" s="212">
        <f>SUM(J252+K252+L252+M252+N252+S252+V252+W252+X252+AA252+AI252+AJ252+AI252+AM252+AP252+AQ252+AS252+AT252+AU252+AV252)</f>
        <v>10</v>
      </c>
      <c r="C252" s="217">
        <f t="shared" si="30"/>
        <v>10</v>
      </c>
      <c r="D252" s="144"/>
      <c r="E252" s="145"/>
      <c r="F252" s="146"/>
      <c r="G252" s="147"/>
      <c r="H252" s="114"/>
      <c r="I252" s="114"/>
      <c r="J252" s="112"/>
      <c r="K252" s="112">
        <v>5</v>
      </c>
      <c r="L252" s="112"/>
      <c r="M252" s="112"/>
      <c r="N252" s="112"/>
      <c r="O252" s="114"/>
      <c r="P252" s="164"/>
      <c r="Q252" s="118"/>
      <c r="R252" s="121"/>
      <c r="S252" s="116"/>
      <c r="T252" s="119"/>
      <c r="U252" s="110"/>
      <c r="V252" s="100"/>
      <c r="W252" s="100"/>
      <c r="X252" s="100"/>
      <c r="Y252" s="110"/>
      <c r="Z252" s="110"/>
      <c r="AA252" s="100">
        <v>5</v>
      </c>
      <c r="AB252" s="109"/>
      <c r="AC252" s="108"/>
      <c r="AD252" s="114"/>
      <c r="AE252" s="109"/>
      <c r="AF252" s="109"/>
      <c r="AG252" s="109"/>
      <c r="AH252" s="100"/>
      <c r="AI252" s="100"/>
      <c r="AJ252" s="142"/>
      <c r="AK252" s="448"/>
      <c r="AL252" s="111"/>
      <c r="AM252" s="100"/>
      <c r="AN252" s="100"/>
      <c r="AO252" s="111"/>
      <c r="AP252" s="100"/>
      <c r="AQ252" s="100"/>
      <c r="AR252" s="111"/>
      <c r="AS252" s="142"/>
      <c r="AT252" s="150"/>
    </row>
    <row r="253" spans="1:46" ht="21.1">
      <c r="A253" s="89" t="s">
        <v>621</v>
      </c>
      <c r="B253" s="209"/>
      <c r="C253" s="214"/>
      <c r="D253" s="133"/>
      <c r="E253" s="134"/>
      <c r="F253" s="135"/>
      <c r="G253" s="136"/>
      <c r="H253" s="96"/>
      <c r="I253" s="96" t="s">
        <v>370</v>
      </c>
      <c r="J253" s="75"/>
      <c r="K253" s="75"/>
      <c r="L253" s="75"/>
      <c r="M253" s="75"/>
      <c r="N253" s="75"/>
      <c r="O253" s="96" t="s">
        <v>370</v>
      </c>
      <c r="P253" s="163"/>
      <c r="Q253" s="109"/>
      <c r="R253" s="111"/>
      <c r="S253" s="102"/>
      <c r="T253" s="101"/>
      <c r="U253" s="101"/>
      <c r="V253" s="102"/>
      <c r="W253" s="102"/>
      <c r="X253" s="102"/>
      <c r="Y253" s="101"/>
      <c r="Z253" s="101" t="s">
        <v>984</v>
      </c>
      <c r="AA253" s="102" t="s">
        <v>984</v>
      </c>
      <c r="AB253" s="99" t="s">
        <v>984</v>
      </c>
      <c r="AC253" s="98"/>
      <c r="AD253" s="109" t="s">
        <v>984</v>
      </c>
      <c r="AE253" s="99" t="s">
        <v>984</v>
      </c>
      <c r="AF253" s="99" t="s">
        <v>984</v>
      </c>
      <c r="AG253" s="99"/>
      <c r="AH253" s="102"/>
      <c r="AI253" s="102"/>
      <c r="AJ253" s="138"/>
      <c r="AK253" s="446"/>
      <c r="AL253" s="103"/>
      <c r="AM253" s="102"/>
      <c r="AN253" s="102"/>
      <c r="AO253" s="103"/>
      <c r="AP253" s="102"/>
      <c r="AQ253" s="102"/>
      <c r="AR253" s="103"/>
      <c r="AS253" s="138"/>
      <c r="AT253" s="478"/>
    </row>
    <row r="254" spans="1:46" ht="16.3">
      <c r="A254" s="585" t="s">
        <v>1</v>
      </c>
      <c r="B254" s="210">
        <f>SUM(J254+K254+L254+M254+N254+S254+V254+W254+X254+AA254+AI254+AJ254+AI254+AM254+AP254+AQ254+AS254+AT254+AU254+AV254+AN254)</f>
        <v>0</v>
      </c>
      <c r="C254" s="215">
        <f>B254</f>
        <v>0</v>
      </c>
      <c r="D254" s="133"/>
      <c r="E254" s="134"/>
      <c r="F254" s="135"/>
      <c r="G254" s="136"/>
      <c r="H254" s="96"/>
      <c r="I254" s="96">
        <v>1</v>
      </c>
      <c r="J254" s="75"/>
      <c r="K254" s="75"/>
      <c r="L254" s="75"/>
      <c r="M254" s="75"/>
      <c r="N254" s="75"/>
      <c r="O254" s="96">
        <v>1</v>
      </c>
      <c r="P254" s="163"/>
      <c r="Q254" s="109"/>
      <c r="R254" s="111"/>
      <c r="S254" s="100"/>
      <c r="T254" s="110"/>
      <c r="U254" s="110"/>
      <c r="V254" s="100"/>
      <c r="W254" s="100"/>
      <c r="X254" s="100"/>
      <c r="Y254" s="110"/>
      <c r="Z254" s="110"/>
      <c r="AA254" s="100"/>
      <c r="AB254" s="109"/>
      <c r="AC254" s="108"/>
      <c r="AD254" s="109"/>
      <c r="AE254" s="109"/>
      <c r="AF254" s="109"/>
      <c r="AG254" s="109"/>
      <c r="AH254" s="100"/>
      <c r="AI254" s="100"/>
      <c r="AJ254" s="142"/>
      <c r="AK254" s="448"/>
      <c r="AL254" s="111"/>
      <c r="AM254" s="100"/>
      <c r="AN254" s="100"/>
      <c r="AO254" s="111"/>
      <c r="AP254" s="100"/>
      <c r="AQ254" s="100"/>
      <c r="AR254" s="111"/>
      <c r="AS254" s="142"/>
      <c r="AT254" s="150"/>
    </row>
    <row r="255" spans="1:46" ht="16.3">
      <c r="A255" s="585" t="s">
        <v>2</v>
      </c>
      <c r="B255" s="210">
        <f>SUM(J255+K255+L255+M255+N255+S255+V255+W255+X255+AA255+AI255+AJ255+AI255+AM255+AP255+AQ255+AS255+AT255+AU255+AV255)</f>
        <v>0</v>
      </c>
      <c r="C255" s="215">
        <f t="shared" ref="C255:C258" si="31">B255</f>
        <v>0</v>
      </c>
      <c r="D255" s="133"/>
      <c r="E255" s="134"/>
      <c r="F255" s="135"/>
      <c r="G255" s="136"/>
      <c r="H255" s="96"/>
      <c r="I255" s="96"/>
      <c r="J255" s="75"/>
      <c r="K255" s="75"/>
      <c r="L255" s="75"/>
      <c r="M255" s="75"/>
      <c r="N255" s="75"/>
      <c r="O255" s="96"/>
      <c r="P255" s="163"/>
      <c r="Q255" s="109"/>
      <c r="R255" s="111"/>
      <c r="S255" s="100"/>
      <c r="T255" s="110"/>
      <c r="U255" s="110"/>
      <c r="V255" s="100"/>
      <c r="W255" s="100"/>
      <c r="X255" s="100"/>
      <c r="Y255" s="110"/>
      <c r="Z255" s="110"/>
      <c r="AA255" s="100"/>
      <c r="AB255" s="109"/>
      <c r="AC255" s="108"/>
      <c r="AD255" s="109"/>
      <c r="AE255" s="109"/>
      <c r="AF255" s="109"/>
      <c r="AG255" s="109"/>
      <c r="AH255" s="100"/>
      <c r="AI255" s="100"/>
      <c r="AJ255" s="142"/>
      <c r="AK255" s="448"/>
      <c r="AL255" s="111"/>
      <c r="AM255" s="100"/>
      <c r="AN255" s="100"/>
      <c r="AO255" s="111"/>
      <c r="AP255" s="100"/>
      <c r="AQ255" s="100"/>
      <c r="AR255" s="111"/>
      <c r="AS255" s="142"/>
      <c r="AT255" s="150"/>
    </row>
    <row r="256" spans="1:46" ht="16.3">
      <c r="A256" s="91" t="s">
        <v>363</v>
      </c>
      <c r="B256" s="209">
        <f>SUM(B254+B255)</f>
        <v>0</v>
      </c>
      <c r="C256" s="214">
        <f t="shared" si="31"/>
        <v>0</v>
      </c>
      <c r="D256" s="133"/>
      <c r="E256" s="134"/>
      <c r="F256" s="135"/>
      <c r="G256" s="136"/>
      <c r="H256" s="96"/>
      <c r="I256" s="96"/>
      <c r="J256" s="75"/>
      <c r="K256" s="75"/>
      <c r="L256" s="75"/>
      <c r="M256" s="75"/>
      <c r="N256" s="75"/>
      <c r="O256" s="96"/>
      <c r="P256" s="163"/>
      <c r="Q256" s="109"/>
      <c r="R256" s="111"/>
      <c r="S256" s="100"/>
      <c r="T256" s="110"/>
      <c r="U256" s="110"/>
      <c r="V256" s="100"/>
      <c r="W256" s="100"/>
      <c r="X256" s="100"/>
      <c r="Y256" s="110"/>
      <c r="Z256" s="110"/>
      <c r="AA256" s="100"/>
      <c r="AB256" s="109"/>
      <c r="AC256" s="108"/>
      <c r="AD256" s="109"/>
      <c r="AE256" s="109"/>
      <c r="AF256" s="109"/>
      <c r="AG256" s="109"/>
      <c r="AH256" s="100"/>
      <c r="AI256" s="100"/>
      <c r="AJ256" s="142"/>
      <c r="AK256" s="448"/>
      <c r="AL256" s="111"/>
      <c r="AM256" s="100"/>
      <c r="AN256" s="100"/>
      <c r="AO256" s="111"/>
      <c r="AP256" s="100"/>
      <c r="AQ256" s="100"/>
      <c r="AR256" s="111"/>
      <c r="AS256" s="142"/>
      <c r="AT256" s="150"/>
    </row>
    <row r="257" spans="1:48" ht="16.3">
      <c r="A257" s="91" t="s">
        <v>3</v>
      </c>
      <c r="B257" s="210">
        <f>SUM(J257+K257+L257+M257+N257+S257+V257+W257+X257+AA257+AI257+AJ257+AI257+AM257+AP257+AQ257+AS257+AT257+AU257+AV257)</f>
        <v>0</v>
      </c>
      <c r="C257" s="215">
        <f t="shared" si="31"/>
        <v>0</v>
      </c>
      <c r="D257" s="133"/>
      <c r="E257" s="134"/>
      <c r="F257" s="135"/>
      <c r="G257" s="136"/>
      <c r="H257" s="96"/>
      <c r="I257" s="96"/>
      <c r="J257" s="75"/>
      <c r="K257" s="75"/>
      <c r="L257" s="75"/>
      <c r="M257" s="75"/>
      <c r="N257" s="75"/>
      <c r="O257" s="96"/>
      <c r="P257" s="163"/>
      <c r="Q257" s="109"/>
      <c r="R257" s="111"/>
      <c r="S257" s="100"/>
      <c r="T257" s="110"/>
      <c r="U257" s="110"/>
      <c r="V257" s="100"/>
      <c r="W257" s="100"/>
      <c r="X257" s="100"/>
      <c r="Y257" s="110"/>
      <c r="Z257" s="110"/>
      <c r="AA257" s="100"/>
      <c r="AB257" s="109"/>
      <c r="AC257" s="108"/>
      <c r="AD257" s="109"/>
      <c r="AE257" s="109"/>
      <c r="AF257" s="109"/>
      <c r="AG257" s="109"/>
      <c r="AH257" s="100"/>
      <c r="AI257" s="100"/>
      <c r="AJ257" s="142"/>
      <c r="AK257" s="448"/>
      <c r="AL257" s="111"/>
      <c r="AM257" s="100"/>
      <c r="AN257" s="100"/>
      <c r="AO257" s="111"/>
      <c r="AP257" s="100"/>
      <c r="AQ257" s="100"/>
      <c r="AR257" s="111"/>
      <c r="AS257" s="142"/>
      <c r="AT257" s="150"/>
    </row>
    <row r="258" spans="1:48" ht="17" thickBot="1">
      <c r="A258" s="92" t="s">
        <v>4</v>
      </c>
      <c r="B258" s="212">
        <f>SUM(J258+K258+L258+M258+N258+S258+V258+W258+X258+AA258+AI258+AJ258+AI258+AM258+AP258+AQ258+AS258+AT258+AU258+AV258)</f>
        <v>0</v>
      </c>
      <c r="C258" s="217">
        <f t="shared" si="31"/>
        <v>0</v>
      </c>
      <c r="D258" s="144"/>
      <c r="E258" s="145"/>
      <c r="F258" s="146"/>
      <c r="G258" s="147"/>
      <c r="H258" s="114"/>
      <c r="I258" s="114"/>
      <c r="J258" s="112"/>
      <c r="K258" s="112"/>
      <c r="L258" s="112"/>
      <c r="M258" s="112"/>
      <c r="N258" s="112"/>
      <c r="O258" s="114"/>
      <c r="P258" s="164"/>
      <c r="Q258" s="118"/>
      <c r="R258" s="121"/>
      <c r="S258" s="116"/>
      <c r="T258" s="120"/>
      <c r="U258" s="120"/>
      <c r="V258" s="116"/>
      <c r="W258" s="116"/>
      <c r="X258" s="116"/>
      <c r="Y258" s="120"/>
      <c r="Z258" s="120"/>
      <c r="AA258" s="116"/>
      <c r="AB258" s="118"/>
      <c r="AC258" s="117"/>
      <c r="AD258" s="118"/>
      <c r="AE258" s="118"/>
      <c r="AF258" s="118"/>
      <c r="AG258" s="118"/>
      <c r="AH258" s="116"/>
      <c r="AI258" s="116"/>
      <c r="AJ258" s="149"/>
      <c r="AK258" s="449"/>
      <c r="AL258" s="121"/>
      <c r="AM258" s="116"/>
      <c r="AN258" s="116"/>
      <c r="AO258" s="121"/>
      <c r="AP258" s="116"/>
      <c r="AQ258" s="116"/>
      <c r="AR258" s="121"/>
      <c r="AS258" s="149"/>
      <c r="AT258" s="176"/>
    </row>
    <row r="259" spans="1:48" ht="21.1">
      <c r="A259" s="89" t="s">
        <v>630</v>
      </c>
      <c r="B259" s="209"/>
      <c r="C259" s="214"/>
      <c r="D259" s="133"/>
      <c r="E259" s="134"/>
      <c r="F259" s="135"/>
      <c r="G259" s="136"/>
      <c r="H259" s="96"/>
      <c r="I259" s="96" t="s">
        <v>432</v>
      </c>
      <c r="J259" s="75"/>
      <c r="K259" s="75"/>
      <c r="L259" s="75"/>
      <c r="M259" s="75"/>
      <c r="N259" s="75"/>
      <c r="O259" s="96"/>
      <c r="P259" s="163"/>
      <c r="Q259" s="109"/>
      <c r="R259" s="111"/>
      <c r="S259" s="100"/>
      <c r="T259" s="110"/>
      <c r="U259" s="110"/>
      <c r="V259" s="100"/>
      <c r="W259" s="100"/>
      <c r="X259" s="100"/>
      <c r="Y259" s="110"/>
      <c r="Z259" s="110"/>
      <c r="AA259" s="100"/>
      <c r="AB259" s="109"/>
      <c r="AC259" s="108"/>
      <c r="AD259" s="109"/>
      <c r="AE259" s="109"/>
      <c r="AF259" s="109"/>
      <c r="AG259" s="109"/>
      <c r="AH259" s="100"/>
      <c r="AI259" s="100"/>
      <c r="AJ259" s="142"/>
      <c r="AK259" s="448"/>
      <c r="AL259" s="111"/>
      <c r="AM259" s="100"/>
      <c r="AN259" s="100"/>
      <c r="AO259" s="111"/>
      <c r="AP259" s="100"/>
      <c r="AQ259" s="100"/>
      <c r="AR259" s="111"/>
      <c r="AS259" s="142"/>
      <c r="AT259" s="150"/>
    </row>
    <row r="260" spans="1:48" ht="16.3">
      <c r="A260" s="611" t="s">
        <v>1</v>
      </c>
      <c r="B260" s="210">
        <f>SUM(J260+K260+L260+M260+N260+S260+V260+W260+X260+AA260+AI260+AJ260+AI260+AM260+AP260+AQ260+AS260+AT260+AU260+AV260+AN260)</f>
        <v>0</v>
      </c>
      <c r="C260" s="215">
        <f>B260</f>
        <v>0</v>
      </c>
      <c r="D260" s="133"/>
      <c r="E260" s="134"/>
      <c r="F260" s="135"/>
      <c r="G260" s="136"/>
      <c r="H260" s="96"/>
      <c r="I260" s="96"/>
      <c r="J260" s="75"/>
      <c r="K260" s="75"/>
      <c r="L260" s="75"/>
      <c r="M260" s="75"/>
      <c r="N260" s="75"/>
      <c r="O260" s="96"/>
      <c r="P260" s="163"/>
      <c r="Q260" s="109"/>
      <c r="R260" s="111"/>
      <c r="S260" s="100"/>
      <c r="T260" s="110"/>
      <c r="U260" s="110"/>
      <c r="V260" s="100"/>
      <c r="W260" s="100"/>
      <c r="X260" s="100"/>
      <c r="Y260" s="110"/>
      <c r="Z260" s="110"/>
      <c r="AA260" s="100"/>
      <c r="AB260" s="109"/>
      <c r="AC260" s="108"/>
      <c r="AD260" s="109"/>
      <c r="AE260" s="109"/>
      <c r="AF260" s="109"/>
      <c r="AG260" s="109"/>
      <c r="AH260" s="100"/>
      <c r="AI260" s="100"/>
      <c r="AJ260" s="142"/>
      <c r="AK260" s="448"/>
      <c r="AL260" s="111"/>
      <c r="AM260" s="100"/>
      <c r="AN260" s="100"/>
      <c r="AO260" s="111"/>
      <c r="AP260" s="100"/>
      <c r="AQ260" s="100"/>
      <c r="AR260" s="111"/>
      <c r="AS260" s="142"/>
      <c r="AT260" s="150"/>
    </row>
    <row r="261" spans="1:48" ht="16.3">
      <c r="A261" s="611" t="s">
        <v>2</v>
      </c>
      <c r="B261" s="210">
        <f>SUM(J261+K261+L261+M261+N261+S261+V261+W261+X261+AA261+AI261+AJ261+AI261+AM261+AP261+AQ261+AS261+AT261+AU261+AV261)</f>
        <v>0</v>
      </c>
      <c r="C261" s="215">
        <f t="shared" ref="C261:C264" si="32">B261</f>
        <v>0</v>
      </c>
      <c r="D261" s="133"/>
      <c r="E261" s="134"/>
      <c r="F261" s="135"/>
      <c r="G261" s="136"/>
      <c r="H261" s="96"/>
      <c r="I261" s="96">
        <v>1</v>
      </c>
      <c r="J261" s="75"/>
      <c r="K261" s="75"/>
      <c r="L261" s="75"/>
      <c r="M261" s="75"/>
      <c r="N261" s="75"/>
      <c r="O261" s="96"/>
      <c r="P261" s="163"/>
      <c r="Q261" s="109"/>
      <c r="R261" s="111"/>
      <c r="S261" s="100"/>
      <c r="T261" s="110"/>
      <c r="U261" s="110"/>
      <c r="V261" s="100"/>
      <c r="W261" s="100"/>
      <c r="X261" s="100"/>
      <c r="Y261" s="110"/>
      <c r="Z261" s="110"/>
      <c r="AA261" s="100"/>
      <c r="AB261" s="109"/>
      <c r="AC261" s="108"/>
      <c r="AD261" s="109"/>
      <c r="AE261" s="109"/>
      <c r="AF261" s="109"/>
      <c r="AG261" s="109"/>
      <c r="AH261" s="100"/>
      <c r="AI261" s="100"/>
      <c r="AJ261" s="142"/>
      <c r="AK261" s="448"/>
      <c r="AL261" s="111"/>
      <c r="AM261" s="100"/>
      <c r="AN261" s="100"/>
      <c r="AO261" s="111"/>
      <c r="AP261" s="100"/>
      <c r="AQ261" s="100"/>
      <c r="AR261" s="111"/>
      <c r="AS261" s="142"/>
      <c r="AT261" s="150"/>
    </row>
    <row r="262" spans="1:48" ht="16.3">
      <c r="A262" s="91" t="s">
        <v>363</v>
      </c>
      <c r="B262" s="209">
        <f>SUM(B260+B261)</f>
        <v>0</v>
      </c>
      <c r="C262" s="214">
        <f t="shared" si="32"/>
        <v>0</v>
      </c>
      <c r="D262" s="133"/>
      <c r="E262" s="134"/>
      <c r="F262" s="135"/>
      <c r="G262" s="136"/>
      <c r="H262" s="96"/>
      <c r="I262" s="96"/>
      <c r="J262" s="75"/>
      <c r="K262" s="75"/>
      <c r="L262" s="75"/>
      <c r="M262" s="75"/>
      <c r="N262" s="75"/>
      <c r="O262" s="96"/>
      <c r="P262" s="163"/>
      <c r="Q262" s="109"/>
      <c r="R262" s="111"/>
      <c r="S262" s="100"/>
      <c r="T262" s="110"/>
      <c r="U262" s="110"/>
      <c r="V262" s="100"/>
      <c r="W262" s="100"/>
      <c r="X262" s="100"/>
      <c r="Y262" s="110"/>
      <c r="Z262" s="110"/>
      <c r="AA262" s="100"/>
      <c r="AB262" s="109"/>
      <c r="AC262" s="108"/>
      <c r="AD262" s="109"/>
      <c r="AE262" s="109"/>
      <c r="AF262" s="109"/>
      <c r="AG262" s="109"/>
      <c r="AH262" s="100"/>
      <c r="AI262" s="100"/>
      <c r="AJ262" s="142"/>
      <c r="AK262" s="448"/>
      <c r="AL262" s="111"/>
      <c r="AM262" s="100"/>
      <c r="AN262" s="100"/>
      <c r="AO262" s="111"/>
      <c r="AP262" s="100"/>
      <c r="AQ262" s="100"/>
      <c r="AR262" s="111"/>
      <c r="AS262" s="142"/>
      <c r="AT262" s="150"/>
    </row>
    <row r="263" spans="1:48" ht="16.3">
      <c r="A263" s="91" t="s">
        <v>3</v>
      </c>
      <c r="B263" s="209">
        <f>SUM(J263+K263+L263+M263+N263+S263+V263+W263+X263+AA263+AI263+AJ263+AI263+AM263+AP263+AQ263+AS263+AT263+AU263+AV263)</f>
        <v>0</v>
      </c>
      <c r="C263" s="214">
        <f t="shared" si="32"/>
        <v>0</v>
      </c>
      <c r="D263" s="133"/>
      <c r="E263" s="134"/>
      <c r="F263" s="135"/>
      <c r="G263" s="136"/>
      <c r="H263" s="96"/>
      <c r="I263" s="96">
        <v>1</v>
      </c>
      <c r="J263" s="75"/>
      <c r="K263" s="75"/>
      <c r="L263" s="75"/>
      <c r="M263" s="75"/>
      <c r="N263" s="75"/>
      <c r="O263" s="96"/>
      <c r="P263" s="163"/>
      <c r="Q263" s="109"/>
      <c r="R263" s="111"/>
      <c r="S263" s="100"/>
      <c r="T263" s="110"/>
      <c r="U263" s="110"/>
      <c r="V263" s="100"/>
      <c r="W263" s="100"/>
      <c r="X263" s="100"/>
      <c r="Y263" s="110"/>
      <c r="Z263" s="110"/>
      <c r="AA263" s="100"/>
      <c r="AB263" s="109"/>
      <c r="AC263" s="108"/>
      <c r="AD263" s="109"/>
      <c r="AE263" s="109"/>
      <c r="AF263" s="109"/>
      <c r="AG263" s="109"/>
      <c r="AH263" s="100"/>
      <c r="AI263" s="100"/>
      <c r="AJ263" s="142"/>
      <c r="AK263" s="448"/>
      <c r="AL263" s="111"/>
      <c r="AM263" s="100"/>
      <c r="AN263" s="100"/>
      <c r="AO263" s="111"/>
      <c r="AP263" s="100"/>
      <c r="AQ263" s="100"/>
      <c r="AR263" s="111"/>
      <c r="AS263" s="142"/>
      <c r="AT263" s="150"/>
    </row>
    <row r="264" spans="1:48" ht="17" thickBot="1">
      <c r="A264" s="92" t="s">
        <v>4</v>
      </c>
      <c r="B264" s="212">
        <f>SUM(J264+K264+L264+M264+N264+S264+V264+W264+X264+AA264+AI264+AJ264+AI264+AM264+AP264+AQ264+AS264+AT264+AU264+AV264)</f>
        <v>0</v>
      </c>
      <c r="C264" s="217">
        <f t="shared" si="32"/>
        <v>0</v>
      </c>
      <c r="D264" s="144"/>
      <c r="E264" s="145"/>
      <c r="F264" s="146"/>
      <c r="G264" s="147"/>
      <c r="H264" s="114"/>
      <c r="I264" s="114">
        <v>5</v>
      </c>
      <c r="J264" s="112"/>
      <c r="K264" s="112"/>
      <c r="L264" s="112"/>
      <c r="M264" s="112"/>
      <c r="N264" s="112"/>
      <c r="O264" s="114"/>
      <c r="P264" s="164"/>
      <c r="Q264" s="118"/>
      <c r="R264" s="121"/>
      <c r="S264" s="116"/>
      <c r="T264" s="120"/>
      <c r="U264" s="120"/>
      <c r="V264" s="116"/>
      <c r="W264" s="116"/>
      <c r="X264" s="116"/>
      <c r="Y264" s="120"/>
      <c r="Z264" s="120"/>
      <c r="AA264" s="116"/>
      <c r="AB264" s="118"/>
      <c r="AC264" s="117"/>
      <c r="AD264" s="118"/>
      <c r="AE264" s="118"/>
      <c r="AF264" s="118"/>
      <c r="AG264" s="118"/>
      <c r="AH264" s="116"/>
      <c r="AI264" s="116"/>
      <c r="AJ264" s="149"/>
      <c r="AK264" s="449"/>
      <c r="AL264" s="121"/>
      <c r="AM264" s="116"/>
      <c r="AN264" s="116"/>
      <c r="AO264" s="121"/>
      <c r="AP264" s="116"/>
      <c r="AQ264" s="116"/>
      <c r="AR264" s="121"/>
      <c r="AS264" s="149"/>
      <c r="AT264" s="176"/>
    </row>
    <row r="265" spans="1:48" ht="21.1">
      <c r="A265" s="89" t="s">
        <v>713</v>
      </c>
      <c r="B265" s="209"/>
      <c r="C265" s="214"/>
      <c r="D265" s="133"/>
      <c r="E265" s="134"/>
      <c r="F265" s="135"/>
      <c r="G265" s="136"/>
      <c r="H265" s="96"/>
      <c r="I265" s="96"/>
      <c r="J265" s="75"/>
      <c r="K265" s="75" t="s">
        <v>393</v>
      </c>
      <c r="L265" s="75" t="s">
        <v>739</v>
      </c>
      <c r="M265" s="75" t="s">
        <v>339</v>
      </c>
      <c r="N265" s="75" t="s">
        <v>370</v>
      </c>
      <c r="O265" s="96"/>
      <c r="P265" s="163"/>
      <c r="Q265" s="109" t="s">
        <v>801</v>
      </c>
      <c r="R265" s="111"/>
      <c r="S265" s="100" t="s">
        <v>703</v>
      </c>
      <c r="T265" s="110" t="s">
        <v>703</v>
      </c>
      <c r="U265" s="110" t="s">
        <v>703</v>
      </c>
      <c r="V265" s="100" t="s">
        <v>370</v>
      </c>
      <c r="W265" s="100"/>
      <c r="X265" s="100"/>
      <c r="Y265" s="110" t="s">
        <v>370</v>
      </c>
      <c r="Z265" s="110" t="s">
        <v>370</v>
      </c>
      <c r="AA265" s="100"/>
      <c r="AB265" s="109"/>
      <c r="AC265" s="108"/>
      <c r="AD265" s="109"/>
      <c r="AE265" s="109"/>
      <c r="AF265" s="109" t="s">
        <v>375</v>
      </c>
      <c r="AG265" s="109"/>
      <c r="AH265" s="100"/>
      <c r="AI265" s="100"/>
      <c r="AJ265" s="142"/>
      <c r="AK265" s="448"/>
      <c r="AL265" s="111"/>
      <c r="AM265" s="100"/>
      <c r="AN265" s="100"/>
      <c r="AO265" s="111"/>
      <c r="AP265" s="100"/>
      <c r="AQ265" s="100"/>
      <c r="AR265" s="111"/>
      <c r="AS265" s="142"/>
      <c r="AT265" s="150"/>
      <c r="AU265" s="15"/>
      <c r="AV265" s="15"/>
    </row>
    <row r="266" spans="1:48" ht="16.3">
      <c r="A266" s="611" t="s">
        <v>1</v>
      </c>
      <c r="B266" s="210">
        <f>SUM(J266+K266+L266+M266+N266+S266+V266+W266+X266+AA266+AI266+AJ266+AI266+AM266+AP266+AQ266+AS266+AT266+AU266+AV266+AN266)</f>
        <v>3</v>
      </c>
      <c r="C266" s="215">
        <f>B266</f>
        <v>3</v>
      </c>
      <c r="D266" s="133"/>
      <c r="E266" s="134"/>
      <c r="F266" s="135"/>
      <c r="G266" s="136"/>
      <c r="H266" s="96"/>
      <c r="I266" s="96"/>
      <c r="J266" s="75"/>
      <c r="K266" s="75"/>
      <c r="L266" s="75">
        <v>1</v>
      </c>
      <c r="M266" s="75"/>
      <c r="N266" s="75">
        <v>1</v>
      </c>
      <c r="O266" s="96"/>
      <c r="P266" s="163"/>
      <c r="Q266" s="109">
        <v>1</v>
      </c>
      <c r="R266" s="111"/>
      <c r="S266" s="100"/>
      <c r="T266" s="110"/>
      <c r="U266" s="110"/>
      <c r="V266" s="100">
        <v>1</v>
      </c>
      <c r="W266" s="100"/>
      <c r="X266" s="100"/>
      <c r="Y266" s="110">
        <v>1</v>
      </c>
      <c r="Z266" s="110">
        <v>1</v>
      </c>
      <c r="AA266" s="100"/>
      <c r="AB266" s="109"/>
      <c r="AC266" s="108"/>
      <c r="AD266" s="109"/>
      <c r="AE266" s="109"/>
      <c r="AF266" s="109"/>
      <c r="AG266" s="109"/>
      <c r="AH266" s="100"/>
      <c r="AI266" s="100"/>
      <c r="AJ266" s="142"/>
      <c r="AK266" s="448"/>
      <c r="AL266" s="111"/>
      <c r="AM266" s="100"/>
      <c r="AN266" s="100"/>
      <c r="AO266" s="111"/>
      <c r="AP266" s="100"/>
      <c r="AQ266" s="100"/>
      <c r="AR266" s="111"/>
      <c r="AS266" s="142"/>
      <c r="AT266" s="150"/>
      <c r="AU266" s="15"/>
      <c r="AV266" s="15"/>
    </row>
    <row r="267" spans="1:48" ht="16.3">
      <c r="A267" s="611" t="s">
        <v>2</v>
      </c>
      <c r="B267" s="210">
        <f>SUM(J267+K267+L267+M267+N267+S267+V267+W267+X267+AA267+AI267+AJ267+AI267+AM267+AP267+AQ267+AS267+AT267+AU267+AV267)</f>
        <v>0</v>
      </c>
      <c r="C267" s="215">
        <f t="shared" ref="C267:C271" si="33">B267</f>
        <v>0</v>
      </c>
      <c r="D267" s="133"/>
      <c r="E267" s="134"/>
      <c r="F267" s="135"/>
      <c r="G267" s="136"/>
      <c r="H267" s="96"/>
      <c r="I267" s="96"/>
      <c r="J267" s="75"/>
      <c r="K267" s="75"/>
      <c r="L267" s="75"/>
      <c r="M267" s="75"/>
      <c r="N267" s="75"/>
      <c r="O267" s="96"/>
      <c r="P267" s="163"/>
      <c r="Q267" s="109"/>
      <c r="R267" s="111"/>
      <c r="S267" s="100"/>
      <c r="T267" s="110"/>
      <c r="U267" s="110"/>
      <c r="V267" s="100"/>
      <c r="W267" s="100"/>
      <c r="X267" s="100"/>
      <c r="Y267" s="110"/>
      <c r="Z267" s="110"/>
      <c r="AA267" s="100"/>
      <c r="AB267" s="109"/>
      <c r="AC267" s="108"/>
      <c r="AD267" s="109"/>
      <c r="AE267" s="109"/>
      <c r="AF267" s="109">
        <v>1</v>
      </c>
      <c r="AG267" s="109"/>
      <c r="AH267" s="100"/>
      <c r="AI267" s="100"/>
      <c r="AJ267" s="142"/>
      <c r="AK267" s="448"/>
      <c r="AL267" s="111"/>
      <c r="AM267" s="100"/>
      <c r="AN267" s="100"/>
      <c r="AO267" s="111"/>
      <c r="AP267" s="100"/>
      <c r="AQ267" s="100"/>
      <c r="AR267" s="111"/>
      <c r="AS267" s="142"/>
      <c r="AT267" s="150"/>
      <c r="AU267" s="15"/>
      <c r="AV267" s="15"/>
    </row>
    <row r="268" spans="1:48" ht="16.3">
      <c r="A268" s="91" t="s">
        <v>363</v>
      </c>
      <c r="B268" s="209">
        <f>SUM(B266+B267)</f>
        <v>3</v>
      </c>
      <c r="C268" s="214">
        <f t="shared" si="33"/>
        <v>3</v>
      </c>
      <c r="D268" s="133"/>
      <c r="E268" s="134"/>
      <c r="F268" s="135"/>
      <c r="G268" s="136"/>
      <c r="H268" s="96"/>
      <c r="I268" s="96"/>
      <c r="J268" s="75"/>
      <c r="K268" s="75"/>
      <c r="L268" s="75"/>
      <c r="M268" s="75"/>
      <c r="N268" s="75"/>
      <c r="O268" s="96"/>
      <c r="P268" s="163"/>
      <c r="Q268" s="109"/>
      <c r="R268" s="111"/>
      <c r="S268" s="100"/>
      <c r="T268" s="110"/>
      <c r="U268" s="110"/>
      <c r="V268" s="100"/>
      <c r="W268" s="100"/>
      <c r="X268" s="100"/>
      <c r="Y268" s="110"/>
      <c r="Z268" s="110"/>
      <c r="AA268" s="100"/>
      <c r="AB268" s="109"/>
      <c r="AC268" s="108"/>
      <c r="AD268" s="109"/>
      <c r="AE268" s="109"/>
      <c r="AF268" s="109"/>
      <c r="AG268" s="109"/>
      <c r="AH268" s="100"/>
      <c r="AI268" s="100"/>
      <c r="AJ268" s="142"/>
      <c r="AK268" s="448"/>
      <c r="AL268" s="111"/>
      <c r="AM268" s="100"/>
      <c r="AN268" s="100"/>
      <c r="AO268" s="111"/>
      <c r="AP268" s="100"/>
      <c r="AQ268" s="100"/>
      <c r="AR268" s="111"/>
      <c r="AS268" s="142"/>
      <c r="AT268" s="150"/>
      <c r="AU268" s="15"/>
      <c r="AV268" s="15"/>
    </row>
    <row r="269" spans="1:48" ht="16.3">
      <c r="A269" s="585" t="s">
        <v>362</v>
      </c>
      <c r="B269" s="210">
        <f>SUM(J269+K269+L269+M269+N269+S269+V269+W269+X269+AA269+AI269+AJ269+AI269+AM269+AP269+AQ269+AS269+AT269+AU269+AV269)</f>
        <v>0</v>
      </c>
      <c r="C269" s="215">
        <f t="shared" ref="C269" si="34">B269</f>
        <v>0</v>
      </c>
      <c r="D269" s="133"/>
      <c r="E269" s="134"/>
      <c r="F269" s="135"/>
      <c r="G269" s="136"/>
      <c r="H269" s="96"/>
      <c r="I269" s="96"/>
      <c r="J269" s="75"/>
      <c r="K269" s="75"/>
      <c r="L269" s="75"/>
      <c r="M269" s="75"/>
      <c r="N269" s="75"/>
      <c r="O269" s="96"/>
      <c r="P269" s="163"/>
      <c r="Q269" s="109">
        <v>1</v>
      </c>
      <c r="R269" s="111"/>
      <c r="S269" s="100"/>
      <c r="T269" s="110"/>
      <c r="U269" s="110"/>
      <c r="V269" s="100"/>
      <c r="W269" s="100"/>
      <c r="X269" s="100"/>
      <c r="Y269" s="110"/>
      <c r="Z269" s="110"/>
      <c r="AA269" s="100"/>
      <c r="AB269" s="109"/>
      <c r="AC269" s="108"/>
      <c r="AD269" s="109"/>
      <c r="AE269" s="109"/>
      <c r="AF269" s="109"/>
      <c r="AG269" s="109"/>
      <c r="AH269" s="100"/>
      <c r="AI269" s="100"/>
      <c r="AJ269" s="142"/>
      <c r="AK269" s="448"/>
      <c r="AL269" s="111"/>
      <c r="AM269" s="100"/>
      <c r="AN269" s="100"/>
      <c r="AO269" s="111"/>
      <c r="AP269" s="100"/>
      <c r="AQ269" s="100"/>
      <c r="AR269" s="111"/>
      <c r="AS269" s="142"/>
      <c r="AT269" s="150"/>
      <c r="AU269" s="15"/>
      <c r="AV269" s="15"/>
    </row>
    <row r="270" spans="1:48" ht="16.3">
      <c r="A270" s="91" t="s">
        <v>3</v>
      </c>
      <c r="B270" s="209">
        <f>SUM(J270+K270+L270+M270+N270+S270+V270+W270+X270+AA270+AI270+AJ270+AI270+AM270+AP270+AQ270+AS270+AT270+AU270+AV270)</f>
        <v>0</v>
      </c>
      <c r="C270" s="214">
        <f t="shared" si="33"/>
        <v>0</v>
      </c>
      <c r="D270" s="133"/>
      <c r="E270" s="134"/>
      <c r="F270" s="135"/>
      <c r="G270" s="136"/>
      <c r="H270" s="96"/>
      <c r="I270" s="96"/>
      <c r="J270" s="75"/>
      <c r="K270" s="75"/>
      <c r="L270" s="75"/>
      <c r="M270" s="75"/>
      <c r="N270" s="75"/>
      <c r="O270" s="96"/>
      <c r="P270" s="163"/>
      <c r="Q270" s="109"/>
      <c r="R270" s="111"/>
      <c r="S270" s="100"/>
      <c r="T270" s="110"/>
      <c r="U270" s="110"/>
      <c r="V270" s="100"/>
      <c r="W270" s="100"/>
      <c r="X270" s="100"/>
      <c r="Y270" s="110"/>
      <c r="Z270" s="110"/>
      <c r="AA270" s="100"/>
      <c r="AB270" s="109"/>
      <c r="AC270" s="108"/>
      <c r="AD270" s="109"/>
      <c r="AE270" s="109"/>
      <c r="AF270" s="109"/>
      <c r="AG270" s="109"/>
      <c r="AH270" s="100"/>
      <c r="AI270" s="100"/>
      <c r="AJ270" s="142"/>
      <c r="AK270" s="448"/>
      <c r="AL270" s="111"/>
      <c r="AM270" s="100"/>
      <c r="AN270" s="100"/>
      <c r="AO270" s="111"/>
      <c r="AP270" s="100"/>
      <c r="AQ270" s="100"/>
      <c r="AR270" s="111"/>
      <c r="AS270" s="142"/>
      <c r="AT270" s="150"/>
      <c r="AU270" s="15"/>
      <c r="AV270" s="15"/>
    </row>
    <row r="271" spans="1:48" ht="17" thickBot="1">
      <c r="A271" s="92" t="s">
        <v>4</v>
      </c>
      <c r="B271" s="212">
        <f>SUM(J271+K271+L271+M271+N271+S271+V271+W271+X271+AA271+AI271+AJ271+AI271+AM271+AP271+AQ271+AS271+AT271+AU271+AV271)</f>
        <v>0</v>
      </c>
      <c r="C271" s="217">
        <f t="shared" si="33"/>
        <v>0</v>
      </c>
      <c r="D271" s="144"/>
      <c r="E271" s="145"/>
      <c r="F271" s="146"/>
      <c r="G271" s="147"/>
      <c r="H271" s="114"/>
      <c r="I271" s="114"/>
      <c r="J271" s="112"/>
      <c r="K271" s="112"/>
      <c r="L271" s="112"/>
      <c r="M271" s="112"/>
      <c r="N271" s="112"/>
      <c r="O271" s="114"/>
      <c r="P271" s="164"/>
      <c r="Q271" s="118"/>
      <c r="R271" s="130"/>
      <c r="S271" s="116"/>
      <c r="T271" s="120"/>
      <c r="U271" s="120"/>
      <c r="V271" s="116"/>
      <c r="W271" s="116"/>
      <c r="X271" s="116"/>
      <c r="Y271" s="120"/>
      <c r="Z271" s="120"/>
      <c r="AA271" s="116"/>
      <c r="AB271" s="118"/>
      <c r="AC271" s="117"/>
      <c r="AD271" s="118"/>
      <c r="AE271" s="118"/>
      <c r="AF271" s="118"/>
      <c r="AG271" s="118"/>
      <c r="AH271" s="116"/>
      <c r="AI271" s="116"/>
      <c r="AJ271" s="149"/>
      <c r="AK271" s="449"/>
      <c r="AL271" s="121"/>
      <c r="AM271" s="116"/>
      <c r="AN271" s="116"/>
      <c r="AO271" s="121"/>
      <c r="AP271" s="116"/>
      <c r="AQ271" s="116"/>
      <c r="AR271" s="121"/>
      <c r="AS271" s="149"/>
      <c r="AT271" s="176"/>
      <c r="AU271" s="15"/>
      <c r="AV271" s="15"/>
    </row>
    <row r="272" spans="1:48" ht="21.1">
      <c r="A272" s="89" t="s">
        <v>800</v>
      </c>
      <c r="B272" s="209"/>
      <c r="C272" s="214"/>
      <c r="D272" s="133"/>
      <c r="E272" s="134"/>
      <c r="F272" s="135"/>
      <c r="G272" s="136"/>
      <c r="H272" s="96"/>
      <c r="I272" s="96"/>
      <c r="J272" s="75"/>
      <c r="K272" s="75"/>
      <c r="L272" s="75"/>
      <c r="M272" s="75"/>
      <c r="N272" s="75"/>
      <c r="O272" s="96" t="s">
        <v>375</v>
      </c>
      <c r="P272" s="163"/>
      <c r="Q272" s="109"/>
      <c r="R272" s="111"/>
      <c r="S272" s="100"/>
      <c r="T272" s="110"/>
      <c r="U272" s="110"/>
      <c r="V272" s="100"/>
      <c r="W272" s="100"/>
      <c r="X272" s="100"/>
      <c r="Y272" s="110"/>
      <c r="Z272" s="110"/>
      <c r="AA272" s="100"/>
      <c r="AB272" s="109"/>
      <c r="AC272" s="108"/>
      <c r="AD272" s="109"/>
      <c r="AE272" s="109"/>
      <c r="AF272" s="109"/>
      <c r="AG272" s="109"/>
      <c r="AH272" s="100"/>
      <c r="AI272" s="100"/>
      <c r="AJ272" s="142"/>
      <c r="AK272" s="448"/>
      <c r="AL272" s="111"/>
      <c r="AM272" s="100"/>
      <c r="AN272" s="100"/>
      <c r="AO272" s="111"/>
      <c r="AP272" s="100"/>
      <c r="AQ272" s="100"/>
      <c r="AR272" s="111"/>
      <c r="AS272" s="142"/>
      <c r="AT272" s="150"/>
      <c r="AU272" s="15"/>
      <c r="AV272" s="15"/>
    </row>
    <row r="273" spans="1:48" ht="16.3">
      <c r="A273" s="611" t="s">
        <v>1</v>
      </c>
      <c r="B273" s="210">
        <f>SUM(J273+K273+L273+M273+N273+S273+V273+W273+X273+AA273+AI273+AJ273+AI273+AM273+AP273+AQ273+AS273+AT273+AU273+AV273+AN273)</f>
        <v>0</v>
      </c>
      <c r="C273" s="215">
        <f>B273</f>
        <v>0</v>
      </c>
      <c r="D273" s="133"/>
      <c r="E273" s="134"/>
      <c r="F273" s="135"/>
      <c r="G273" s="136"/>
      <c r="H273" s="96"/>
      <c r="I273" s="96"/>
      <c r="J273" s="75"/>
      <c r="K273" s="75"/>
      <c r="L273" s="75"/>
      <c r="M273" s="75"/>
      <c r="N273" s="75"/>
      <c r="O273" s="96"/>
      <c r="P273" s="163"/>
      <c r="Q273" s="109"/>
      <c r="R273" s="111"/>
      <c r="S273" s="100"/>
      <c r="T273" s="110"/>
      <c r="U273" s="110"/>
      <c r="V273" s="100"/>
      <c r="W273" s="100"/>
      <c r="X273" s="100"/>
      <c r="Y273" s="110"/>
      <c r="Z273" s="110"/>
      <c r="AA273" s="100"/>
      <c r="AB273" s="109"/>
      <c r="AC273" s="108"/>
      <c r="AD273" s="109"/>
      <c r="AE273" s="109"/>
      <c r="AF273" s="109"/>
      <c r="AG273" s="109"/>
      <c r="AH273" s="100"/>
      <c r="AI273" s="100"/>
      <c r="AJ273" s="142"/>
      <c r="AK273" s="448"/>
      <c r="AL273" s="111"/>
      <c r="AM273" s="100"/>
      <c r="AN273" s="100"/>
      <c r="AO273" s="111"/>
      <c r="AP273" s="100"/>
      <c r="AQ273" s="100"/>
      <c r="AR273" s="111"/>
      <c r="AS273" s="142"/>
      <c r="AT273" s="150"/>
      <c r="AU273" s="15"/>
      <c r="AV273" s="15"/>
    </row>
    <row r="274" spans="1:48" ht="16.3">
      <c r="A274" s="611" t="s">
        <v>2</v>
      </c>
      <c r="B274" s="210">
        <f>SUM(J274+K274+L274+M274+N274+S274+V274+W274+X274+AA274+AI274+AJ274+AI274+AM274+AP274+AQ274+AS274+AT274+AU274+AV274)</f>
        <v>0</v>
      </c>
      <c r="C274" s="215">
        <f t="shared" ref="C274:C277" si="35">B274</f>
        <v>0</v>
      </c>
      <c r="D274" s="133"/>
      <c r="E274" s="134"/>
      <c r="F274" s="135"/>
      <c r="G274" s="136"/>
      <c r="H274" s="96"/>
      <c r="I274" s="96"/>
      <c r="J274" s="75"/>
      <c r="K274" s="75"/>
      <c r="L274" s="75"/>
      <c r="M274" s="75"/>
      <c r="N274" s="75"/>
      <c r="O274" s="96">
        <v>1</v>
      </c>
      <c r="P274" s="163"/>
      <c r="Q274" s="109"/>
      <c r="R274" s="111"/>
      <c r="S274" s="100"/>
      <c r="T274" s="110"/>
      <c r="U274" s="110"/>
      <c r="V274" s="100"/>
      <c r="W274" s="100"/>
      <c r="X274" s="100"/>
      <c r="Y274" s="110"/>
      <c r="Z274" s="110"/>
      <c r="AA274" s="100"/>
      <c r="AB274" s="109"/>
      <c r="AC274" s="108"/>
      <c r="AD274" s="109"/>
      <c r="AE274" s="109"/>
      <c r="AF274" s="109"/>
      <c r="AG274" s="109"/>
      <c r="AH274" s="100"/>
      <c r="AI274" s="100"/>
      <c r="AJ274" s="142"/>
      <c r="AK274" s="448"/>
      <c r="AL274" s="111"/>
      <c r="AM274" s="100"/>
      <c r="AN274" s="100"/>
      <c r="AO274" s="111"/>
      <c r="AP274" s="100"/>
      <c r="AQ274" s="100"/>
      <c r="AR274" s="111"/>
      <c r="AS274" s="142"/>
      <c r="AT274" s="150"/>
      <c r="AU274" s="15"/>
      <c r="AV274" s="15"/>
    </row>
    <row r="275" spans="1:48" ht="16.3">
      <c r="A275" s="91" t="s">
        <v>363</v>
      </c>
      <c r="B275" s="209">
        <f>SUM(B273+B274)</f>
        <v>0</v>
      </c>
      <c r="C275" s="214">
        <f t="shared" si="35"/>
        <v>0</v>
      </c>
      <c r="D275" s="133"/>
      <c r="E275" s="134"/>
      <c r="F275" s="135"/>
      <c r="G275" s="136"/>
      <c r="H275" s="96"/>
      <c r="I275" s="96"/>
      <c r="J275" s="75"/>
      <c r="K275" s="75"/>
      <c r="L275" s="75"/>
      <c r="M275" s="75"/>
      <c r="N275" s="75"/>
      <c r="O275" s="96"/>
      <c r="P275" s="163"/>
      <c r="Q275" s="109"/>
      <c r="R275" s="111"/>
      <c r="S275" s="100"/>
      <c r="T275" s="110"/>
      <c r="U275" s="110"/>
      <c r="V275" s="100"/>
      <c r="W275" s="100"/>
      <c r="X275" s="100"/>
      <c r="Y275" s="110"/>
      <c r="Z275" s="110"/>
      <c r="AA275" s="100"/>
      <c r="AB275" s="109"/>
      <c r="AC275" s="108"/>
      <c r="AD275" s="109"/>
      <c r="AE275" s="109"/>
      <c r="AF275" s="109"/>
      <c r="AG275" s="109"/>
      <c r="AH275" s="100"/>
      <c r="AI275" s="100"/>
      <c r="AJ275" s="142"/>
      <c r="AK275" s="448"/>
      <c r="AL275" s="111"/>
      <c r="AM275" s="100"/>
      <c r="AN275" s="100"/>
      <c r="AO275" s="111"/>
      <c r="AP275" s="100"/>
      <c r="AQ275" s="100"/>
      <c r="AR275" s="111"/>
      <c r="AS275" s="142"/>
      <c r="AT275" s="150"/>
      <c r="AU275" s="15"/>
      <c r="AV275" s="15"/>
    </row>
    <row r="276" spans="1:48" ht="16.3">
      <c r="A276" s="91" t="s">
        <v>3</v>
      </c>
      <c r="B276" s="209">
        <f>SUM(J276+K276+L276+M276+N276+S276+V276+W276+X276+AA276+AI276+AJ276+AI276+AM276+AP276+AQ276+AS276+AT276+AU276+AV276)</f>
        <v>0</v>
      </c>
      <c r="C276" s="214">
        <f t="shared" si="35"/>
        <v>0</v>
      </c>
      <c r="D276" s="133"/>
      <c r="E276" s="134"/>
      <c r="F276" s="135"/>
      <c r="G276" s="136"/>
      <c r="H276" s="96"/>
      <c r="I276" s="96"/>
      <c r="J276" s="75"/>
      <c r="K276" s="75"/>
      <c r="L276" s="75"/>
      <c r="M276" s="75"/>
      <c r="N276" s="75"/>
      <c r="O276" s="96"/>
      <c r="P276" s="163"/>
      <c r="Q276" s="109"/>
      <c r="R276" s="111"/>
      <c r="S276" s="100"/>
      <c r="T276" s="110"/>
      <c r="U276" s="110"/>
      <c r="V276" s="100"/>
      <c r="W276" s="100"/>
      <c r="X276" s="100"/>
      <c r="Y276" s="110"/>
      <c r="Z276" s="110"/>
      <c r="AA276" s="100"/>
      <c r="AB276" s="109"/>
      <c r="AC276" s="108"/>
      <c r="AD276" s="109"/>
      <c r="AE276" s="109"/>
      <c r="AF276" s="109"/>
      <c r="AG276" s="109"/>
      <c r="AH276" s="100"/>
      <c r="AI276" s="100"/>
      <c r="AJ276" s="142"/>
      <c r="AK276" s="448"/>
      <c r="AL276" s="111"/>
      <c r="AM276" s="100"/>
      <c r="AN276" s="100"/>
      <c r="AO276" s="111"/>
      <c r="AP276" s="100"/>
      <c r="AQ276" s="100"/>
      <c r="AR276" s="111"/>
      <c r="AS276" s="142"/>
      <c r="AT276" s="150"/>
      <c r="AU276" s="15"/>
      <c r="AV276" s="15"/>
    </row>
    <row r="277" spans="1:48" ht="17" thickBot="1">
      <c r="A277" s="92" t="s">
        <v>4</v>
      </c>
      <c r="B277" s="212">
        <f>SUM(J277+K277+L277+M277+N277+S277+V277+W277+X277+AA277+AI277+AJ277+AI277+AM277+AP277+AQ277+AS277+AT277+AU277+AV277)</f>
        <v>0</v>
      </c>
      <c r="C277" s="217">
        <f t="shared" si="35"/>
        <v>0</v>
      </c>
      <c r="D277" s="144"/>
      <c r="E277" s="145"/>
      <c r="F277" s="146"/>
      <c r="G277" s="147"/>
      <c r="H277" s="114"/>
      <c r="I277" s="114"/>
      <c r="J277" s="112"/>
      <c r="K277" s="112"/>
      <c r="L277" s="112"/>
      <c r="M277" s="112"/>
      <c r="N277" s="112"/>
      <c r="O277" s="114"/>
      <c r="P277" s="164"/>
      <c r="Q277" s="118"/>
      <c r="R277" s="121"/>
      <c r="S277" s="112"/>
      <c r="T277" s="110"/>
      <c r="U277" s="110"/>
      <c r="V277" s="100"/>
      <c r="W277" s="100"/>
      <c r="X277" s="100"/>
      <c r="Y277" s="110"/>
      <c r="Z277" s="110"/>
      <c r="AA277" s="100"/>
      <c r="AB277" s="109"/>
      <c r="AC277" s="108"/>
      <c r="AD277" s="109"/>
      <c r="AE277" s="109"/>
      <c r="AF277" s="109"/>
      <c r="AG277" s="109"/>
      <c r="AH277" s="100"/>
      <c r="AI277" s="100"/>
      <c r="AJ277" s="142"/>
      <c r="AK277" s="448"/>
      <c r="AL277" s="111"/>
      <c r="AM277" s="100"/>
      <c r="AN277" s="100"/>
      <c r="AO277" s="111"/>
      <c r="AP277" s="100"/>
      <c r="AQ277" s="100"/>
      <c r="AR277" s="111"/>
      <c r="AS277" s="142"/>
      <c r="AT277" s="150"/>
      <c r="AU277" s="15"/>
      <c r="AV277" s="15"/>
    </row>
    <row r="278" spans="1:48" ht="21.1">
      <c r="A278" s="89" t="s">
        <v>66</v>
      </c>
      <c r="B278" s="209"/>
      <c r="C278" s="214"/>
      <c r="D278" s="133"/>
      <c r="E278" s="134"/>
      <c r="F278" s="135"/>
      <c r="G278" s="136"/>
      <c r="H278" s="96" t="s">
        <v>371</v>
      </c>
      <c r="I278" s="96" t="s">
        <v>761</v>
      </c>
      <c r="J278" s="75" t="s">
        <v>767</v>
      </c>
      <c r="K278" s="75" t="s">
        <v>767</v>
      </c>
      <c r="L278" s="75" t="s">
        <v>767</v>
      </c>
      <c r="M278" s="75" t="s">
        <v>767</v>
      </c>
      <c r="N278" s="75" t="s">
        <v>767</v>
      </c>
      <c r="O278" s="96" t="s">
        <v>767</v>
      </c>
      <c r="P278" s="163"/>
      <c r="Q278" s="109" t="s">
        <v>767</v>
      </c>
      <c r="R278" s="111"/>
      <c r="S278" s="100" t="s">
        <v>767</v>
      </c>
      <c r="T278" s="101" t="s">
        <v>767</v>
      </c>
      <c r="U278" s="101" t="s">
        <v>767</v>
      </c>
      <c r="V278" s="102" t="s">
        <v>767</v>
      </c>
      <c r="W278" s="102" t="s">
        <v>767</v>
      </c>
      <c r="X278" s="102" t="s">
        <v>767</v>
      </c>
      <c r="Y278" s="101" t="s">
        <v>767</v>
      </c>
      <c r="Z278" s="101" t="s">
        <v>767</v>
      </c>
      <c r="AA278" s="102" t="s">
        <v>767</v>
      </c>
      <c r="AB278" s="99" t="s">
        <v>767</v>
      </c>
      <c r="AC278" s="98"/>
      <c r="AD278" s="99" t="s">
        <v>767</v>
      </c>
      <c r="AE278" s="99" t="s">
        <v>767</v>
      </c>
      <c r="AF278" s="99" t="s">
        <v>767</v>
      </c>
      <c r="AG278" s="99"/>
      <c r="AH278" s="102"/>
      <c r="AI278" s="102"/>
      <c r="AJ278" s="138"/>
      <c r="AK278" s="446"/>
      <c r="AL278" s="103"/>
      <c r="AM278" s="102"/>
      <c r="AN278" s="102"/>
      <c r="AO278" s="103"/>
      <c r="AP278" s="102"/>
      <c r="AQ278" s="102"/>
      <c r="AR278" s="103"/>
      <c r="AS278" s="138"/>
      <c r="AT278" s="478"/>
    </row>
    <row r="279" spans="1:48" ht="16.3">
      <c r="A279" s="611" t="s">
        <v>1</v>
      </c>
      <c r="B279" s="210">
        <f>SUM(J279+K279+L279+M279+N279+S279+V279+W279+X279+AA279+AI279+AJ279+AI279+AM279+AP279+AQ279+AS279+AT279+AU279+AV279+AN279)+48</f>
        <v>48</v>
      </c>
      <c r="C279" s="215">
        <f>SUM(J279+K279+L279+M279+N279+S279+W279+X279+V279+AA279+AJ279+AI279+AJ279+AN279+AQ279+AM279+AT279+AU279+AV279+AW279+AP279+AS279)+87</f>
        <v>87</v>
      </c>
      <c r="D279" s="133"/>
      <c r="E279" s="134"/>
      <c r="F279" s="135"/>
      <c r="G279" s="136"/>
      <c r="H279" s="96">
        <v>1</v>
      </c>
      <c r="I279" s="96"/>
      <c r="J279" s="75"/>
      <c r="K279" s="75"/>
      <c r="L279" s="75"/>
      <c r="M279" s="75"/>
      <c r="N279" s="75"/>
      <c r="O279" s="96"/>
      <c r="P279" s="163"/>
      <c r="Q279" s="109"/>
      <c r="R279" s="111"/>
      <c r="S279" s="100"/>
      <c r="T279" s="110"/>
      <c r="U279" s="110"/>
      <c r="V279" s="100"/>
      <c r="W279" s="100"/>
      <c r="X279" s="100"/>
      <c r="Y279" s="110"/>
      <c r="Z279" s="110"/>
      <c r="AA279" s="100"/>
      <c r="AB279" s="109"/>
      <c r="AC279" s="108"/>
      <c r="AD279" s="109"/>
      <c r="AE279" s="109"/>
      <c r="AF279" s="109"/>
      <c r="AG279" s="109"/>
      <c r="AH279" s="100"/>
      <c r="AI279" s="100"/>
      <c r="AJ279" s="142"/>
      <c r="AK279" s="448"/>
      <c r="AL279" s="111"/>
      <c r="AM279" s="100"/>
      <c r="AN279" s="100"/>
      <c r="AO279" s="111"/>
      <c r="AP279" s="100"/>
      <c r="AQ279" s="100"/>
      <c r="AR279" s="111"/>
      <c r="AS279" s="142"/>
      <c r="AT279" s="150"/>
    </row>
    <row r="280" spans="1:48" ht="16.3">
      <c r="A280" s="611" t="s">
        <v>2</v>
      </c>
      <c r="B280" s="210">
        <f>SUM(J280+K280+L280+M280+N280+S280+V280+W280+X280+AA280+AI280+AJ280+AI280+AM280+AP280+AQ280+AS280+AT280+AU280+AV280)+15</f>
        <v>15</v>
      </c>
      <c r="C280" s="215">
        <f>SUM(J280+K280+L280+M280+N280+S280+W280+X280+V280+AA280+AJ280+AI280+AJ280+AN280+AQ280+AM280+AT280+AU280+AV280+AW280+AP280+AS280)+34</f>
        <v>34</v>
      </c>
      <c r="D280" s="133"/>
      <c r="E280" s="134"/>
      <c r="F280" s="135"/>
      <c r="G280" s="136"/>
      <c r="H280" s="96"/>
      <c r="I280" s="96"/>
      <c r="J280" s="75"/>
      <c r="K280" s="75"/>
      <c r="L280" s="75"/>
      <c r="M280" s="75"/>
      <c r="N280" s="75"/>
      <c r="O280" s="96"/>
      <c r="P280" s="163"/>
      <c r="Q280" s="109"/>
      <c r="R280" s="111"/>
      <c r="S280" s="100"/>
      <c r="T280" s="110"/>
      <c r="U280" s="110"/>
      <c r="V280" s="100"/>
      <c r="W280" s="100"/>
      <c r="X280" s="100"/>
      <c r="Y280" s="110"/>
      <c r="Z280" s="110"/>
      <c r="AA280" s="100"/>
      <c r="AB280" s="109"/>
      <c r="AC280" s="108"/>
      <c r="AD280" s="109"/>
      <c r="AE280" s="109"/>
      <c r="AF280" s="109"/>
      <c r="AG280" s="109"/>
      <c r="AH280" s="100"/>
      <c r="AI280" s="100"/>
      <c r="AJ280" s="142"/>
      <c r="AK280" s="448"/>
      <c r="AL280" s="111"/>
      <c r="AM280" s="100"/>
      <c r="AN280" s="100"/>
      <c r="AO280" s="111"/>
      <c r="AP280" s="100"/>
      <c r="AQ280" s="100"/>
      <c r="AR280" s="111"/>
      <c r="AS280" s="142"/>
      <c r="AT280" s="150"/>
    </row>
    <row r="281" spans="1:48" ht="16.3">
      <c r="A281" s="91" t="s">
        <v>363</v>
      </c>
      <c r="B281" s="209">
        <f>SUM(B279+B280)</f>
        <v>63</v>
      </c>
      <c r="C281" s="214">
        <f>SUM(C279+C280)</f>
        <v>121</v>
      </c>
      <c r="D281" s="133"/>
      <c r="E281" s="134"/>
      <c r="F281" s="135"/>
      <c r="G281" s="136"/>
      <c r="H281" s="96"/>
      <c r="I281" s="96"/>
      <c r="J281" s="75"/>
      <c r="K281" s="75"/>
      <c r="L281" s="75"/>
      <c r="M281" s="75"/>
      <c r="N281" s="75"/>
      <c r="O281" s="96"/>
      <c r="P281" s="163"/>
      <c r="Q281" s="109"/>
      <c r="R281" s="111"/>
      <c r="S281" s="100"/>
      <c r="T281" s="110"/>
      <c r="U281" s="110"/>
      <c r="V281" s="100"/>
      <c r="W281" s="100"/>
      <c r="X281" s="100"/>
      <c r="Y281" s="110"/>
      <c r="Z281" s="110"/>
      <c r="AA281" s="100"/>
      <c r="AB281" s="109"/>
      <c r="AC281" s="108"/>
      <c r="AD281" s="109"/>
      <c r="AE281" s="109"/>
      <c r="AF281" s="109"/>
      <c r="AG281" s="109"/>
      <c r="AH281" s="100"/>
      <c r="AI281" s="100"/>
      <c r="AJ281" s="142"/>
      <c r="AK281" s="448"/>
      <c r="AL281" s="111"/>
      <c r="AM281" s="100"/>
      <c r="AN281" s="100"/>
      <c r="AO281" s="111"/>
      <c r="AP281" s="100"/>
      <c r="AQ281" s="100"/>
      <c r="AR281" s="111"/>
      <c r="AS281" s="142"/>
      <c r="AT281" s="150"/>
    </row>
    <row r="282" spans="1:48" ht="16.3">
      <c r="A282" s="611" t="s">
        <v>362</v>
      </c>
      <c r="B282" s="210">
        <f>SUM(J282+K282+L282+M282+N282+S282+V282+W282+X282+AA282+AI282+AJ282+AI282+AM282+AP282+AQ282+AS282+AT282+AU282+AV282)+2</f>
        <v>2</v>
      </c>
      <c r="C282" s="215">
        <f>SUM(J282+K282+L282+M282+N282+S282+W282+X282+V282+AA282+AJ282+AI282+AJ282+AN282+AQ282+AM282+AT282+AU282+AV282+AW282+AP282+AS282)+2</f>
        <v>2</v>
      </c>
      <c r="D282" s="133"/>
      <c r="E282" s="134"/>
      <c r="F282" s="135"/>
      <c r="G282" s="136"/>
      <c r="H282" s="96"/>
      <c r="I282" s="96"/>
      <c r="J282" s="75"/>
      <c r="K282" s="75"/>
      <c r="L282" s="75"/>
      <c r="M282" s="75"/>
      <c r="N282" s="75"/>
      <c r="O282" s="96"/>
      <c r="P282" s="163"/>
      <c r="Q282" s="109"/>
      <c r="R282" s="111"/>
      <c r="S282" s="100"/>
      <c r="T282" s="110"/>
      <c r="U282" s="110"/>
      <c r="V282" s="100"/>
      <c r="W282" s="100"/>
      <c r="X282" s="100"/>
      <c r="Y282" s="110"/>
      <c r="Z282" s="110"/>
      <c r="AA282" s="100"/>
      <c r="AB282" s="109"/>
      <c r="AC282" s="108"/>
      <c r="AD282" s="109"/>
      <c r="AE282" s="109"/>
      <c r="AF282" s="109"/>
      <c r="AG282" s="109"/>
      <c r="AH282" s="100"/>
      <c r="AI282" s="100"/>
      <c r="AJ282" s="142"/>
      <c r="AK282" s="448"/>
      <c r="AL282" s="111"/>
      <c r="AM282" s="100"/>
      <c r="AN282" s="100"/>
      <c r="AO282" s="111"/>
      <c r="AP282" s="100"/>
      <c r="AQ282" s="100"/>
      <c r="AR282" s="111"/>
      <c r="AS282" s="142"/>
      <c r="AT282" s="150"/>
    </row>
    <row r="283" spans="1:48" ht="16.3">
      <c r="A283" s="91" t="s">
        <v>3</v>
      </c>
      <c r="B283" s="209">
        <f>SUM(J283+K283+L283+M283+N283+S283+V283+W283+X283+AA283+AI283+AJ283+AI283+AM283+AP283+AQ283+AS283+AT283+AU283+AV283)+16</f>
        <v>16</v>
      </c>
      <c r="C283" s="214">
        <f>SUM(J283+K283+L283+M283+N283+S283+W283+X283+V283+AA283+AJ283+AI283+AJ283+AN283+AQ283+AM283+AT283+AU283+AV283+AW283+AP283+AS283)+21</f>
        <v>21</v>
      </c>
      <c r="D283" s="133"/>
      <c r="E283" s="134"/>
      <c r="F283" s="135"/>
      <c r="G283" s="136"/>
      <c r="H283" s="96"/>
      <c r="I283" s="96"/>
      <c r="J283" s="75"/>
      <c r="K283" s="75"/>
      <c r="L283" s="75"/>
      <c r="M283" s="75"/>
      <c r="N283" s="75"/>
      <c r="O283" s="96"/>
      <c r="P283" s="163"/>
      <c r="Q283" s="109"/>
      <c r="R283" s="111"/>
      <c r="S283" s="100"/>
      <c r="T283" s="110"/>
      <c r="U283" s="110"/>
      <c r="V283" s="100"/>
      <c r="W283" s="100"/>
      <c r="X283" s="100"/>
      <c r="Y283" s="110"/>
      <c r="Z283" s="110"/>
      <c r="AA283" s="100"/>
      <c r="AB283" s="109"/>
      <c r="AC283" s="108"/>
      <c r="AD283" s="109"/>
      <c r="AE283" s="109"/>
      <c r="AF283" s="109"/>
      <c r="AG283" s="109"/>
      <c r="AH283" s="100"/>
      <c r="AI283" s="100"/>
      <c r="AJ283" s="142"/>
      <c r="AK283" s="448"/>
      <c r="AL283" s="111"/>
      <c r="AM283" s="150"/>
      <c r="AN283" s="100"/>
      <c r="AO283" s="111"/>
      <c r="AP283" s="100"/>
      <c r="AQ283" s="100"/>
      <c r="AR283" s="111"/>
      <c r="AS283" s="142"/>
      <c r="AT283" s="150"/>
    </row>
    <row r="284" spans="1:48" ht="17" thickBot="1">
      <c r="A284" s="92" t="s">
        <v>4</v>
      </c>
      <c r="B284" s="212">
        <f>SUM(J284+K284+L284+M284+N284+S284+V284+W284+X284+AA284+AI284+AJ284+AI284+AM284+AP284+AQ284+AS284+AT284+AU284+AV284)+80</f>
        <v>80</v>
      </c>
      <c r="C284" s="217">
        <f>SUM(J284+K284+L284+M284+N284+S284+W284+X284+V284+AA284+AJ284+AI284+AJ284+AN284+AQ284+AM284+AT284+AU284+AV284+AW284+AP284+AS284)+105</f>
        <v>105</v>
      </c>
      <c r="D284" s="144"/>
      <c r="E284" s="145"/>
      <c r="F284" s="146"/>
      <c r="G284" s="147"/>
      <c r="H284" s="114"/>
      <c r="I284" s="114"/>
      <c r="J284" s="112"/>
      <c r="K284" s="112"/>
      <c r="L284" s="112"/>
      <c r="M284" s="112"/>
      <c r="N284" s="112"/>
      <c r="O284" s="114"/>
      <c r="P284" s="164"/>
      <c r="Q284" s="118"/>
      <c r="R284" s="130"/>
      <c r="S284" s="100"/>
      <c r="T284" s="110"/>
      <c r="U284" s="110"/>
      <c r="V284" s="100"/>
      <c r="W284" s="100"/>
      <c r="X284" s="100"/>
      <c r="Y284" s="110"/>
      <c r="Z284" s="110"/>
      <c r="AA284" s="100"/>
      <c r="AB284" s="109"/>
      <c r="AC284" s="108"/>
      <c r="AD284" s="109"/>
      <c r="AE284" s="109"/>
      <c r="AF284" s="109"/>
      <c r="AG284" s="109"/>
      <c r="AH284" s="100"/>
      <c r="AI284" s="100"/>
      <c r="AJ284" s="142"/>
      <c r="AK284" s="448"/>
      <c r="AL284" s="111"/>
      <c r="AM284" s="100"/>
      <c r="AN284" s="100"/>
      <c r="AO284" s="111"/>
      <c r="AP284" s="100"/>
      <c r="AQ284" s="100"/>
      <c r="AR284" s="111"/>
      <c r="AS284" s="142"/>
      <c r="AT284" s="150"/>
    </row>
    <row r="285" spans="1:48" ht="21.1">
      <c r="A285" s="89" t="s">
        <v>155</v>
      </c>
      <c r="B285" s="209"/>
      <c r="C285" s="214"/>
      <c r="D285" s="133"/>
      <c r="E285" s="134"/>
      <c r="F285" s="135"/>
      <c r="G285" s="136"/>
      <c r="H285" s="96"/>
      <c r="I285" s="96"/>
      <c r="J285" s="75"/>
      <c r="K285" s="75" t="s">
        <v>371</v>
      </c>
      <c r="L285" s="75" t="s">
        <v>371</v>
      </c>
      <c r="M285" s="75" t="s">
        <v>371</v>
      </c>
      <c r="N285" s="75" t="s">
        <v>371</v>
      </c>
      <c r="O285" s="96"/>
      <c r="P285" s="163"/>
      <c r="Q285" s="109"/>
      <c r="R285" s="111"/>
      <c r="S285" s="102">
        <v>2</v>
      </c>
      <c r="T285" s="101" t="s">
        <v>371</v>
      </c>
      <c r="U285" s="101"/>
      <c r="V285" s="102" t="s">
        <v>371</v>
      </c>
      <c r="W285" s="102" t="s">
        <v>339</v>
      </c>
      <c r="X285" s="102" t="s">
        <v>339</v>
      </c>
      <c r="Y285" s="101" t="s">
        <v>339</v>
      </c>
      <c r="Z285" s="101" t="s">
        <v>339</v>
      </c>
      <c r="AA285" s="102" t="s">
        <v>339</v>
      </c>
      <c r="AB285" s="99" t="s">
        <v>371</v>
      </c>
      <c r="AC285" s="98"/>
      <c r="AD285" s="99" t="s">
        <v>371</v>
      </c>
      <c r="AE285" s="99" t="s">
        <v>371</v>
      </c>
      <c r="AF285" s="99" t="s">
        <v>371</v>
      </c>
      <c r="AG285" s="99"/>
      <c r="AH285" s="102"/>
      <c r="AI285" s="102"/>
      <c r="AJ285" s="138"/>
      <c r="AK285" s="446"/>
      <c r="AL285" s="103"/>
      <c r="AM285" s="102"/>
      <c r="AN285" s="102"/>
      <c r="AO285" s="103"/>
      <c r="AP285" s="102"/>
      <c r="AQ285" s="102"/>
      <c r="AR285" s="103"/>
      <c r="AS285" s="138"/>
      <c r="AT285" s="478"/>
    </row>
    <row r="286" spans="1:48" ht="16.3">
      <c r="A286" s="611" t="s">
        <v>1</v>
      </c>
      <c r="B286" s="210">
        <f>SUM(J286+K286+L286+M286+N286+S286+V286+W286+X286+AA286+AI286+AJ286+AI286+AM286+AP286+AQ286+AS286+AT286+AU286+AV286+AN286)+16</f>
        <v>22</v>
      </c>
      <c r="C286" s="215">
        <f>B286</f>
        <v>22</v>
      </c>
      <c r="D286" s="133"/>
      <c r="E286" s="134"/>
      <c r="F286" s="135"/>
      <c r="G286" s="136"/>
      <c r="H286" s="96"/>
      <c r="I286" s="96"/>
      <c r="J286" s="75"/>
      <c r="K286" s="75">
        <v>1</v>
      </c>
      <c r="L286" s="75">
        <v>1</v>
      </c>
      <c r="M286" s="75">
        <v>1</v>
      </c>
      <c r="N286" s="75">
        <v>1</v>
      </c>
      <c r="O286" s="96"/>
      <c r="P286" s="163"/>
      <c r="Q286" s="109"/>
      <c r="R286" s="111"/>
      <c r="S286" s="100">
        <v>1</v>
      </c>
      <c r="T286" s="110">
        <v>1</v>
      </c>
      <c r="U286" s="110"/>
      <c r="V286" s="100">
        <v>1</v>
      </c>
      <c r="W286" s="100"/>
      <c r="X286" s="100"/>
      <c r="Y286" s="110"/>
      <c r="Z286" s="110"/>
      <c r="AA286" s="100"/>
      <c r="AB286" s="109">
        <v>1</v>
      </c>
      <c r="AC286" s="108"/>
      <c r="AD286" s="109">
        <v>1</v>
      </c>
      <c r="AE286" s="109">
        <v>1</v>
      </c>
      <c r="AF286" s="109">
        <v>1</v>
      </c>
      <c r="AG286" s="109"/>
      <c r="AH286" s="100"/>
      <c r="AI286" s="100"/>
      <c r="AJ286" s="142"/>
      <c r="AK286" s="448"/>
      <c r="AL286" s="111"/>
      <c r="AM286" s="100"/>
      <c r="AN286" s="100"/>
      <c r="AO286" s="111"/>
      <c r="AP286" s="100"/>
      <c r="AQ286" s="100"/>
      <c r="AR286" s="111"/>
      <c r="AS286" s="142"/>
      <c r="AT286" s="150"/>
    </row>
    <row r="287" spans="1:48" ht="16.3">
      <c r="A287" s="611" t="s">
        <v>2</v>
      </c>
      <c r="B287" s="210">
        <f>SUM(J287+K287+L287+M287+N287+S287+V287+W287+X287+AA287+AI287+AJ287+AI287+AM287+AP287+AQ287+AS287+AT287+AU287+AV287)+20</f>
        <v>20</v>
      </c>
      <c r="C287" s="215">
        <f t="shared" ref="C287:C291" si="36">B287</f>
        <v>20</v>
      </c>
      <c r="D287" s="133"/>
      <c r="E287" s="134"/>
      <c r="F287" s="135"/>
      <c r="G287" s="136"/>
      <c r="H287" s="96"/>
      <c r="I287" s="96"/>
      <c r="J287" s="75"/>
      <c r="K287" s="75"/>
      <c r="L287" s="75"/>
      <c r="M287" s="75"/>
      <c r="N287" s="75"/>
      <c r="O287" s="96"/>
      <c r="P287" s="163"/>
      <c r="Q287" s="109"/>
      <c r="R287" s="111"/>
      <c r="S287" s="100"/>
      <c r="T287" s="110"/>
      <c r="U287" s="110"/>
      <c r="V287" s="100"/>
      <c r="W287" s="100"/>
      <c r="X287" s="100"/>
      <c r="Y287" s="110"/>
      <c r="Z287" s="110"/>
      <c r="AA287" s="100"/>
      <c r="AB287" s="109"/>
      <c r="AC287" s="108"/>
      <c r="AD287" s="109"/>
      <c r="AE287" s="109"/>
      <c r="AF287" s="109"/>
      <c r="AG287" s="109"/>
      <c r="AH287" s="100"/>
      <c r="AI287" s="100"/>
      <c r="AJ287" s="142"/>
      <c r="AK287" s="448"/>
      <c r="AL287" s="111"/>
      <c r="AM287" s="100"/>
      <c r="AN287" s="100"/>
      <c r="AO287" s="111"/>
      <c r="AP287" s="100"/>
      <c r="AQ287" s="100"/>
      <c r="AR287" s="111"/>
      <c r="AS287" s="142"/>
      <c r="AT287" s="150"/>
    </row>
    <row r="288" spans="1:48" ht="16.3">
      <c r="A288" s="91" t="s">
        <v>363</v>
      </c>
      <c r="B288" s="209">
        <f>SUM(B286+B287)</f>
        <v>42</v>
      </c>
      <c r="C288" s="214">
        <f t="shared" si="36"/>
        <v>42</v>
      </c>
      <c r="D288" s="133"/>
      <c r="E288" s="134"/>
      <c r="F288" s="135"/>
      <c r="G288" s="136"/>
      <c r="H288" s="96"/>
      <c r="I288" s="96"/>
      <c r="J288" s="75"/>
      <c r="K288" s="75"/>
      <c r="L288" s="75"/>
      <c r="M288" s="75"/>
      <c r="N288" s="75"/>
      <c r="O288" s="96"/>
      <c r="P288" s="163"/>
      <c r="Q288" s="109"/>
      <c r="R288" s="111"/>
      <c r="S288" s="100"/>
      <c r="T288" s="110"/>
      <c r="U288" s="110"/>
      <c r="V288" s="100"/>
      <c r="W288" s="100"/>
      <c r="X288" s="100"/>
      <c r="Y288" s="110"/>
      <c r="Z288" s="110"/>
      <c r="AA288" s="100"/>
      <c r="AB288" s="109"/>
      <c r="AC288" s="108"/>
      <c r="AD288" s="109"/>
      <c r="AE288" s="109"/>
      <c r="AF288" s="109"/>
      <c r="AG288" s="109"/>
      <c r="AH288" s="100"/>
      <c r="AI288" s="100"/>
      <c r="AJ288" s="142"/>
      <c r="AK288" s="448"/>
      <c r="AL288" s="111"/>
      <c r="AM288" s="100"/>
      <c r="AN288" s="100"/>
      <c r="AO288" s="111"/>
      <c r="AP288" s="100"/>
      <c r="AQ288" s="100"/>
      <c r="AR288" s="111"/>
      <c r="AS288" s="142"/>
      <c r="AT288" s="150"/>
    </row>
    <row r="289" spans="1:46" ht="16.3">
      <c r="A289" s="611" t="s">
        <v>362</v>
      </c>
      <c r="B289" s="210">
        <f>SUM(J289+K289+L289+M289+N289+S289+V289+W289+X289+AA289+AI289+AJ289+AI289+AM289+AP289+AQ289+AS289+AT289+AU289+AV289)+1</f>
        <v>1</v>
      </c>
      <c r="C289" s="215">
        <f t="shared" si="36"/>
        <v>1</v>
      </c>
      <c r="D289" s="133"/>
      <c r="E289" s="134"/>
      <c r="F289" s="135"/>
      <c r="G289" s="136"/>
      <c r="H289" s="96"/>
      <c r="I289" s="96"/>
      <c r="J289" s="75"/>
      <c r="K289" s="75"/>
      <c r="L289" s="75"/>
      <c r="M289" s="75"/>
      <c r="N289" s="75"/>
      <c r="O289" s="96"/>
      <c r="P289" s="163"/>
      <c r="Q289" s="109"/>
      <c r="R289" s="111"/>
      <c r="S289" s="100"/>
      <c r="T289" s="110"/>
      <c r="U289" s="110"/>
      <c r="V289" s="100"/>
      <c r="W289" s="100"/>
      <c r="X289" s="100"/>
      <c r="Y289" s="110"/>
      <c r="Z289" s="110"/>
      <c r="AA289" s="100"/>
      <c r="AB289" s="109"/>
      <c r="AC289" s="108"/>
      <c r="AD289" s="109"/>
      <c r="AE289" s="109"/>
      <c r="AF289" s="109"/>
      <c r="AG289" s="109"/>
      <c r="AH289" s="100"/>
      <c r="AI289" s="100"/>
      <c r="AJ289" s="142"/>
      <c r="AK289" s="448"/>
      <c r="AL289" s="111"/>
      <c r="AM289" s="100"/>
      <c r="AN289" s="100"/>
      <c r="AO289" s="111"/>
      <c r="AP289" s="100"/>
      <c r="AQ289" s="100"/>
      <c r="AR289" s="111"/>
      <c r="AS289" s="142"/>
      <c r="AT289" s="150"/>
    </row>
    <row r="290" spans="1:46" ht="16.3">
      <c r="A290" s="91" t="s">
        <v>3</v>
      </c>
      <c r="B290" s="209">
        <f>SUM(J290+K290+L290+M290+N290+S290+V290+W290+X290+AA290+AI290+AJ290+AI290+AM290+AP290+AQ290+AS290+AT290+AU290+AV290)+11</f>
        <v>12</v>
      </c>
      <c r="C290" s="214">
        <f t="shared" si="36"/>
        <v>12</v>
      </c>
      <c r="D290" s="133"/>
      <c r="E290" s="134"/>
      <c r="F290" s="135"/>
      <c r="G290" s="136"/>
      <c r="H290" s="96"/>
      <c r="I290" s="96"/>
      <c r="J290" s="75"/>
      <c r="K290" s="75"/>
      <c r="L290" s="75"/>
      <c r="M290" s="75">
        <v>1</v>
      </c>
      <c r="N290" s="75"/>
      <c r="O290" s="96"/>
      <c r="P290" s="163"/>
      <c r="Q290" s="109"/>
      <c r="R290" s="111"/>
      <c r="S290" s="100"/>
      <c r="T290" s="110"/>
      <c r="U290" s="110"/>
      <c r="V290" s="100"/>
      <c r="W290" s="100"/>
      <c r="X290" s="100"/>
      <c r="Y290" s="110"/>
      <c r="Z290" s="110"/>
      <c r="AA290" s="100"/>
      <c r="AB290" s="109"/>
      <c r="AC290" s="108"/>
      <c r="AD290" s="109"/>
      <c r="AE290" s="109">
        <v>1</v>
      </c>
      <c r="AF290" s="109"/>
      <c r="AG290" s="109"/>
      <c r="AH290" s="100"/>
      <c r="AI290" s="100"/>
      <c r="AJ290" s="142"/>
      <c r="AK290" s="448"/>
      <c r="AL290" s="111"/>
      <c r="AM290" s="100"/>
      <c r="AN290" s="100"/>
      <c r="AO290" s="111"/>
      <c r="AP290" s="100"/>
      <c r="AQ290" s="100"/>
      <c r="AR290" s="111"/>
      <c r="AS290" s="142"/>
      <c r="AT290" s="150"/>
    </row>
    <row r="291" spans="1:46" ht="17" thickBot="1">
      <c r="A291" s="92" t="s">
        <v>4</v>
      </c>
      <c r="B291" s="212">
        <f>SUM(J291+K291+L291+M291+N291+S291+V291+W291+X291+AA291+AI291+AJ291+AI291+AM291+AP291+AQ291+AS291+AT291+AU291+AV291)+55</f>
        <v>60</v>
      </c>
      <c r="C291" s="217">
        <f t="shared" si="36"/>
        <v>60</v>
      </c>
      <c r="D291" s="144"/>
      <c r="E291" s="145"/>
      <c r="F291" s="146"/>
      <c r="G291" s="147"/>
      <c r="H291" s="114"/>
      <c r="I291" s="114"/>
      <c r="J291" s="112"/>
      <c r="K291" s="112"/>
      <c r="L291" s="112"/>
      <c r="M291" s="112">
        <v>5</v>
      </c>
      <c r="N291" s="112"/>
      <c r="O291" s="114"/>
      <c r="P291" s="164"/>
      <c r="Q291" s="118"/>
      <c r="R291" s="130"/>
      <c r="S291" s="116"/>
      <c r="T291" s="120"/>
      <c r="U291" s="120"/>
      <c r="V291" s="116"/>
      <c r="W291" s="116"/>
      <c r="X291" s="116"/>
      <c r="Y291" s="120"/>
      <c r="Z291" s="120"/>
      <c r="AA291" s="116"/>
      <c r="AB291" s="118"/>
      <c r="AC291" s="117"/>
      <c r="AD291" s="118"/>
      <c r="AE291" s="118">
        <v>5</v>
      </c>
      <c r="AF291" s="118"/>
      <c r="AG291" s="118"/>
      <c r="AH291" s="116"/>
      <c r="AI291" s="116"/>
      <c r="AJ291" s="149"/>
      <c r="AK291" s="449"/>
      <c r="AL291" s="121"/>
      <c r="AM291" s="116"/>
      <c r="AN291" s="116"/>
      <c r="AO291" s="121"/>
      <c r="AP291" s="116"/>
      <c r="AQ291" s="116"/>
      <c r="AR291" s="121"/>
      <c r="AS291" s="149"/>
      <c r="AT291" s="176"/>
    </row>
    <row r="292" spans="1:46" ht="21.1">
      <c r="A292" s="89" t="s">
        <v>587</v>
      </c>
      <c r="B292" s="209"/>
      <c r="C292" s="214"/>
      <c r="D292" s="133"/>
      <c r="E292" s="134"/>
      <c r="F292" s="135"/>
      <c r="G292" s="136"/>
      <c r="H292" s="96" t="s">
        <v>432</v>
      </c>
      <c r="I292" s="96"/>
      <c r="J292" s="75">
        <v>2</v>
      </c>
      <c r="K292" s="75" t="s">
        <v>375</v>
      </c>
      <c r="L292" s="75" t="s">
        <v>375</v>
      </c>
      <c r="M292" s="75" t="s">
        <v>375</v>
      </c>
      <c r="N292" s="75" t="s">
        <v>375</v>
      </c>
      <c r="O292" s="96"/>
      <c r="P292" s="163"/>
      <c r="Q292" s="109"/>
      <c r="R292" s="111"/>
      <c r="S292" s="100"/>
      <c r="T292" s="110" t="s">
        <v>375</v>
      </c>
      <c r="U292" s="110" t="s">
        <v>371</v>
      </c>
      <c r="V292" s="100" t="s">
        <v>375</v>
      </c>
      <c r="W292" s="100" t="s">
        <v>371</v>
      </c>
      <c r="X292" s="100" t="s">
        <v>339</v>
      </c>
      <c r="Y292" s="110" t="s">
        <v>339</v>
      </c>
      <c r="Z292" s="110" t="s">
        <v>339</v>
      </c>
      <c r="AA292" s="100" t="s">
        <v>339</v>
      </c>
      <c r="AB292" s="109" t="s">
        <v>339</v>
      </c>
      <c r="AC292" s="108"/>
      <c r="AD292" s="109" t="s">
        <v>339</v>
      </c>
      <c r="AE292" s="109" t="s">
        <v>339</v>
      </c>
      <c r="AF292" s="109" t="s">
        <v>375</v>
      </c>
      <c r="AG292" s="109"/>
      <c r="AH292" s="100"/>
      <c r="AI292" s="100"/>
      <c r="AJ292" s="142"/>
      <c r="AK292" s="448"/>
      <c r="AL292" s="111"/>
      <c r="AM292" s="100"/>
      <c r="AN292" s="100"/>
      <c r="AO292" s="111"/>
      <c r="AP292" s="100"/>
      <c r="AQ292" s="100"/>
      <c r="AR292" s="111"/>
      <c r="AS292" s="142"/>
      <c r="AT292" s="150"/>
    </row>
    <row r="293" spans="1:46" ht="16.3">
      <c r="A293" s="611" t="s">
        <v>1</v>
      </c>
      <c r="B293" s="210">
        <f>SUM(J293+K293+L293+M293+N293+S293+V293+W293+X293+AA293+AI293+AJ293+AI293+AM293+AP293+AQ293+AS293+AT293+AU293+AV293+AN293)</f>
        <v>2</v>
      </c>
      <c r="C293" s="215">
        <f>SUM(J293+K293+L293+M293+N293+S293+W293+X293+V293+AA293+AJ293+AI293+AJ293+AN293+AQ293+AM293+AT293+AU293+AV293+AW293+AP293+AS293)+20</f>
        <v>22</v>
      </c>
      <c r="D293" s="133"/>
      <c r="E293" s="134"/>
      <c r="F293" s="135"/>
      <c r="G293" s="136"/>
      <c r="H293" s="96"/>
      <c r="I293" s="96"/>
      <c r="J293" s="75">
        <v>1</v>
      </c>
      <c r="K293" s="75"/>
      <c r="L293" s="75"/>
      <c r="M293" s="75"/>
      <c r="N293" s="75"/>
      <c r="O293" s="96"/>
      <c r="P293" s="163"/>
      <c r="Q293" s="109"/>
      <c r="R293" s="111"/>
      <c r="S293" s="100"/>
      <c r="T293" s="110"/>
      <c r="U293" s="110">
        <v>1</v>
      </c>
      <c r="V293" s="100"/>
      <c r="W293" s="100">
        <v>1</v>
      </c>
      <c r="X293" s="100"/>
      <c r="Y293" s="110"/>
      <c r="Z293" s="110"/>
      <c r="AA293" s="100"/>
      <c r="AB293" s="109"/>
      <c r="AC293" s="108"/>
      <c r="AD293" s="109"/>
      <c r="AE293" s="109"/>
      <c r="AF293" s="109"/>
      <c r="AG293" s="109"/>
      <c r="AH293" s="100"/>
      <c r="AI293" s="100"/>
      <c r="AJ293" s="142"/>
      <c r="AK293" s="448"/>
      <c r="AL293" s="111"/>
      <c r="AM293" s="100"/>
      <c r="AN293" s="100"/>
      <c r="AO293" s="111"/>
      <c r="AP293" s="100"/>
      <c r="AQ293" s="100"/>
      <c r="AR293" s="111"/>
      <c r="AS293" s="142"/>
      <c r="AT293" s="150"/>
    </row>
    <row r="294" spans="1:46" ht="16.3">
      <c r="A294" s="611" t="s">
        <v>2</v>
      </c>
      <c r="B294" s="210">
        <f>SUM(J294+K294+L294+M294+N294+S294+V294+W294+X294+AA294+AI294+AJ294+AI294+AM294+AP294+AQ294+AS294+AT294+AU294+AV294)</f>
        <v>5</v>
      </c>
      <c r="C294" s="215">
        <f>SUM(J294+K294+L294+M294+N294+S294+W294+X294+V294+AA294+AJ294+AI294+AJ294+AN294+AQ294+AM294+AT294+AU294+AV294+AW294+AP294+AS294)+33</f>
        <v>38</v>
      </c>
      <c r="D294" s="133"/>
      <c r="E294" s="134"/>
      <c r="F294" s="135"/>
      <c r="G294" s="136"/>
      <c r="H294" s="96">
        <v>1</v>
      </c>
      <c r="I294" s="96"/>
      <c r="J294" s="75"/>
      <c r="K294" s="75">
        <v>1</v>
      </c>
      <c r="L294" s="75">
        <v>1</v>
      </c>
      <c r="M294" s="75">
        <v>1</v>
      </c>
      <c r="N294" s="75">
        <v>1</v>
      </c>
      <c r="O294" s="96"/>
      <c r="P294" s="163"/>
      <c r="Q294" s="109"/>
      <c r="R294" s="111"/>
      <c r="S294" s="100"/>
      <c r="T294" s="110">
        <v>1</v>
      </c>
      <c r="U294" s="110"/>
      <c r="V294" s="100">
        <v>1</v>
      </c>
      <c r="W294" s="100"/>
      <c r="X294" s="100"/>
      <c r="Y294" s="110"/>
      <c r="Z294" s="110"/>
      <c r="AA294" s="100"/>
      <c r="AB294" s="109"/>
      <c r="AC294" s="108"/>
      <c r="AD294" s="109"/>
      <c r="AE294" s="109"/>
      <c r="AF294" s="109">
        <v>1</v>
      </c>
      <c r="AG294" s="109"/>
      <c r="AH294" s="100"/>
      <c r="AI294" s="100"/>
      <c r="AJ294" s="142"/>
      <c r="AK294" s="448"/>
      <c r="AL294" s="111"/>
      <c r="AM294" s="100"/>
      <c r="AN294" s="100"/>
      <c r="AO294" s="111"/>
      <c r="AP294" s="100"/>
      <c r="AQ294" s="100"/>
      <c r="AR294" s="111"/>
      <c r="AS294" s="142"/>
      <c r="AT294" s="150"/>
    </row>
    <row r="295" spans="1:46" ht="16.3">
      <c r="A295" s="91" t="s">
        <v>363</v>
      </c>
      <c r="B295" s="209">
        <f>SUM(B293+B294)</f>
        <v>7</v>
      </c>
      <c r="C295" s="214">
        <f>SUM(C293+C294)</f>
        <v>60</v>
      </c>
      <c r="D295" s="133"/>
      <c r="E295" s="134"/>
      <c r="F295" s="135"/>
      <c r="G295" s="136"/>
      <c r="H295" s="96"/>
      <c r="I295" s="96"/>
      <c r="J295" s="75"/>
      <c r="K295" s="75"/>
      <c r="L295" s="75"/>
      <c r="M295" s="75"/>
      <c r="N295" s="75"/>
      <c r="O295" s="96"/>
      <c r="P295" s="163"/>
      <c r="Q295" s="109"/>
      <c r="R295" s="111"/>
      <c r="S295" s="100"/>
      <c r="T295" s="110"/>
      <c r="U295" s="110"/>
      <c r="V295" s="100"/>
      <c r="W295" s="100"/>
      <c r="X295" s="100"/>
      <c r="Y295" s="110"/>
      <c r="Z295" s="110"/>
      <c r="AA295" s="100"/>
      <c r="AB295" s="109"/>
      <c r="AC295" s="108"/>
      <c r="AD295" s="109"/>
      <c r="AE295" s="109"/>
      <c r="AF295" s="109"/>
      <c r="AG295" s="109"/>
      <c r="AH295" s="100"/>
      <c r="AI295" s="100"/>
      <c r="AJ295" s="142"/>
      <c r="AK295" s="448"/>
      <c r="AL295" s="111"/>
      <c r="AM295" s="100"/>
      <c r="AN295" s="100"/>
      <c r="AO295" s="111"/>
      <c r="AP295" s="100"/>
      <c r="AQ295" s="100"/>
      <c r="AR295" s="111"/>
      <c r="AS295" s="142"/>
      <c r="AT295" s="150"/>
    </row>
    <row r="296" spans="1:46" ht="16.3">
      <c r="A296" s="91" t="s">
        <v>3</v>
      </c>
      <c r="B296" s="209">
        <f>SUM(J296+K296+L296+M296+N296+S296+V296+W296+X296+AA296+AI296+AJ296+AI296+AM296+AP296+AQ296+AS296+AT296+AU296+AV296)</f>
        <v>0</v>
      </c>
      <c r="C296" s="214">
        <f>SUM(J296+K296+L296+M296+N296+S296+W296+X296+V296+AA296+AJ296+AI296+AJ296+AN296+AQ296+AM296+AT296+AU296+AV296+AW296+AP296+AS296)+7</f>
        <v>7</v>
      </c>
      <c r="D296" s="133"/>
      <c r="E296" s="134"/>
      <c r="F296" s="135"/>
      <c r="G296" s="136"/>
      <c r="H296" s="96">
        <v>1</v>
      </c>
      <c r="I296" s="96"/>
      <c r="J296" s="75"/>
      <c r="K296" s="75"/>
      <c r="L296" s="75"/>
      <c r="M296" s="75"/>
      <c r="N296" s="75"/>
      <c r="O296" s="96"/>
      <c r="P296" s="163"/>
      <c r="Q296" s="109"/>
      <c r="R296" s="111"/>
      <c r="S296" s="100"/>
      <c r="T296" s="110"/>
      <c r="U296" s="110"/>
      <c r="V296" s="100"/>
      <c r="W296" s="100"/>
      <c r="X296" s="100"/>
      <c r="Y296" s="110"/>
      <c r="Z296" s="110"/>
      <c r="AA296" s="100"/>
      <c r="AB296" s="109"/>
      <c r="AC296" s="108"/>
      <c r="AD296" s="109"/>
      <c r="AE296" s="109"/>
      <c r="AF296" s="109"/>
      <c r="AG296" s="109"/>
      <c r="AH296" s="100"/>
      <c r="AI296" s="100"/>
      <c r="AJ296" s="142"/>
      <c r="AK296" s="448"/>
      <c r="AL296" s="111"/>
      <c r="AM296" s="100"/>
      <c r="AN296" s="100"/>
      <c r="AO296" s="111"/>
      <c r="AP296" s="100"/>
      <c r="AQ296" s="100"/>
      <c r="AR296" s="111"/>
      <c r="AS296" s="142"/>
      <c r="AT296" s="150"/>
    </row>
    <row r="297" spans="1:46" ht="17" thickBot="1">
      <c r="A297" s="92" t="s">
        <v>4</v>
      </c>
      <c r="B297" s="212">
        <f>SUM(J297+K297+L297+M297+N297+S297+V297+W297+X297+AA297+AI297+AJ297+AI297+AM297+AP297+AQ297+AS297+AT297+AU297+AV297)</f>
        <v>0</v>
      </c>
      <c r="C297" s="217">
        <f>SUM(J297+K297+L297+M297+N297+S297+W297+X297+V297+AA297+AJ297+AI297+AJ297+AN297+AQ297+AM297+AT297+AU297+AV297+AW297+AP297+AS297)+35</f>
        <v>35</v>
      </c>
      <c r="D297" s="144"/>
      <c r="E297" s="145"/>
      <c r="F297" s="146"/>
      <c r="G297" s="147"/>
      <c r="H297" s="114">
        <v>5</v>
      </c>
      <c r="I297" s="114"/>
      <c r="J297" s="112"/>
      <c r="K297" s="112"/>
      <c r="L297" s="112"/>
      <c r="M297" s="112"/>
      <c r="N297" s="112"/>
      <c r="O297" s="114"/>
      <c r="P297" s="164"/>
      <c r="Q297" s="118"/>
      <c r="R297" s="121"/>
      <c r="S297" s="112"/>
      <c r="T297" s="110"/>
      <c r="U297" s="110"/>
      <c r="V297" s="100"/>
      <c r="W297" s="100"/>
      <c r="X297" s="100"/>
      <c r="Y297" s="110"/>
      <c r="Z297" s="110"/>
      <c r="AA297" s="100"/>
      <c r="AB297" s="109"/>
      <c r="AC297" s="108"/>
      <c r="AD297" s="109"/>
      <c r="AE297" s="109"/>
      <c r="AF297" s="109"/>
      <c r="AG297" s="109"/>
      <c r="AH297" s="100"/>
      <c r="AI297" s="100"/>
      <c r="AJ297" s="142"/>
      <c r="AK297" s="448"/>
      <c r="AL297" s="111"/>
      <c r="AM297" s="100"/>
      <c r="AN297" s="100"/>
      <c r="AO297" s="111"/>
      <c r="AP297" s="100"/>
      <c r="AQ297" s="100"/>
      <c r="AR297" s="111"/>
      <c r="AS297" s="142"/>
      <c r="AT297" s="150"/>
    </row>
    <row r="298" spans="1:46" ht="21.1">
      <c r="A298" s="89" t="s">
        <v>423</v>
      </c>
      <c r="B298" s="209"/>
      <c r="C298" s="214"/>
      <c r="D298" s="133"/>
      <c r="E298" s="134"/>
      <c r="F298" s="135"/>
      <c r="G298" s="136"/>
      <c r="H298" s="96"/>
      <c r="I298" s="96" t="s">
        <v>371</v>
      </c>
      <c r="J298" s="75"/>
      <c r="K298" s="75"/>
      <c r="L298" s="75"/>
      <c r="M298" s="75"/>
      <c r="N298" s="75"/>
      <c r="O298" s="96" t="s">
        <v>375</v>
      </c>
      <c r="P298" s="163"/>
      <c r="Q298" s="109" t="s">
        <v>375</v>
      </c>
      <c r="R298" s="111"/>
      <c r="S298" s="100"/>
      <c r="T298" s="101"/>
      <c r="U298" s="101"/>
      <c r="V298" s="102"/>
      <c r="W298" s="102" t="s">
        <v>375</v>
      </c>
      <c r="X298" s="102" t="s">
        <v>393</v>
      </c>
      <c r="Y298" s="101" t="s">
        <v>375</v>
      </c>
      <c r="Z298" s="101" t="s">
        <v>375</v>
      </c>
      <c r="AA298" s="102" t="s">
        <v>375</v>
      </c>
      <c r="AB298" s="99"/>
      <c r="AC298" s="98"/>
      <c r="AD298" s="99"/>
      <c r="AE298" s="99"/>
      <c r="AF298" s="99"/>
      <c r="AG298" s="99"/>
      <c r="AH298" s="102"/>
      <c r="AI298" s="102"/>
      <c r="AJ298" s="138"/>
      <c r="AK298" s="446"/>
      <c r="AL298" s="103"/>
      <c r="AM298" s="102"/>
      <c r="AN298" s="102"/>
      <c r="AO298" s="103"/>
      <c r="AP298" s="102"/>
      <c r="AQ298" s="102"/>
      <c r="AR298" s="103"/>
      <c r="AS298" s="138"/>
      <c r="AT298" s="478"/>
    </row>
    <row r="299" spans="1:46" ht="16.3">
      <c r="A299" s="611" t="s">
        <v>1</v>
      </c>
      <c r="B299" s="210">
        <f>SUM(J299+K299+L299+M299+N299+S299+V299+W299+X299+AA299+AI299+AJ299+AI299+AM299+AP299+AQ299+AS299+AT299+AU299+AV299+AN299)</f>
        <v>0</v>
      </c>
      <c r="C299" s="215">
        <f>B299</f>
        <v>0</v>
      </c>
      <c r="D299" s="133"/>
      <c r="E299" s="134"/>
      <c r="F299" s="135"/>
      <c r="G299" s="136"/>
      <c r="H299" s="96"/>
      <c r="I299" s="96">
        <v>1</v>
      </c>
      <c r="J299" s="75"/>
      <c r="K299" s="75"/>
      <c r="L299" s="75"/>
      <c r="M299" s="75"/>
      <c r="N299" s="75"/>
      <c r="O299" s="96"/>
      <c r="P299" s="163"/>
      <c r="Q299" s="109"/>
      <c r="R299" s="111"/>
      <c r="S299" s="100"/>
      <c r="T299" s="110"/>
      <c r="U299" s="110"/>
      <c r="V299" s="100"/>
      <c r="W299" s="100"/>
      <c r="X299" s="100"/>
      <c r="Y299" s="110"/>
      <c r="Z299" s="110"/>
      <c r="AA299" s="100"/>
      <c r="AB299" s="109"/>
      <c r="AC299" s="108"/>
      <c r="AD299" s="109"/>
      <c r="AE299" s="109"/>
      <c r="AF299" s="109"/>
      <c r="AG299" s="109"/>
      <c r="AH299" s="100"/>
      <c r="AI299" s="100"/>
      <c r="AJ299" s="142"/>
      <c r="AK299" s="448"/>
      <c r="AL299" s="111"/>
      <c r="AM299" s="100"/>
      <c r="AN299" s="100"/>
      <c r="AO299" s="111"/>
      <c r="AP299" s="100"/>
      <c r="AQ299" s="100"/>
      <c r="AR299" s="111"/>
      <c r="AS299" s="142"/>
      <c r="AT299" s="150"/>
    </row>
    <row r="300" spans="1:46" ht="16.3">
      <c r="A300" s="611" t="s">
        <v>2</v>
      </c>
      <c r="B300" s="210">
        <f>SUM(J300+K300+L300+M300+N300+S300+V300+W300+X300+AA300+AI300+AJ300+AI300+AM300+AP300+AQ300+AS300+AT300+AU300+AV300)</f>
        <v>2</v>
      </c>
      <c r="C300" s="215">
        <f t="shared" ref="C300:C303" si="37">B300</f>
        <v>2</v>
      </c>
      <c r="D300" s="133"/>
      <c r="E300" s="134"/>
      <c r="F300" s="135"/>
      <c r="G300" s="136"/>
      <c r="H300" s="96"/>
      <c r="I300" s="96"/>
      <c r="J300" s="75"/>
      <c r="K300" s="75"/>
      <c r="L300" s="75"/>
      <c r="M300" s="75"/>
      <c r="N300" s="75"/>
      <c r="O300" s="96">
        <v>1</v>
      </c>
      <c r="P300" s="163"/>
      <c r="Q300" s="109">
        <v>1</v>
      </c>
      <c r="R300" s="111"/>
      <c r="S300" s="100"/>
      <c r="T300" s="110"/>
      <c r="U300" s="110"/>
      <c r="V300" s="100"/>
      <c r="W300" s="100">
        <v>1</v>
      </c>
      <c r="X300" s="100"/>
      <c r="Y300" s="110">
        <v>1</v>
      </c>
      <c r="Z300" s="110">
        <v>1</v>
      </c>
      <c r="AA300" s="100">
        <v>1</v>
      </c>
      <c r="AB300" s="109"/>
      <c r="AC300" s="108"/>
      <c r="AD300" s="109"/>
      <c r="AE300" s="109"/>
      <c r="AF300" s="109"/>
      <c r="AG300" s="109"/>
      <c r="AH300" s="100"/>
      <c r="AI300" s="100"/>
      <c r="AJ300" s="142"/>
      <c r="AK300" s="448"/>
      <c r="AL300" s="111"/>
      <c r="AM300" s="100"/>
      <c r="AN300" s="100"/>
      <c r="AO300" s="111"/>
      <c r="AP300" s="100"/>
      <c r="AQ300" s="100"/>
      <c r="AR300" s="111"/>
      <c r="AS300" s="142"/>
      <c r="AT300" s="150"/>
    </row>
    <row r="301" spans="1:46" ht="16.3">
      <c r="A301" s="91" t="s">
        <v>363</v>
      </c>
      <c r="B301" s="209">
        <f>SUM(B299+B300)</f>
        <v>2</v>
      </c>
      <c r="C301" s="214">
        <f t="shared" si="37"/>
        <v>2</v>
      </c>
      <c r="D301" s="133"/>
      <c r="E301" s="134"/>
      <c r="F301" s="135"/>
      <c r="G301" s="136"/>
      <c r="H301" s="96"/>
      <c r="I301" s="96"/>
      <c r="J301" s="75"/>
      <c r="K301" s="75"/>
      <c r="L301" s="75"/>
      <c r="M301" s="75"/>
      <c r="N301" s="75"/>
      <c r="O301" s="96"/>
      <c r="P301" s="163"/>
      <c r="Q301" s="109"/>
      <c r="R301" s="111"/>
      <c r="S301" s="100"/>
      <c r="T301" s="110"/>
      <c r="U301" s="110"/>
      <c r="V301" s="100"/>
      <c r="W301" s="100"/>
      <c r="X301" s="100"/>
      <c r="Y301" s="110"/>
      <c r="Z301" s="110"/>
      <c r="AA301" s="100"/>
      <c r="AB301" s="109"/>
      <c r="AC301" s="108"/>
      <c r="AD301" s="109"/>
      <c r="AE301" s="109"/>
      <c r="AF301" s="109"/>
      <c r="AG301" s="109"/>
      <c r="AH301" s="100"/>
      <c r="AI301" s="100"/>
      <c r="AJ301" s="142"/>
      <c r="AK301" s="448"/>
      <c r="AL301" s="111"/>
      <c r="AM301" s="100"/>
      <c r="AN301" s="100"/>
      <c r="AO301" s="111"/>
      <c r="AP301" s="100"/>
      <c r="AQ301" s="100"/>
      <c r="AR301" s="111"/>
      <c r="AS301" s="142"/>
      <c r="AT301" s="150"/>
    </row>
    <row r="302" spans="1:46" ht="16.3">
      <c r="A302" s="91" t="s">
        <v>3</v>
      </c>
      <c r="B302" s="209">
        <f>SUM(J302+K302+L302+M302+N302+S302+V302+W302+X302+AA302+AI302+AJ302+AI302+AM302+AP302+AQ302+AS302+AT302+AU302+AV302)</f>
        <v>0</v>
      </c>
      <c r="C302" s="214">
        <f t="shared" si="37"/>
        <v>0</v>
      </c>
      <c r="D302" s="133"/>
      <c r="E302" s="134"/>
      <c r="F302" s="135"/>
      <c r="G302" s="136"/>
      <c r="H302" s="96"/>
      <c r="I302" s="96"/>
      <c r="J302" s="75"/>
      <c r="K302" s="75"/>
      <c r="L302" s="75"/>
      <c r="M302" s="75"/>
      <c r="N302" s="75"/>
      <c r="O302" s="96"/>
      <c r="P302" s="163"/>
      <c r="Q302" s="109"/>
      <c r="R302" s="111"/>
      <c r="S302" s="100"/>
      <c r="T302" s="110"/>
      <c r="U302" s="110"/>
      <c r="V302" s="100"/>
      <c r="W302" s="100"/>
      <c r="X302" s="100"/>
      <c r="Y302" s="110"/>
      <c r="Z302" s="110"/>
      <c r="AA302" s="100"/>
      <c r="AB302" s="109"/>
      <c r="AC302" s="108"/>
      <c r="AD302" s="109"/>
      <c r="AE302" s="109"/>
      <c r="AF302" s="109"/>
      <c r="AG302" s="109"/>
      <c r="AH302" s="100"/>
      <c r="AI302" s="100"/>
      <c r="AJ302" s="142"/>
      <c r="AK302" s="448"/>
      <c r="AL302" s="111"/>
      <c r="AM302" s="100"/>
      <c r="AN302" s="100"/>
      <c r="AO302" s="111"/>
      <c r="AP302" s="100"/>
      <c r="AQ302" s="100"/>
      <c r="AR302" s="111"/>
      <c r="AS302" s="142"/>
      <c r="AT302" s="150"/>
    </row>
    <row r="303" spans="1:46" ht="17" thickBot="1">
      <c r="A303" s="92" t="s">
        <v>4</v>
      </c>
      <c r="B303" s="212">
        <f>SUM(J303+K303+L303+M303+N303+S303+V303+W303+X303+AA303+AI303+AJ303+AI303+AM303+AP303+AQ303+AS303+AT303+AU303+AV303)</f>
        <v>0</v>
      </c>
      <c r="C303" s="217">
        <f t="shared" si="37"/>
        <v>0</v>
      </c>
      <c r="D303" s="144"/>
      <c r="E303" s="145"/>
      <c r="F303" s="146"/>
      <c r="G303" s="147"/>
      <c r="H303" s="114"/>
      <c r="I303" s="114"/>
      <c r="J303" s="112"/>
      <c r="K303" s="112"/>
      <c r="L303" s="112"/>
      <c r="M303" s="112"/>
      <c r="N303" s="112"/>
      <c r="O303" s="114"/>
      <c r="P303" s="164"/>
      <c r="Q303" s="118"/>
      <c r="R303" s="130"/>
      <c r="S303" s="116"/>
      <c r="T303" s="120"/>
      <c r="U303" s="120"/>
      <c r="V303" s="116"/>
      <c r="W303" s="116"/>
      <c r="X303" s="116"/>
      <c r="Y303" s="120"/>
      <c r="Z303" s="120"/>
      <c r="AA303" s="116"/>
      <c r="AB303" s="118"/>
      <c r="AC303" s="117"/>
      <c r="AD303" s="118"/>
      <c r="AE303" s="118"/>
      <c r="AF303" s="118"/>
      <c r="AG303" s="118"/>
      <c r="AH303" s="116"/>
      <c r="AI303" s="116"/>
      <c r="AJ303" s="149"/>
      <c r="AK303" s="449"/>
      <c r="AL303" s="121"/>
      <c r="AM303" s="116"/>
      <c r="AN303" s="116"/>
      <c r="AO303" s="121"/>
      <c r="AP303" s="116"/>
      <c r="AQ303" s="116"/>
      <c r="AR303" s="121"/>
      <c r="AS303" s="149"/>
      <c r="AT303" s="176"/>
    </row>
    <row r="304" spans="1:46" ht="21.1">
      <c r="A304" s="89" t="s">
        <v>625</v>
      </c>
      <c r="B304" s="209"/>
      <c r="C304" s="214"/>
      <c r="D304" s="133"/>
      <c r="E304" s="134"/>
      <c r="F304" s="135"/>
      <c r="G304" s="136"/>
      <c r="H304" s="96"/>
      <c r="I304" s="96" t="s">
        <v>432</v>
      </c>
      <c r="J304" s="75" t="s">
        <v>393</v>
      </c>
      <c r="K304" s="75"/>
      <c r="L304" s="75"/>
      <c r="M304" s="75"/>
      <c r="N304" s="75"/>
      <c r="O304" s="96" t="s">
        <v>371</v>
      </c>
      <c r="P304" s="163"/>
      <c r="Q304" s="109" t="s">
        <v>371</v>
      </c>
      <c r="R304" s="111"/>
      <c r="S304" s="100" t="s">
        <v>393</v>
      </c>
      <c r="T304" s="110"/>
      <c r="U304" s="110" t="s">
        <v>375</v>
      </c>
      <c r="V304" s="100"/>
      <c r="W304" s="100"/>
      <c r="X304" s="100"/>
      <c r="Y304" s="110"/>
      <c r="Z304" s="110"/>
      <c r="AA304" s="100"/>
      <c r="AB304" s="109"/>
      <c r="AC304" s="108"/>
      <c r="AD304" s="109" t="s">
        <v>984</v>
      </c>
      <c r="AE304" s="109" t="s">
        <v>984</v>
      </c>
      <c r="AF304" s="109"/>
      <c r="AG304" s="109"/>
      <c r="AH304" s="100"/>
      <c r="AI304" s="100"/>
      <c r="AJ304" s="142"/>
      <c r="AK304" s="448"/>
      <c r="AL304" s="111"/>
      <c r="AM304" s="100"/>
      <c r="AN304" s="100"/>
      <c r="AO304" s="111"/>
      <c r="AP304" s="100"/>
      <c r="AQ304" s="100"/>
      <c r="AR304" s="111"/>
      <c r="AS304" s="142"/>
      <c r="AT304" s="150"/>
    </row>
    <row r="305" spans="1:46" ht="16.3">
      <c r="A305" s="611" t="s">
        <v>1</v>
      </c>
      <c r="B305" s="210">
        <f>SUM(J305+K305+L305+M305+N305+S305+V305+W305+X305+AA305+AI305+AJ305+AI305+AM305+AP305+AQ305+AS305+AT305+AU305+AV305+AN305)</f>
        <v>0</v>
      </c>
      <c r="C305" s="215">
        <f>B305</f>
        <v>0</v>
      </c>
      <c r="D305" s="133"/>
      <c r="E305" s="134"/>
      <c r="F305" s="135"/>
      <c r="G305" s="136"/>
      <c r="H305" s="96"/>
      <c r="I305" s="96"/>
      <c r="J305" s="75"/>
      <c r="K305" s="75"/>
      <c r="L305" s="75"/>
      <c r="M305" s="75"/>
      <c r="N305" s="75"/>
      <c r="O305" s="96">
        <v>1</v>
      </c>
      <c r="P305" s="163"/>
      <c r="Q305" s="109">
        <v>1</v>
      </c>
      <c r="R305" s="111"/>
      <c r="S305" s="100"/>
      <c r="T305" s="110"/>
      <c r="U305" s="110"/>
      <c r="V305" s="100"/>
      <c r="W305" s="100"/>
      <c r="X305" s="100"/>
      <c r="Y305" s="110"/>
      <c r="Z305" s="110"/>
      <c r="AA305" s="100"/>
      <c r="AB305" s="109"/>
      <c r="AC305" s="108"/>
      <c r="AD305" s="109"/>
      <c r="AE305" s="109"/>
      <c r="AF305" s="109"/>
      <c r="AG305" s="109"/>
      <c r="AH305" s="100"/>
      <c r="AI305" s="100"/>
      <c r="AJ305" s="142"/>
      <c r="AK305" s="448"/>
      <c r="AL305" s="111"/>
      <c r="AM305" s="100"/>
      <c r="AN305" s="100"/>
      <c r="AO305" s="111"/>
      <c r="AP305" s="100"/>
      <c r="AQ305" s="100"/>
      <c r="AR305" s="111"/>
      <c r="AS305" s="142"/>
      <c r="AT305" s="150"/>
    </row>
    <row r="306" spans="1:46" ht="16.3">
      <c r="A306" s="611" t="s">
        <v>2</v>
      </c>
      <c r="B306" s="210">
        <f>SUM(J306+K306+L306+M306+N306+S306+V306+W306+X306+AA306+AI306+AJ306+AI306+AM306+AP306+AQ306+AS306+AT306+AU306+AV306)</f>
        <v>0</v>
      </c>
      <c r="C306" s="215">
        <f t="shared" ref="C306:C309" si="38">B306</f>
        <v>0</v>
      </c>
      <c r="D306" s="133"/>
      <c r="E306" s="134"/>
      <c r="F306" s="135"/>
      <c r="G306" s="136"/>
      <c r="H306" s="96"/>
      <c r="I306" s="96">
        <v>1</v>
      </c>
      <c r="J306" s="75"/>
      <c r="K306" s="75"/>
      <c r="L306" s="75"/>
      <c r="M306" s="75"/>
      <c r="N306" s="75"/>
      <c r="O306" s="96"/>
      <c r="P306" s="163"/>
      <c r="Q306" s="109"/>
      <c r="R306" s="111"/>
      <c r="S306" s="100"/>
      <c r="T306" s="110"/>
      <c r="U306" s="110">
        <v>1</v>
      </c>
      <c r="V306" s="100"/>
      <c r="W306" s="100"/>
      <c r="X306" s="100"/>
      <c r="Y306" s="110"/>
      <c r="Z306" s="110"/>
      <c r="AA306" s="100"/>
      <c r="AB306" s="109"/>
      <c r="AC306" s="108"/>
      <c r="AD306" s="109"/>
      <c r="AE306" s="109"/>
      <c r="AF306" s="109"/>
      <c r="AG306" s="109"/>
      <c r="AH306" s="100"/>
      <c r="AI306" s="100"/>
      <c r="AJ306" s="142"/>
      <c r="AK306" s="448"/>
      <c r="AL306" s="111"/>
      <c r="AM306" s="100"/>
      <c r="AN306" s="100"/>
      <c r="AO306" s="111"/>
      <c r="AP306" s="100"/>
      <c r="AQ306" s="100"/>
      <c r="AR306" s="111"/>
      <c r="AS306" s="142"/>
      <c r="AT306" s="150"/>
    </row>
    <row r="307" spans="1:46" ht="16.3">
      <c r="A307" s="91" t="s">
        <v>363</v>
      </c>
      <c r="B307" s="209">
        <f>SUM(B305+B306)</f>
        <v>0</v>
      </c>
      <c r="C307" s="214">
        <f t="shared" si="38"/>
        <v>0</v>
      </c>
      <c r="D307" s="133"/>
      <c r="E307" s="134"/>
      <c r="F307" s="135"/>
      <c r="G307" s="136"/>
      <c r="H307" s="96"/>
      <c r="I307" s="96"/>
      <c r="J307" s="75"/>
      <c r="K307" s="75"/>
      <c r="L307" s="75"/>
      <c r="M307" s="75"/>
      <c r="N307" s="75"/>
      <c r="O307" s="96"/>
      <c r="P307" s="163"/>
      <c r="Q307" s="109"/>
      <c r="R307" s="111"/>
      <c r="S307" s="100"/>
      <c r="T307" s="110"/>
      <c r="U307" s="110"/>
      <c r="V307" s="100"/>
      <c r="W307" s="100"/>
      <c r="X307" s="100"/>
      <c r="Y307" s="110"/>
      <c r="Z307" s="110"/>
      <c r="AA307" s="100"/>
      <c r="AB307" s="109"/>
      <c r="AC307" s="108"/>
      <c r="AD307" s="109"/>
      <c r="AE307" s="109"/>
      <c r="AF307" s="109"/>
      <c r="AG307" s="109"/>
      <c r="AH307" s="100"/>
      <c r="AI307" s="100"/>
      <c r="AJ307" s="142"/>
      <c r="AK307" s="448"/>
      <c r="AL307" s="111"/>
      <c r="AM307" s="100"/>
      <c r="AN307" s="100"/>
      <c r="AO307" s="111"/>
      <c r="AP307" s="100"/>
      <c r="AQ307" s="100"/>
      <c r="AR307" s="111"/>
      <c r="AS307" s="142"/>
      <c r="AT307" s="150"/>
    </row>
    <row r="308" spans="1:46" ht="16.3">
      <c r="A308" s="91" t="s">
        <v>3</v>
      </c>
      <c r="B308" s="209">
        <f>SUM(J308+K308+L308+M308+N308+S308+V308+W308+X308+AA308+AI308+AJ308+AI308+AM308+AP308+AQ308+AS308+AT308+AU308+AV308)</f>
        <v>0</v>
      </c>
      <c r="C308" s="214">
        <f t="shared" si="38"/>
        <v>0</v>
      </c>
      <c r="D308" s="133"/>
      <c r="E308" s="134"/>
      <c r="F308" s="135"/>
      <c r="G308" s="136"/>
      <c r="H308" s="96"/>
      <c r="I308" s="96"/>
      <c r="J308" s="75"/>
      <c r="K308" s="75"/>
      <c r="L308" s="75"/>
      <c r="M308" s="75"/>
      <c r="N308" s="75"/>
      <c r="O308" s="96"/>
      <c r="P308" s="163"/>
      <c r="Q308" s="109">
        <v>1</v>
      </c>
      <c r="R308" s="111"/>
      <c r="S308" s="100"/>
      <c r="T308" s="110"/>
      <c r="U308" s="110"/>
      <c r="V308" s="100"/>
      <c r="W308" s="100"/>
      <c r="X308" s="100"/>
      <c r="Y308" s="110"/>
      <c r="Z308" s="110"/>
      <c r="AA308" s="100"/>
      <c r="AB308" s="109"/>
      <c r="AC308" s="108"/>
      <c r="AD308" s="109"/>
      <c r="AE308" s="109"/>
      <c r="AF308" s="109"/>
      <c r="AG308" s="109"/>
      <c r="AH308" s="100"/>
      <c r="AI308" s="100"/>
      <c r="AJ308" s="142"/>
      <c r="AK308" s="448"/>
      <c r="AL308" s="111"/>
      <c r="AM308" s="100"/>
      <c r="AN308" s="100"/>
      <c r="AO308" s="111"/>
      <c r="AP308" s="100"/>
      <c r="AQ308" s="100"/>
      <c r="AR308" s="111"/>
      <c r="AS308" s="142"/>
      <c r="AT308" s="150"/>
    </row>
    <row r="309" spans="1:46" ht="17" thickBot="1">
      <c r="A309" s="92" t="s">
        <v>4</v>
      </c>
      <c r="B309" s="212">
        <f>SUM(J309+K309+L309+M309+N309+S309+V309+W309+X309+AA309+AI309+AJ309+AI309+AM309+AP309+AQ309+AS309+AT309+AU309+AV309)</f>
        <v>0</v>
      </c>
      <c r="C309" s="217">
        <f t="shared" si="38"/>
        <v>0</v>
      </c>
      <c r="D309" s="144"/>
      <c r="E309" s="145"/>
      <c r="F309" s="146"/>
      <c r="G309" s="147"/>
      <c r="H309" s="114"/>
      <c r="I309" s="114"/>
      <c r="J309" s="112"/>
      <c r="K309" s="112"/>
      <c r="L309" s="112"/>
      <c r="M309" s="112"/>
      <c r="N309" s="112"/>
      <c r="O309" s="114"/>
      <c r="P309" s="164"/>
      <c r="Q309" s="118">
        <v>5</v>
      </c>
      <c r="R309" s="121"/>
      <c r="S309" s="116"/>
      <c r="T309" s="120"/>
      <c r="U309" s="120"/>
      <c r="V309" s="116"/>
      <c r="W309" s="116"/>
      <c r="X309" s="116"/>
      <c r="Y309" s="120"/>
      <c r="Z309" s="120"/>
      <c r="AA309" s="116"/>
      <c r="AB309" s="118"/>
      <c r="AC309" s="117"/>
      <c r="AD309" s="118"/>
      <c r="AE309" s="118"/>
      <c r="AF309" s="118"/>
      <c r="AG309" s="118"/>
      <c r="AH309" s="116"/>
      <c r="AI309" s="116"/>
      <c r="AJ309" s="149"/>
      <c r="AK309" s="449"/>
      <c r="AL309" s="121"/>
      <c r="AM309" s="116"/>
      <c r="AN309" s="116"/>
      <c r="AO309" s="121"/>
      <c r="AP309" s="116"/>
      <c r="AQ309" s="116"/>
      <c r="AR309" s="121"/>
      <c r="AS309" s="149"/>
      <c r="AT309" s="176"/>
    </row>
    <row r="310" spans="1:46" ht="21.1">
      <c r="A310" s="89" t="s">
        <v>1004</v>
      </c>
      <c r="B310" s="209"/>
      <c r="C310" s="214"/>
      <c r="D310" s="133"/>
      <c r="E310" s="134"/>
      <c r="F310" s="135"/>
      <c r="G310" s="136"/>
      <c r="H310" s="96" t="s">
        <v>1005</v>
      </c>
      <c r="I310" s="96" t="s">
        <v>344</v>
      </c>
      <c r="J310" s="75" t="s">
        <v>344</v>
      </c>
      <c r="K310" s="75" t="s">
        <v>344</v>
      </c>
      <c r="L310" s="75" t="s">
        <v>344</v>
      </c>
      <c r="M310" s="75" t="s">
        <v>344</v>
      </c>
      <c r="N310" s="75" t="s">
        <v>344</v>
      </c>
      <c r="O310" s="96" t="s">
        <v>344</v>
      </c>
      <c r="P310" s="163" t="s">
        <v>344</v>
      </c>
      <c r="Q310" s="109" t="s">
        <v>344</v>
      </c>
      <c r="R310" s="111" t="s">
        <v>344</v>
      </c>
      <c r="S310" s="100" t="s">
        <v>344</v>
      </c>
      <c r="T310" s="110" t="s">
        <v>344</v>
      </c>
      <c r="U310" s="110" t="s">
        <v>344</v>
      </c>
      <c r="V310" s="100" t="s">
        <v>344</v>
      </c>
      <c r="W310" s="100" t="s">
        <v>344</v>
      </c>
      <c r="X310" s="100" t="s">
        <v>344</v>
      </c>
      <c r="Y310" s="110" t="s">
        <v>719</v>
      </c>
      <c r="Z310" s="110"/>
      <c r="AA310" s="100"/>
      <c r="AB310" s="109" t="s">
        <v>432</v>
      </c>
      <c r="AC310" s="108"/>
      <c r="AD310" s="109" t="s">
        <v>375</v>
      </c>
      <c r="AE310" s="109" t="s">
        <v>375</v>
      </c>
      <c r="AF310" s="109"/>
      <c r="AG310" s="109"/>
      <c r="AH310" s="100"/>
      <c r="AI310" s="100"/>
      <c r="AJ310" s="142"/>
      <c r="AK310" s="448"/>
      <c r="AL310" s="111"/>
      <c r="AM310" s="100"/>
      <c r="AN310" s="100"/>
      <c r="AO310" s="111"/>
      <c r="AP310" s="100"/>
      <c r="AQ310" s="100"/>
      <c r="AR310" s="111"/>
      <c r="AS310" s="142"/>
      <c r="AT310" s="150"/>
    </row>
    <row r="311" spans="1:46" ht="16.3">
      <c r="A311" s="611" t="s">
        <v>1</v>
      </c>
      <c r="B311" s="210">
        <f>SUM(J311+K311+L311+M311+N311+S311+V311+W311+X311+AA311+AI311+AJ311+AI311+AM311+AP311+AQ311+AS311+AT311+AU311+AV311+AN311)</f>
        <v>0</v>
      </c>
      <c r="C311" s="215">
        <f>B311</f>
        <v>0</v>
      </c>
      <c r="D311" s="133"/>
      <c r="E311" s="134"/>
      <c r="F311" s="135"/>
      <c r="G311" s="136"/>
      <c r="H311" s="96"/>
      <c r="I311" s="96"/>
      <c r="J311" s="75"/>
      <c r="K311" s="75"/>
      <c r="L311" s="75"/>
      <c r="M311" s="75"/>
      <c r="N311" s="75"/>
      <c r="O311" s="96"/>
      <c r="P311" s="163"/>
      <c r="Q311" s="109"/>
      <c r="R311" s="111"/>
      <c r="S311" s="100"/>
      <c r="T311" s="110"/>
      <c r="U311" s="110"/>
      <c r="V311" s="100"/>
      <c r="W311" s="100"/>
      <c r="X311" s="100"/>
      <c r="Y311" s="110"/>
      <c r="Z311" s="110"/>
      <c r="AA311" s="100"/>
      <c r="AB311" s="109"/>
      <c r="AC311" s="108"/>
      <c r="AD311" s="109"/>
      <c r="AE311" s="109"/>
      <c r="AF311" s="109"/>
      <c r="AG311" s="109"/>
      <c r="AH311" s="100"/>
      <c r="AI311" s="100"/>
      <c r="AJ311" s="142"/>
      <c r="AK311" s="448"/>
      <c r="AL311" s="111"/>
      <c r="AM311" s="100"/>
      <c r="AN311" s="100"/>
      <c r="AO311" s="111"/>
      <c r="AP311" s="100"/>
      <c r="AQ311" s="100"/>
      <c r="AR311" s="111"/>
      <c r="AS311" s="142"/>
      <c r="AT311" s="150"/>
    </row>
    <row r="312" spans="1:46" ht="16.3">
      <c r="A312" s="611" t="s">
        <v>2</v>
      </c>
      <c r="B312" s="210">
        <f>SUM(J312+K312+L312+M312+N312+S312+V312+W312+X312+AA312+AI312+AJ312+AI312+AM312+AP312+AQ312+AS312+AT312+AU312+AV312)</f>
        <v>0</v>
      </c>
      <c r="C312" s="215">
        <f t="shared" ref="C312:C315" si="39">B312</f>
        <v>0</v>
      </c>
      <c r="D312" s="133"/>
      <c r="E312" s="134"/>
      <c r="F312" s="135"/>
      <c r="G312" s="136"/>
      <c r="H312" s="96"/>
      <c r="I312" s="96"/>
      <c r="J312" s="75"/>
      <c r="K312" s="75"/>
      <c r="L312" s="75"/>
      <c r="M312" s="75"/>
      <c r="N312" s="75"/>
      <c r="O312" s="96"/>
      <c r="P312" s="163"/>
      <c r="Q312" s="109"/>
      <c r="R312" s="111"/>
      <c r="S312" s="100"/>
      <c r="T312" s="110"/>
      <c r="U312" s="110"/>
      <c r="V312" s="100"/>
      <c r="W312" s="100"/>
      <c r="X312" s="100"/>
      <c r="Y312" s="110"/>
      <c r="Z312" s="110"/>
      <c r="AA312" s="100"/>
      <c r="AB312" s="109">
        <v>1</v>
      </c>
      <c r="AC312" s="108"/>
      <c r="AD312" s="109">
        <v>1</v>
      </c>
      <c r="AE312" s="109">
        <v>1</v>
      </c>
      <c r="AF312" s="109"/>
      <c r="AG312" s="109"/>
      <c r="AH312" s="100"/>
      <c r="AI312" s="100"/>
      <c r="AJ312" s="142"/>
      <c r="AK312" s="448"/>
      <c r="AL312" s="111"/>
      <c r="AM312" s="100"/>
      <c r="AN312" s="100"/>
      <c r="AO312" s="111"/>
      <c r="AP312" s="100"/>
      <c r="AQ312" s="100"/>
      <c r="AR312" s="111"/>
      <c r="AS312" s="142"/>
      <c r="AT312" s="150"/>
    </row>
    <row r="313" spans="1:46" ht="16.3">
      <c r="A313" s="91" t="s">
        <v>363</v>
      </c>
      <c r="B313" s="209">
        <f>SUM(B311+B312)</f>
        <v>0</v>
      </c>
      <c r="C313" s="214">
        <f t="shared" si="39"/>
        <v>0</v>
      </c>
      <c r="D313" s="133"/>
      <c r="E313" s="134"/>
      <c r="F313" s="135"/>
      <c r="G313" s="136"/>
      <c r="H313" s="96"/>
      <c r="I313" s="96"/>
      <c r="J313" s="75"/>
      <c r="K313" s="75"/>
      <c r="L313" s="75"/>
      <c r="M313" s="75"/>
      <c r="N313" s="75"/>
      <c r="O313" s="96"/>
      <c r="P313" s="163"/>
      <c r="Q313" s="109"/>
      <c r="R313" s="111"/>
      <c r="S313" s="100"/>
      <c r="T313" s="110"/>
      <c r="U313" s="110"/>
      <c r="V313" s="100"/>
      <c r="W313" s="100"/>
      <c r="X313" s="100"/>
      <c r="Y313" s="110"/>
      <c r="Z313" s="110"/>
      <c r="AA313" s="100"/>
      <c r="AB313" s="109"/>
      <c r="AC313" s="108"/>
      <c r="AD313" s="109"/>
      <c r="AE313" s="109"/>
      <c r="AF313" s="109"/>
      <c r="AG313" s="109"/>
      <c r="AH313" s="100"/>
      <c r="AI313" s="100"/>
      <c r="AJ313" s="142"/>
      <c r="AK313" s="448"/>
      <c r="AL313" s="111"/>
      <c r="AM313" s="100"/>
      <c r="AN313" s="100"/>
      <c r="AO313" s="111"/>
      <c r="AP313" s="100"/>
      <c r="AQ313" s="100"/>
      <c r="AR313" s="111"/>
      <c r="AS313" s="142"/>
      <c r="AT313" s="150"/>
    </row>
    <row r="314" spans="1:46" ht="16.3">
      <c r="A314" s="91" t="s">
        <v>3</v>
      </c>
      <c r="B314" s="209">
        <f>SUM(J314+K314+L314+M314+N314+S314+V314+W314+X314+AA314+AI314+AJ314+AI314+AM314+AP314+AQ314+AS314+AT314+AU314+AV314)</f>
        <v>0</v>
      </c>
      <c r="C314" s="214">
        <f t="shared" si="39"/>
        <v>0</v>
      </c>
      <c r="D314" s="133"/>
      <c r="E314" s="134"/>
      <c r="F314" s="135"/>
      <c r="G314" s="136"/>
      <c r="H314" s="96"/>
      <c r="I314" s="96"/>
      <c r="J314" s="75"/>
      <c r="K314" s="75"/>
      <c r="L314" s="75"/>
      <c r="M314" s="75"/>
      <c r="N314" s="75"/>
      <c r="O314" s="96"/>
      <c r="P314" s="163"/>
      <c r="Q314" s="109"/>
      <c r="R314" s="111"/>
      <c r="S314" s="100"/>
      <c r="T314" s="110"/>
      <c r="U314" s="110"/>
      <c r="V314" s="100"/>
      <c r="W314" s="100"/>
      <c r="X314" s="100"/>
      <c r="Y314" s="110"/>
      <c r="Z314" s="110"/>
      <c r="AA314" s="100"/>
      <c r="AB314" s="109"/>
      <c r="AC314" s="108"/>
      <c r="AD314" s="109"/>
      <c r="AE314" s="109"/>
      <c r="AF314" s="109"/>
      <c r="AG314" s="109"/>
      <c r="AH314" s="100"/>
      <c r="AI314" s="100"/>
      <c r="AJ314" s="142"/>
      <c r="AK314" s="448"/>
      <c r="AL314" s="111"/>
      <c r="AM314" s="100"/>
      <c r="AN314" s="100"/>
      <c r="AO314" s="111"/>
      <c r="AP314" s="100"/>
      <c r="AQ314" s="100"/>
      <c r="AR314" s="111"/>
      <c r="AS314" s="142"/>
      <c r="AT314" s="150"/>
    </row>
    <row r="315" spans="1:46" ht="17" thickBot="1">
      <c r="A315" s="92" t="s">
        <v>4</v>
      </c>
      <c r="B315" s="212">
        <f>SUM(J315+K315+L315+M315+N315+S315+V315+W315+X315+AA315+AI315+AJ315+AI315+AM315+AP315+AQ315+AS315+AT315+AU315+AV315)</f>
        <v>0</v>
      </c>
      <c r="C315" s="217">
        <f t="shared" si="39"/>
        <v>0</v>
      </c>
      <c r="D315" s="144"/>
      <c r="E315" s="145"/>
      <c r="F315" s="146"/>
      <c r="G315" s="147"/>
      <c r="H315" s="114"/>
      <c r="I315" s="114"/>
      <c r="J315" s="112"/>
      <c r="K315" s="112"/>
      <c r="L315" s="112"/>
      <c r="M315" s="112"/>
      <c r="N315" s="112"/>
      <c r="O315" s="114"/>
      <c r="P315" s="164"/>
      <c r="Q315" s="118"/>
      <c r="R315" s="121"/>
      <c r="S315" s="116"/>
      <c r="T315" s="120"/>
      <c r="U315" s="120"/>
      <c r="V315" s="116"/>
      <c r="W315" s="116"/>
      <c r="X315" s="116"/>
      <c r="Y315" s="120"/>
      <c r="Z315" s="120"/>
      <c r="AA315" s="116"/>
      <c r="AB315" s="118"/>
      <c r="AC315" s="117"/>
      <c r="AD315" s="118"/>
      <c r="AE315" s="118"/>
      <c r="AF315" s="118"/>
      <c r="AG315" s="118"/>
      <c r="AH315" s="116"/>
      <c r="AI315" s="116"/>
      <c r="AJ315" s="149"/>
      <c r="AK315" s="449"/>
      <c r="AL315" s="121"/>
      <c r="AM315" s="116"/>
      <c r="AN315" s="116"/>
      <c r="AO315" s="121"/>
      <c r="AP315" s="116"/>
      <c r="AQ315" s="116"/>
      <c r="AR315" s="121"/>
      <c r="AS315" s="149"/>
      <c r="AT315" s="176"/>
    </row>
    <row r="316" spans="1:46" ht="21.1">
      <c r="A316" s="822" t="s">
        <v>920</v>
      </c>
      <c r="B316" s="210"/>
      <c r="C316" s="215"/>
      <c r="D316" s="139"/>
      <c r="E316" s="140"/>
      <c r="F316" s="169"/>
      <c r="G316" s="170"/>
      <c r="H316" s="189" t="s">
        <v>921</v>
      </c>
      <c r="I316" s="189" t="s">
        <v>344</v>
      </c>
      <c r="J316" s="187" t="s">
        <v>344</v>
      </c>
      <c r="K316" s="187" t="s">
        <v>344</v>
      </c>
      <c r="L316" s="187" t="s">
        <v>344</v>
      </c>
      <c r="M316" s="187" t="s">
        <v>344</v>
      </c>
      <c r="N316" s="187" t="s">
        <v>344</v>
      </c>
      <c r="O316" s="189" t="s">
        <v>344</v>
      </c>
      <c r="P316" s="823"/>
      <c r="Q316" s="195" t="s">
        <v>344</v>
      </c>
      <c r="R316" s="193"/>
      <c r="S316" s="191" t="s">
        <v>344</v>
      </c>
      <c r="T316" s="192" t="s">
        <v>344</v>
      </c>
      <c r="U316" s="192" t="s">
        <v>344</v>
      </c>
      <c r="V316" s="191" t="s">
        <v>344</v>
      </c>
      <c r="W316" s="191" t="s">
        <v>344</v>
      </c>
      <c r="X316" s="191">
        <v>2</v>
      </c>
      <c r="Y316" s="192" t="s">
        <v>371</v>
      </c>
      <c r="Z316" s="192" t="s">
        <v>371</v>
      </c>
      <c r="AA316" s="191" t="s">
        <v>371</v>
      </c>
      <c r="AB316" s="195" t="s">
        <v>921</v>
      </c>
      <c r="AC316" s="194"/>
      <c r="AD316" s="195" t="s">
        <v>344</v>
      </c>
      <c r="AE316" s="195" t="s">
        <v>344</v>
      </c>
      <c r="AF316" s="195" t="s">
        <v>344</v>
      </c>
      <c r="AG316" s="195" t="s">
        <v>344</v>
      </c>
      <c r="AH316" s="191" t="s">
        <v>344</v>
      </c>
      <c r="AI316" s="191" t="s">
        <v>344</v>
      </c>
      <c r="AJ316" s="824" t="s">
        <v>344</v>
      </c>
      <c r="AK316" s="825"/>
      <c r="AL316" s="193"/>
      <c r="AM316" s="191" t="s">
        <v>344</v>
      </c>
      <c r="AN316" s="191" t="s">
        <v>344</v>
      </c>
      <c r="AO316" s="193"/>
      <c r="AP316" s="191" t="s">
        <v>344</v>
      </c>
      <c r="AQ316" s="191" t="s">
        <v>344</v>
      </c>
      <c r="AR316" s="193"/>
      <c r="AS316" s="824" t="s">
        <v>344</v>
      </c>
      <c r="AT316" s="826" t="s">
        <v>344</v>
      </c>
    </row>
    <row r="317" spans="1:46" ht="16.3">
      <c r="A317" s="611" t="s">
        <v>1</v>
      </c>
      <c r="B317" s="210">
        <f>SUM(J317+K317+L317+M317+N317+S317+V317+W317+X317+AA317+AI317+AJ317+AI317+AM317+AP317+AQ317+AS317+AT317+AU317+AV317+AN317)</f>
        <v>2</v>
      </c>
      <c r="C317" s="215">
        <f>B317</f>
        <v>2</v>
      </c>
      <c r="D317" s="139"/>
      <c r="E317" s="140"/>
      <c r="F317" s="169"/>
      <c r="G317" s="170"/>
      <c r="H317" s="189"/>
      <c r="I317" s="189"/>
      <c r="J317" s="187"/>
      <c r="K317" s="187"/>
      <c r="L317" s="187"/>
      <c r="M317" s="187"/>
      <c r="N317" s="187"/>
      <c r="O317" s="189"/>
      <c r="P317" s="823"/>
      <c r="Q317" s="195"/>
      <c r="R317" s="193"/>
      <c r="S317" s="191"/>
      <c r="T317" s="192"/>
      <c r="U317" s="192"/>
      <c r="V317" s="191"/>
      <c r="W317" s="191"/>
      <c r="X317" s="191">
        <v>1</v>
      </c>
      <c r="Y317" s="192">
        <v>1</v>
      </c>
      <c r="Z317" s="192">
        <v>1</v>
      </c>
      <c r="AA317" s="191">
        <v>1</v>
      </c>
      <c r="AB317" s="195"/>
      <c r="AC317" s="194"/>
      <c r="AD317" s="195"/>
      <c r="AE317" s="195"/>
      <c r="AF317" s="195"/>
      <c r="AG317" s="195"/>
      <c r="AH317" s="191"/>
      <c r="AI317" s="191"/>
      <c r="AJ317" s="824"/>
      <c r="AK317" s="825"/>
      <c r="AL317" s="193"/>
      <c r="AM317" s="191"/>
      <c r="AN317" s="191"/>
      <c r="AO317" s="193"/>
      <c r="AP317" s="191"/>
      <c r="AQ317" s="191"/>
      <c r="AR317" s="193"/>
      <c r="AS317" s="824"/>
      <c r="AT317" s="826"/>
    </row>
    <row r="318" spans="1:46" ht="16.3">
      <c r="A318" s="611" t="s">
        <v>2</v>
      </c>
      <c r="B318" s="210">
        <f>SUM(J318+K318+L318+M318+N318+S318+V318+W318+X318+AA318+AI318+AJ318+AI318+AM318+AP318+AQ318+AS318+AT318+AU318+AV318)</f>
        <v>0</v>
      </c>
      <c r="C318" s="215">
        <f t="shared" ref="C318:C321" si="40">B318</f>
        <v>0</v>
      </c>
      <c r="D318" s="139"/>
      <c r="E318" s="140"/>
      <c r="F318" s="169"/>
      <c r="G318" s="170"/>
      <c r="H318" s="189"/>
      <c r="I318" s="189"/>
      <c r="J318" s="187"/>
      <c r="K318" s="187"/>
      <c r="L318" s="187"/>
      <c r="M318" s="187"/>
      <c r="N318" s="187"/>
      <c r="O318" s="189"/>
      <c r="P318" s="823"/>
      <c r="Q318" s="195"/>
      <c r="R318" s="193"/>
      <c r="S318" s="191"/>
      <c r="T318" s="192"/>
      <c r="U318" s="192"/>
      <c r="V318" s="191"/>
      <c r="W318" s="191"/>
      <c r="X318" s="191"/>
      <c r="Y318" s="192"/>
      <c r="Z318" s="192"/>
      <c r="AA318" s="191"/>
      <c r="AB318" s="195"/>
      <c r="AC318" s="194"/>
      <c r="AD318" s="195"/>
      <c r="AE318" s="195"/>
      <c r="AF318" s="195"/>
      <c r="AG318" s="195"/>
      <c r="AH318" s="191"/>
      <c r="AI318" s="191"/>
      <c r="AJ318" s="824"/>
      <c r="AK318" s="825"/>
      <c r="AL318" s="193"/>
      <c r="AM318" s="191"/>
      <c r="AN318" s="191"/>
      <c r="AO318" s="193"/>
      <c r="AP318" s="191"/>
      <c r="AQ318" s="191"/>
      <c r="AR318" s="193"/>
      <c r="AS318" s="824"/>
      <c r="AT318" s="826"/>
    </row>
    <row r="319" spans="1:46" ht="16.3">
      <c r="A319" s="585" t="s">
        <v>363</v>
      </c>
      <c r="B319" s="210">
        <f>SUM(B317+B318)</f>
        <v>2</v>
      </c>
      <c r="C319" s="215">
        <f t="shared" si="40"/>
        <v>2</v>
      </c>
      <c r="D319" s="139"/>
      <c r="E319" s="140"/>
      <c r="F319" s="169"/>
      <c r="G319" s="170"/>
      <c r="H319" s="189"/>
      <c r="I319" s="189"/>
      <c r="J319" s="187"/>
      <c r="K319" s="187"/>
      <c r="L319" s="187"/>
      <c r="M319" s="187"/>
      <c r="N319" s="187"/>
      <c r="O319" s="189"/>
      <c r="P319" s="823"/>
      <c r="Q319" s="195"/>
      <c r="R319" s="193"/>
      <c r="S319" s="191"/>
      <c r="T319" s="192"/>
      <c r="U319" s="192"/>
      <c r="V319" s="191"/>
      <c r="W319" s="191"/>
      <c r="X319" s="191"/>
      <c r="Y319" s="192"/>
      <c r="Z319" s="192"/>
      <c r="AA319" s="191"/>
      <c r="AB319" s="195"/>
      <c r="AC319" s="194"/>
      <c r="AD319" s="195"/>
      <c r="AE319" s="195"/>
      <c r="AF319" s="195"/>
      <c r="AG319" s="195"/>
      <c r="AH319" s="191"/>
      <c r="AI319" s="191"/>
      <c r="AJ319" s="824"/>
      <c r="AK319" s="825"/>
      <c r="AL319" s="193"/>
      <c r="AM319" s="191"/>
      <c r="AN319" s="191"/>
      <c r="AO319" s="193"/>
      <c r="AP319" s="191"/>
      <c r="AQ319" s="191"/>
      <c r="AR319" s="193"/>
      <c r="AS319" s="824"/>
      <c r="AT319" s="826"/>
    </row>
    <row r="320" spans="1:46" ht="16.3">
      <c r="A320" s="585" t="s">
        <v>3</v>
      </c>
      <c r="B320" s="210">
        <f>SUM(J320+K320+L320+M320+N320+S320+V320+W320+X320+AA320+AI320+AJ320+AI320+AM320+AP320+AQ320+AS320+AT320+AU320+AV320)</f>
        <v>0</v>
      </c>
      <c r="C320" s="215">
        <f t="shared" si="40"/>
        <v>0</v>
      </c>
      <c r="D320" s="139"/>
      <c r="E320" s="140"/>
      <c r="F320" s="169"/>
      <c r="G320" s="170"/>
      <c r="H320" s="189"/>
      <c r="I320" s="189"/>
      <c r="J320" s="187"/>
      <c r="K320" s="187"/>
      <c r="L320" s="187"/>
      <c r="M320" s="187"/>
      <c r="N320" s="187"/>
      <c r="O320" s="189"/>
      <c r="P320" s="823"/>
      <c r="Q320" s="195"/>
      <c r="R320" s="193"/>
      <c r="S320" s="191"/>
      <c r="T320" s="192"/>
      <c r="U320" s="192"/>
      <c r="V320" s="191"/>
      <c r="W320" s="191"/>
      <c r="X320" s="191"/>
      <c r="Y320" s="192"/>
      <c r="Z320" s="192"/>
      <c r="AA320" s="191"/>
      <c r="AB320" s="195"/>
      <c r="AC320" s="194"/>
      <c r="AD320" s="195"/>
      <c r="AE320" s="195"/>
      <c r="AF320" s="195"/>
      <c r="AG320" s="195"/>
      <c r="AH320" s="191"/>
      <c r="AI320" s="191"/>
      <c r="AJ320" s="824"/>
      <c r="AK320" s="825"/>
      <c r="AL320" s="193"/>
      <c r="AM320" s="191"/>
      <c r="AN320" s="191"/>
      <c r="AO320" s="193"/>
      <c r="AP320" s="191"/>
      <c r="AQ320" s="191"/>
      <c r="AR320" s="193"/>
      <c r="AS320" s="824"/>
      <c r="AT320" s="826"/>
    </row>
    <row r="321" spans="1:46" ht="17" thickBot="1">
      <c r="A321" s="827" t="s">
        <v>4</v>
      </c>
      <c r="B321" s="828">
        <f>SUM(J321+K321+L321+M321+N321+S321+V321+W321+X321+AA321+AI321+AJ321+AI321+AM321+AP321+AQ321+AS321+AT321+AU321+AV321)</f>
        <v>0</v>
      </c>
      <c r="C321" s="592">
        <f t="shared" si="40"/>
        <v>0</v>
      </c>
      <c r="D321" s="196"/>
      <c r="E321" s="197"/>
      <c r="F321" s="198"/>
      <c r="G321" s="199"/>
      <c r="H321" s="201"/>
      <c r="I321" s="201"/>
      <c r="J321" s="594"/>
      <c r="K321" s="594"/>
      <c r="L321" s="594"/>
      <c r="M321" s="594"/>
      <c r="N321" s="594"/>
      <c r="O321" s="201"/>
      <c r="P321" s="829"/>
      <c r="Q321" s="201"/>
      <c r="R321" s="193"/>
      <c r="S321" s="191"/>
      <c r="T321" s="192"/>
      <c r="U321" s="192"/>
      <c r="V321" s="191"/>
      <c r="W321" s="191"/>
      <c r="X321" s="191"/>
      <c r="Y321" s="192"/>
      <c r="Z321" s="192"/>
      <c r="AA321" s="191"/>
      <c r="AB321" s="195"/>
      <c r="AC321" s="194"/>
      <c r="AD321" s="195"/>
      <c r="AE321" s="195"/>
      <c r="AF321" s="195"/>
      <c r="AG321" s="195"/>
      <c r="AH321" s="191"/>
      <c r="AI321" s="191"/>
      <c r="AJ321" s="824"/>
      <c r="AK321" s="825"/>
      <c r="AL321" s="193"/>
      <c r="AM321" s="191"/>
      <c r="AN321" s="191"/>
      <c r="AO321" s="193"/>
      <c r="AP321" s="191"/>
      <c r="AQ321" s="191"/>
      <c r="AR321" s="193"/>
      <c r="AS321" s="824"/>
      <c r="AT321" s="826"/>
    </row>
    <row r="322" spans="1:46" ht="21.1">
      <c r="A322" s="89" t="s">
        <v>142</v>
      </c>
      <c r="B322" s="209"/>
      <c r="C322" s="214"/>
      <c r="D322" s="133"/>
      <c r="E322" s="134"/>
      <c r="F322" s="135"/>
      <c r="G322" s="136"/>
      <c r="H322" s="96" t="s">
        <v>375</v>
      </c>
      <c r="I322" s="96"/>
      <c r="J322" s="75" t="s">
        <v>387</v>
      </c>
      <c r="K322" s="75" t="s">
        <v>375</v>
      </c>
      <c r="L322" s="75">
        <v>5</v>
      </c>
      <c r="M322" s="75" t="s">
        <v>387</v>
      </c>
      <c r="N322" s="75">
        <v>5</v>
      </c>
      <c r="O322" s="96" t="s">
        <v>394</v>
      </c>
      <c r="P322" s="163"/>
      <c r="Q322" s="109" t="s">
        <v>394</v>
      </c>
      <c r="R322" s="103"/>
      <c r="S322" s="102">
        <v>5</v>
      </c>
      <c r="T322" s="101" t="s">
        <v>387</v>
      </c>
      <c r="U322" s="101"/>
      <c r="V322" s="102"/>
      <c r="W322" s="102"/>
      <c r="X322" s="102"/>
      <c r="Y322" s="101">
        <v>5</v>
      </c>
      <c r="Z322" s="101">
        <v>5</v>
      </c>
      <c r="AA322" s="102">
        <v>5</v>
      </c>
      <c r="AB322" s="99">
        <v>5</v>
      </c>
      <c r="AC322" s="98"/>
      <c r="AD322" s="99">
        <v>5</v>
      </c>
      <c r="AE322" s="99" t="s">
        <v>387</v>
      </c>
      <c r="AF322" s="99" t="s">
        <v>387</v>
      </c>
      <c r="AG322" s="99"/>
      <c r="AH322" s="102"/>
      <c r="AI322" s="102"/>
      <c r="AJ322" s="138"/>
      <c r="AK322" s="446"/>
      <c r="AL322" s="103"/>
      <c r="AM322" s="102"/>
      <c r="AN322" s="102"/>
      <c r="AO322" s="103"/>
      <c r="AP322" s="102"/>
      <c r="AQ322" s="102"/>
      <c r="AR322" s="103"/>
      <c r="AS322" s="138"/>
      <c r="AT322" s="478"/>
    </row>
    <row r="323" spans="1:46" ht="16.3">
      <c r="A323" s="611" t="s">
        <v>1</v>
      </c>
      <c r="B323" s="210">
        <f>SUM(J323+K323+L323+M323+N323+S323+V323+W323+X323+AA323+AI323+AJ323+AI323+AM323+AP323+AQ323+AS323+AT323+AU323+AV323+AN323)+57</f>
        <v>63</v>
      </c>
      <c r="C323" s="215">
        <f>B323</f>
        <v>63</v>
      </c>
      <c r="D323" s="133"/>
      <c r="E323" s="134"/>
      <c r="F323" s="135"/>
      <c r="G323" s="136"/>
      <c r="H323" s="96"/>
      <c r="I323" s="96"/>
      <c r="J323" s="75">
        <v>1</v>
      </c>
      <c r="K323" s="75"/>
      <c r="L323" s="75">
        <v>1</v>
      </c>
      <c r="M323" s="75">
        <v>1</v>
      </c>
      <c r="N323" s="75">
        <v>1</v>
      </c>
      <c r="O323" s="96"/>
      <c r="P323" s="163"/>
      <c r="Q323" s="109"/>
      <c r="R323" s="111"/>
      <c r="S323" s="100">
        <v>1</v>
      </c>
      <c r="T323" s="110">
        <v>1</v>
      </c>
      <c r="U323" s="110"/>
      <c r="V323" s="100"/>
      <c r="W323" s="100"/>
      <c r="X323" s="100"/>
      <c r="Y323" s="110">
        <v>1</v>
      </c>
      <c r="Z323" s="110">
        <v>1</v>
      </c>
      <c r="AA323" s="100">
        <v>1</v>
      </c>
      <c r="AB323" s="109">
        <v>1</v>
      </c>
      <c r="AC323" s="108"/>
      <c r="AD323" s="109">
        <v>1</v>
      </c>
      <c r="AE323" s="109">
        <v>1</v>
      </c>
      <c r="AF323" s="109">
        <v>1</v>
      </c>
      <c r="AG323" s="109"/>
      <c r="AH323" s="100"/>
      <c r="AI323" s="100"/>
      <c r="AJ323" s="142"/>
      <c r="AK323" s="448"/>
      <c r="AL323" s="111"/>
      <c r="AM323" s="100"/>
      <c r="AN323" s="100"/>
      <c r="AO323" s="111"/>
      <c r="AP323" s="100"/>
      <c r="AQ323" s="100"/>
      <c r="AR323" s="111"/>
      <c r="AS323" s="142"/>
      <c r="AT323" s="150"/>
    </row>
    <row r="324" spans="1:46" ht="16.3">
      <c r="A324" s="611" t="s">
        <v>2</v>
      </c>
      <c r="B324" s="210">
        <f>SUM(J324+K324+L324+M324+N324+S324+V324+W324+X324+AA324+AI324+AJ324+AI324+AM324+AP324+AQ324+AS324+AT324+AU324+AV324)+8</f>
        <v>9</v>
      </c>
      <c r="C324" s="215">
        <f t="shared" ref="C324:C328" si="41">B324</f>
        <v>9</v>
      </c>
      <c r="D324" s="133"/>
      <c r="E324" s="134"/>
      <c r="F324" s="135"/>
      <c r="G324" s="136"/>
      <c r="H324" s="96">
        <v>1</v>
      </c>
      <c r="I324" s="96"/>
      <c r="J324" s="75"/>
      <c r="K324" s="75">
        <v>1</v>
      </c>
      <c r="L324" s="75"/>
      <c r="M324" s="75"/>
      <c r="N324" s="75"/>
      <c r="O324" s="96"/>
      <c r="P324" s="163"/>
      <c r="Q324" s="109"/>
      <c r="R324" s="111"/>
      <c r="S324" s="100"/>
      <c r="T324" s="110"/>
      <c r="U324" s="110"/>
      <c r="V324" s="100"/>
      <c r="W324" s="100"/>
      <c r="X324" s="100"/>
      <c r="Y324" s="110"/>
      <c r="Z324" s="110"/>
      <c r="AA324" s="100"/>
      <c r="AB324" s="109"/>
      <c r="AC324" s="108"/>
      <c r="AD324" s="109"/>
      <c r="AE324" s="109"/>
      <c r="AF324" s="109"/>
      <c r="AG324" s="109"/>
      <c r="AH324" s="100"/>
      <c r="AI324" s="100"/>
      <c r="AJ324" s="142"/>
      <c r="AK324" s="448"/>
      <c r="AL324" s="111"/>
      <c r="AM324" s="100"/>
      <c r="AN324" s="100"/>
      <c r="AO324" s="111"/>
      <c r="AP324" s="100"/>
      <c r="AQ324" s="100"/>
      <c r="AR324" s="111"/>
      <c r="AS324" s="142"/>
      <c r="AT324" s="150"/>
    </row>
    <row r="325" spans="1:46" ht="16.3">
      <c r="A325" s="91" t="s">
        <v>363</v>
      </c>
      <c r="B325" s="209">
        <f>SUM(B323+B324)</f>
        <v>72</v>
      </c>
      <c r="C325" s="214">
        <f t="shared" si="41"/>
        <v>72</v>
      </c>
      <c r="D325" s="133"/>
      <c r="E325" s="134"/>
      <c r="F325" s="135"/>
      <c r="G325" s="136"/>
      <c r="H325" s="96"/>
      <c r="I325" s="96"/>
      <c r="J325" s="75"/>
      <c r="K325" s="75"/>
      <c r="L325" s="75"/>
      <c r="M325" s="75"/>
      <c r="N325" s="75"/>
      <c r="O325" s="96"/>
      <c r="P325" s="163"/>
      <c r="Q325" s="109"/>
      <c r="R325" s="111"/>
      <c r="S325" s="100"/>
      <c r="T325" s="110"/>
      <c r="U325" s="110"/>
      <c r="V325" s="100"/>
      <c r="W325" s="100"/>
      <c r="X325" s="100"/>
      <c r="Y325" s="110"/>
      <c r="Z325" s="110"/>
      <c r="AA325" s="100"/>
      <c r="AB325" s="109"/>
      <c r="AC325" s="108"/>
      <c r="AD325" s="109"/>
      <c r="AE325" s="109"/>
      <c r="AF325" s="109"/>
      <c r="AG325" s="109"/>
      <c r="AH325" s="100"/>
      <c r="AI325" s="100"/>
      <c r="AJ325" s="142"/>
      <c r="AK325" s="448"/>
      <c r="AL325" s="111"/>
      <c r="AM325" s="100"/>
      <c r="AN325" s="100"/>
      <c r="AO325" s="111"/>
      <c r="AP325" s="100"/>
      <c r="AQ325" s="100"/>
      <c r="AR325" s="111"/>
      <c r="AS325" s="142"/>
      <c r="AT325" s="150"/>
    </row>
    <row r="326" spans="1:46" ht="16.3">
      <c r="A326" s="611" t="s">
        <v>364</v>
      </c>
      <c r="B326" s="210">
        <f>SUM(J326+K326+L326+M326+N326+S326+V326+W326+X326+AA326+AI326+AJ326+AI326+AM326+AP326+AQ326+AS326+AT326+AU326+AV326)+1</f>
        <v>1</v>
      </c>
      <c r="C326" s="215">
        <f t="shared" si="41"/>
        <v>1</v>
      </c>
      <c r="D326" s="133"/>
      <c r="E326" s="134"/>
      <c r="F326" s="135"/>
      <c r="G326" s="136"/>
      <c r="H326" s="96"/>
      <c r="I326" s="96"/>
      <c r="J326" s="75"/>
      <c r="K326" s="75"/>
      <c r="L326" s="75"/>
      <c r="M326" s="75"/>
      <c r="N326" s="75"/>
      <c r="O326" s="96"/>
      <c r="P326" s="163"/>
      <c r="Q326" s="109"/>
      <c r="R326" s="111"/>
      <c r="S326" s="100"/>
      <c r="T326" s="110"/>
      <c r="U326" s="110"/>
      <c r="V326" s="100"/>
      <c r="W326" s="100"/>
      <c r="X326" s="100"/>
      <c r="Y326" s="110"/>
      <c r="Z326" s="110"/>
      <c r="AA326" s="100"/>
      <c r="AB326" s="109"/>
      <c r="AC326" s="108"/>
      <c r="AD326" s="109"/>
      <c r="AE326" s="109"/>
      <c r="AF326" s="109"/>
      <c r="AG326" s="109"/>
      <c r="AH326" s="100"/>
      <c r="AI326" s="100"/>
      <c r="AJ326" s="142"/>
      <c r="AK326" s="448"/>
      <c r="AL326" s="111"/>
      <c r="AM326" s="100"/>
      <c r="AN326" s="100"/>
      <c r="AO326" s="111"/>
      <c r="AP326" s="100"/>
      <c r="AQ326" s="100"/>
      <c r="AR326" s="111"/>
      <c r="AS326" s="142"/>
      <c r="AT326" s="150"/>
    </row>
    <row r="327" spans="1:46" ht="16.3">
      <c r="A327" s="91" t="s">
        <v>3</v>
      </c>
      <c r="B327" s="209">
        <f>SUM(J327+K327+L327+M327+N327+S327+V327+W327+X327+AA327+AI327+AJ327+AI327+AM327+AP327+AQ327+AS327+AT327+AU327+AV327)+10</f>
        <v>11</v>
      </c>
      <c r="C327" s="214">
        <f t="shared" si="41"/>
        <v>11</v>
      </c>
      <c r="D327" s="133"/>
      <c r="E327" s="134"/>
      <c r="F327" s="135"/>
      <c r="G327" s="136"/>
      <c r="H327" s="96"/>
      <c r="I327" s="96"/>
      <c r="J327" s="75"/>
      <c r="K327" s="75"/>
      <c r="L327" s="75"/>
      <c r="M327" s="75">
        <v>1</v>
      </c>
      <c r="N327" s="75"/>
      <c r="O327" s="96"/>
      <c r="P327" s="163"/>
      <c r="Q327" s="109"/>
      <c r="R327" s="111"/>
      <c r="S327" s="100"/>
      <c r="T327" s="110"/>
      <c r="U327" s="110"/>
      <c r="V327" s="100"/>
      <c r="W327" s="100"/>
      <c r="X327" s="100"/>
      <c r="Y327" s="110"/>
      <c r="Z327" s="110"/>
      <c r="AA327" s="100"/>
      <c r="AB327" s="109"/>
      <c r="AC327" s="108"/>
      <c r="AD327" s="109">
        <v>1</v>
      </c>
      <c r="AE327" s="109"/>
      <c r="AF327" s="109"/>
      <c r="AG327" s="109"/>
      <c r="AH327" s="100"/>
      <c r="AI327" s="100"/>
      <c r="AJ327" s="142"/>
      <c r="AK327" s="448"/>
      <c r="AL327" s="111"/>
      <c r="AM327" s="100"/>
      <c r="AN327" s="100"/>
      <c r="AO327" s="111"/>
      <c r="AP327" s="100"/>
      <c r="AQ327" s="100"/>
      <c r="AR327" s="111"/>
      <c r="AS327" s="142"/>
      <c r="AT327" s="150"/>
    </row>
    <row r="328" spans="1:46" ht="17" thickBot="1">
      <c r="A328" s="92" t="s">
        <v>4</v>
      </c>
      <c r="B328" s="212">
        <f>SUM(J328+K328+L328+M328+N328+S328+V328+W328+X328+AA328+AI328+AJ328+AI328+AM328+AP328+AQ328+AS328+AT328+AU328+AV328)+50</f>
        <v>55</v>
      </c>
      <c r="C328" s="217">
        <f t="shared" si="41"/>
        <v>55</v>
      </c>
      <c r="D328" s="144"/>
      <c r="E328" s="145"/>
      <c r="F328" s="146"/>
      <c r="G328" s="147"/>
      <c r="H328" s="96"/>
      <c r="I328" s="96"/>
      <c r="J328" s="75"/>
      <c r="K328" s="75"/>
      <c r="L328" s="75"/>
      <c r="M328" s="75">
        <v>5</v>
      </c>
      <c r="N328" s="75"/>
      <c r="O328" s="96"/>
      <c r="P328" s="163"/>
      <c r="Q328" s="109"/>
      <c r="R328" s="111"/>
      <c r="S328" s="100"/>
      <c r="T328" s="110"/>
      <c r="U328" s="110"/>
      <c r="V328" s="100"/>
      <c r="W328" s="100"/>
      <c r="X328" s="100"/>
      <c r="Y328" s="110"/>
      <c r="Z328" s="110"/>
      <c r="AA328" s="100"/>
      <c r="AB328" s="109"/>
      <c r="AC328" s="108"/>
      <c r="AD328" s="109">
        <v>5</v>
      </c>
      <c r="AE328" s="109"/>
      <c r="AF328" s="109"/>
      <c r="AG328" s="109"/>
      <c r="AH328" s="100"/>
      <c r="AI328" s="100"/>
      <c r="AJ328" s="142"/>
      <c r="AK328" s="448"/>
      <c r="AL328" s="111"/>
      <c r="AM328" s="100"/>
      <c r="AN328" s="100"/>
      <c r="AO328" s="111"/>
      <c r="AP328" s="100"/>
      <c r="AQ328" s="100"/>
      <c r="AR328" s="111"/>
      <c r="AS328" s="142"/>
      <c r="AT328" s="150"/>
    </row>
    <row r="329" spans="1:46" ht="21.1">
      <c r="A329" s="90" t="s">
        <v>145</v>
      </c>
      <c r="B329" s="209"/>
      <c r="C329" s="214"/>
      <c r="D329" s="133"/>
      <c r="E329" s="134"/>
      <c r="F329" s="135"/>
      <c r="G329" s="136"/>
      <c r="H329" s="124" t="s">
        <v>387</v>
      </c>
      <c r="I329" s="124"/>
      <c r="J329" s="122" t="s">
        <v>375</v>
      </c>
      <c r="K329" s="122" t="s">
        <v>387</v>
      </c>
      <c r="L329" s="122" t="s">
        <v>372</v>
      </c>
      <c r="M329" s="122" t="s">
        <v>375</v>
      </c>
      <c r="N329" s="122" t="s">
        <v>375</v>
      </c>
      <c r="O329" s="124"/>
      <c r="P329" s="166"/>
      <c r="Q329" s="99" t="s">
        <v>372</v>
      </c>
      <c r="R329" s="103"/>
      <c r="S329" s="102" t="s">
        <v>393</v>
      </c>
      <c r="T329" s="101" t="s">
        <v>375</v>
      </c>
      <c r="U329" s="101" t="s">
        <v>372</v>
      </c>
      <c r="V329" s="102" t="s">
        <v>375</v>
      </c>
      <c r="W329" s="102" t="s">
        <v>375</v>
      </c>
      <c r="X329" s="102" t="s">
        <v>375</v>
      </c>
      <c r="Y329" s="101" t="s">
        <v>375</v>
      </c>
      <c r="Z329" s="101"/>
      <c r="AA329" s="102" t="s">
        <v>375</v>
      </c>
      <c r="AB329" s="99"/>
      <c r="AC329" s="98"/>
      <c r="AD329" s="99"/>
      <c r="AE329" s="99"/>
      <c r="AF329" s="99"/>
      <c r="AG329" s="99"/>
      <c r="AH329" s="102"/>
      <c r="AI329" s="102"/>
      <c r="AJ329" s="138"/>
      <c r="AK329" s="446"/>
      <c r="AL329" s="103"/>
      <c r="AM329" s="102"/>
      <c r="AN329" s="102"/>
      <c r="AO329" s="103"/>
      <c r="AP329" s="102"/>
      <c r="AQ329" s="102"/>
      <c r="AR329" s="103"/>
      <c r="AS329" s="138"/>
      <c r="AT329" s="478"/>
    </row>
    <row r="330" spans="1:46" ht="16.3">
      <c r="A330" s="611" t="s">
        <v>1</v>
      </c>
      <c r="B330" s="210">
        <f>SUM(J330+K330+L330+M330+N330+S330+V330+W330+X330+AA330+AI330+AJ330+AI330+AM330+AP330+AQ330+AS330+AT330+AU330+AV330+AN330)+6</f>
        <v>8</v>
      </c>
      <c r="C330" s="215">
        <f>B330</f>
        <v>8</v>
      </c>
      <c r="D330" s="133"/>
      <c r="E330" s="134"/>
      <c r="F330" s="135"/>
      <c r="G330" s="136"/>
      <c r="H330" s="96">
        <v>1</v>
      </c>
      <c r="I330" s="96"/>
      <c r="J330" s="75"/>
      <c r="K330" s="75">
        <v>1</v>
      </c>
      <c r="L330" s="75">
        <v>1</v>
      </c>
      <c r="M330" s="75"/>
      <c r="N330" s="75"/>
      <c r="O330" s="96"/>
      <c r="P330" s="163"/>
      <c r="Q330" s="109">
        <v>1</v>
      </c>
      <c r="R330" s="111"/>
      <c r="S330" s="100"/>
      <c r="T330" s="110"/>
      <c r="U330" s="110">
        <v>1</v>
      </c>
      <c r="V330" s="100"/>
      <c r="W330" s="100"/>
      <c r="X330" s="100"/>
      <c r="Y330" s="110"/>
      <c r="Z330" s="110"/>
      <c r="AA330" s="100"/>
      <c r="AB330" s="109"/>
      <c r="AC330" s="108"/>
      <c r="AD330" s="109"/>
      <c r="AE330" s="109"/>
      <c r="AF330" s="109"/>
      <c r="AG330" s="109"/>
      <c r="AH330" s="100"/>
      <c r="AI330" s="100"/>
      <c r="AJ330" s="142"/>
      <c r="AK330" s="448"/>
      <c r="AL330" s="111"/>
      <c r="AM330" s="100"/>
      <c r="AN330" s="100"/>
      <c r="AO330" s="111"/>
      <c r="AP330" s="100"/>
      <c r="AQ330" s="100"/>
      <c r="AR330" s="111"/>
      <c r="AS330" s="142"/>
      <c r="AT330" s="150"/>
    </row>
    <row r="331" spans="1:46" ht="16.3">
      <c r="A331" s="611" t="s">
        <v>2</v>
      </c>
      <c r="B331" s="210">
        <f>SUM(J331+K331+L331+M331+N331+S331+V331+W331+X331+AA331+AI331+AJ331+AI331+AM331+AP331+AQ331+AS331+AT331+AU331+AV331)+30</f>
        <v>37</v>
      </c>
      <c r="C331" s="215">
        <f t="shared" ref="C331:C334" si="42">B331</f>
        <v>37</v>
      </c>
      <c r="D331" s="133"/>
      <c r="E331" s="134"/>
      <c r="F331" s="135"/>
      <c r="G331" s="136"/>
      <c r="H331" s="96"/>
      <c r="I331" s="96"/>
      <c r="J331" s="75">
        <v>1</v>
      </c>
      <c r="K331" s="75"/>
      <c r="L331" s="75"/>
      <c r="M331" s="75">
        <v>1</v>
      </c>
      <c r="N331" s="75">
        <v>1</v>
      </c>
      <c r="O331" s="96"/>
      <c r="P331" s="163"/>
      <c r="Q331" s="109"/>
      <c r="R331" s="111"/>
      <c r="S331" s="100"/>
      <c r="T331" s="110">
        <v>1</v>
      </c>
      <c r="U331" s="110"/>
      <c r="V331" s="100">
        <v>1</v>
      </c>
      <c r="W331" s="100">
        <v>1</v>
      </c>
      <c r="X331" s="100">
        <v>1</v>
      </c>
      <c r="Y331" s="110">
        <v>1</v>
      </c>
      <c r="Z331" s="110"/>
      <c r="AA331" s="100">
        <v>1</v>
      </c>
      <c r="AB331" s="109"/>
      <c r="AC331" s="108"/>
      <c r="AD331" s="109"/>
      <c r="AE331" s="109"/>
      <c r="AF331" s="109"/>
      <c r="AG331" s="109"/>
      <c r="AH331" s="100"/>
      <c r="AI331" s="100"/>
      <c r="AJ331" s="142"/>
      <c r="AK331" s="448"/>
      <c r="AL331" s="111"/>
      <c r="AM331" s="100"/>
      <c r="AN331" s="100"/>
      <c r="AO331" s="111"/>
      <c r="AP331" s="100"/>
      <c r="AQ331" s="100"/>
      <c r="AR331" s="111"/>
      <c r="AS331" s="142"/>
      <c r="AT331" s="150"/>
    </row>
    <row r="332" spans="1:46" ht="16.3">
      <c r="A332" s="91" t="s">
        <v>363</v>
      </c>
      <c r="B332" s="209">
        <f>SUM(B330+B331)</f>
        <v>45</v>
      </c>
      <c r="C332" s="214">
        <f t="shared" si="42"/>
        <v>45</v>
      </c>
      <c r="D332" s="133"/>
      <c r="E332" s="134"/>
      <c r="F332" s="135"/>
      <c r="G332" s="136"/>
      <c r="H332" s="96"/>
      <c r="I332" s="96"/>
      <c r="J332" s="75"/>
      <c r="K332" s="75"/>
      <c r="L332" s="75"/>
      <c r="M332" s="75"/>
      <c r="N332" s="75"/>
      <c r="O332" s="96"/>
      <c r="P332" s="163"/>
      <c r="Q332" s="109"/>
      <c r="R332" s="111"/>
      <c r="S332" s="100"/>
      <c r="T332" s="110"/>
      <c r="U332" s="110"/>
      <c r="V332" s="100"/>
      <c r="W332" s="100"/>
      <c r="X332" s="100"/>
      <c r="Y332" s="110"/>
      <c r="Z332" s="110"/>
      <c r="AA332" s="100"/>
      <c r="AB332" s="109"/>
      <c r="AC332" s="108"/>
      <c r="AD332" s="109"/>
      <c r="AE332" s="109"/>
      <c r="AF332" s="109"/>
      <c r="AG332" s="109"/>
      <c r="AH332" s="100"/>
      <c r="AI332" s="100"/>
      <c r="AJ332" s="142"/>
      <c r="AK332" s="448"/>
      <c r="AL332" s="111"/>
      <c r="AM332" s="100"/>
      <c r="AN332" s="100"/>
      <c r="AO332" s="111"/>
      <c r="AP332" s="100"/>
      <c r="AQ332" s="100"/>
      <c r="AR332" s="111"/>
      <c r="AS332" s="142"/>
      <c r="AT332" s="150"/>
    </row>
    <row r="333" spans="1:46" ht="16.3">
      <c r="A333" s="91" t="s">
        <v>3</v>
      </c>
      <c r="B333" s="209">
        <f>SUM(J333+K333+L333+M333+N333+S333+V333+W333+X333+AA333+AI333+AJ333+AI333+AM333+AP333+AQ333+AS333+AT333+AU333+AV333)+1</f>
        <v>3</v>
      </c>
      <c r="C333" s="214">
        <f t="shared" si="42"/>
        <v>3</v>
      </c>
      <c r="D333" s="133"/>
      <c r="E333" s="134"/>
      <c r="F333" s="135"/>
      <c r="G333" s="136"/>
      <c r="H333" s="96"/>
      <c r="I333" s="96"/>
      <c r="J333" s="75"/>
      <c r="K333" s="75">
        <v>2</v>
      </c>
      <c r="L333" s="75"/>
      <c r="M333" s="75"/>
      <c r="N333" s="75"/>
      <c r="O333" s="96"/>
      <c r="P333" s="163"/>
      <c r="Q333" s="109"/>
      <c r="R333" s="111"/>
      <c r="S333" s="100"/>
      <c r="T333" s="110"/>
      <c r="U333" s="110"/>
      <c r="V333" s="100"/>
      <c r="W333" s="100"/>
      <c r="X333" s="100"/>
      <c r="Y333" s="110"/>
      <c r="Z333" s="110"/>
      <c r="AA333" s="100"/>
      <c r="AB333" s="109"/>
      <c r="AC333" s="108"/>
      <c r="AD333" s="109"/>
      <c r="AE333" s="109"/>
      <c r="AF333" s="109"/>
      <c r="AG333" s="109"/>
      <c r="AH333" s="100"/>
      <c r="AI333" s="100"/>
      <c r="AJ333" s="142"/>
      <c r="AK333" s="448"/>
      <c r="AL333" s="111"/>
      <c r="AM333" s="100"/>
      <c r="AN333" s="100"/>
      <c r="AO333" s="111"/>
      <c r="AP333" s="100"/>
      <c r="AQ333" s="100"/>
      <c r="AR333" s="111"/>
      <c r="AS333" s="142"/>
      <c r="AT333" s="150"/>
    </row>
    <row r="334" spans="1:46" ht="17" thickBot="1">
      <c r="A334" s="92" t="s">
        <v>4</v>
      </c>
      <c r="B334" s="212">
        <f>SUM(J334+K334+L334+M334+N334+S334+V334+W334+X334+AA334+AI334+AJ334+AI334+AM334+AP334+AQ334+AS334+AT334+AU334+AV334)+5</f>
        <v>15</v>
      </c>
      <c r="C334" s="217">
        <f t="shared" si="42"/>
        <v>15</v>
      </c>
      <c r="D334" s="144"/>
      <c r="E334" s="145"/>
      <c r="F334" s="146"/>
      <c r="G334" s="147"/>
      <c r="H334" s="96"/>
      <c r="I334" s="96"/>
      <c r="J334" s="75"/>
      <c r="K334" s="75">
        <v>10</v>
      </c>
      <c r="L334" s="75"/>
      <c r="M334" s="75"/>
      <c r="N334" s="75"/>
      <c r="O334" s="96"/>
      <c r="P334" s="163"/>
      <c r="Q334" s="109"/>
      <c r="R334" s="111"/>
      <c r="S334" s="100"/>
      <c r="T334" s="110"/>
      <c r="U334" s="110"/>
      <c r="V334" s="100"/>
      <c r="W334" s="100"/>
      <c r="X334" s="100"/>
      <c r="Y334" s="110"/>
      <c r="Z334" s="110"/>
      <c r="AA334" s="100"/>
      <c r="AB334" s="109"/>
      <c r="AC334" s="108"/>
      <c r="AD334" s="109"/>
      <c r="AE334" s="109"/>
      <c r="AF334" s="109"/>
      <c r="AG334" s="109"/>
      <c r="AH334" s="100"/>
      <c r="AI334" s="100"/>
      <c r="AJ334" s="142"/>
      <c r="AK334" s="448"/>
      <c r="AL334" s="111"/>
      <c r="AM334" s="100"/>
      <c r="AN334" s="100"/>
      <c r="AO334" s="111"/>
      <c r="AP334" s="100"/>
      <c r="AQ334" s="100"/>
      <c r="AR334" s="111"/>
      <c r="AS334" s="149"/>
      <c r="AT334" s="176"/>
    </row>
    <row r="335" spans="1:46" ht="21.1">
      <c r="A335" s="90" t="s">
        <v>152</v>
      </c>
      <c r="B335" s="209"/>
      <c r="C335" s="214"/>
      <c r="D335" s="133"/>
      <c r="E335" s="134"/>
      <c r="F335" s="135"/>
      <c r="G335" s="136"/>
      <c r="H335" s="124"/>
      <c r="I335" s="124"/>
      <c r="J335" s="122" t="s">
        <v>372</v>
      </c>
      <c r="K335" s="122" t="s">
        <v>339</v>
      </c>
      <c r="L335" s="122" t="s">
        <v>339</v>
      </c>
      <c r="M335" s="122" t="s">
        <v>339</v>
      </c>
      <c r="N335" s="122" t="s">
        <v>339</v>
      </c>
      <c r="O335" s="124" t="s">
        <v>339</v>
      </c>
      <c r="P335" s="166"/>
      <c r="Q335" s="124" t="s">
        <v>339</v>
      </c>
      <c r="R335" s="103"/>
      <c r="S335" s="102" t="s">
        <v>339</v>
      </c>
      <c r="T335" s="101" t="s">
        <v>339</v>
      </c>
      <c r="U335" s="101" t="s">
        <v>881</v>
      </c>
      <c r="V335" s="102" t="s">
        <v>387</v>
      </c>
      <c r="W335" s="102">
        <v>5</v>
      </c>
      <c r="X335" s="102" t="s">
        <v>387</v>
      </c>
      <c r="Y335" s="101" t="s">
        <v>703</v>
      </c>
      <c r="Z335" s="101" t="s">
        <v>703</v>
      </c>
      <c r="AA335" s="102" t="s">
        <v>703</v>
      </c>
      <c r="AB335" s="99" t="s">
        <v>775</v>
      </c>
      <c r="AC335" s="98"/>
      <c r="AD335" s="99" t="s">
        <v>775</v>
      </c>
      <c r="AE335" s="99" t="s">
        <v>775</v>
      </c>
      <c r="AF335" s="99" t="s">
        <v>372</v>
      </c>
      <c r="AG335" s="99"/>
      <c r="AH335" s="102"/>
      <c r="AI335" s="102"/>
      <c r="AJ335" s="138"/>
      <c r="AK335" s="446"/>
      <c r="AL335" s="103"/>
      <c r="AM335" s="102"/>
      <c r="AN335" s="102"/>
      <c r="AO335" s="103"/>
      <c r="AP335" s="102"/>
      <c r="AQ335" s="102"/>
      <c r="AR335" s="131"/>
      <c r="AS335" s="142"/>
      <c r="AT335" s="150"/>
    </row>
    <row r="336" spans="1:46" ht="16.3">
      <c r="A336" s="611" t="s">
        <v>1</v>
      </c>
      <c r="B336" s="210">
        <f>SUM(J336+K336+L336+M336+N336+S336+V336+W336+X336+AA336+AI336+AJ336+AI336+AM336+AP336+AQ336+AS336+AT336+AU336+AV336+AN336)+17</f>
        <v>21</v>
      </c>
      <c r="C336" s="215">
        <f>SUM(J336+K336+L336+M336+N336+S336+W336+X336+V336+AA336+AJ336+AI336+AJ336+AN336+AQ336+AM336+AT336+AU336+AV336+AW336+AP336+AS336)+17</f>
        <v>21</v>
      </c>
      <c r="D336" s="133"/>
      <c r="E336" s="134"/>
      <c r="F336" s="135"/>
      <c r="G336" s="136"/>
      <c r="H336" s="96"/>
      <c r="I336" s="96"/>
      <c r="J336" s="75">
        <v>1</v>
      </c>
      <c r="K336" s="75"/>
      <c r="L336" s="75"/>
      <c r="M336" s="75"/>
      <c r="N336" s="75"/>
      <c r="O336" s="96"/>
      <c r="P336" s="163"/>
      <c r="Q336" s="109"/>
      <c r="R336" s="111"/>
      <c r="S336" s="100"/>
      <c r="T336" s="110"/>
      <c r="U336" s="110">
        <v>1</v>
      </c>
      <c r="V336" s="100">
        <v>1</v>
      </c>
      <c r="W336" s="100">
        <v>1</v>
      </c>
      <c r="X336" s="100">
        <v>1</v>
      </c>
      <c r="Y336" s="110"/>
      <c r="Z336" s="110"/>
      <c r="AA336" s="100"/>
      <c r="AB336" s="109"/>
      <c r="AC336" s="108"/>
      <c r="AD336" s="109"/>
      <c r="AE336" s="109"/>
      <c r="AF336" s="109">
        <v>1</v>
      </c>
      <c r="AG336" s="109"/>
      <c r="AH336" s="100"/>
      <c r="AI336" s="100"/>
      <c r="AJ336" s="142"/>
      <c r="AK336" s="448"/>
      <c r="AL336" s="111"/>
      <c r="AM336" s="100"/>
      <c r="AN336" s="100"/>
      <c r="AO336" s="111"/>
      <c r="AP336" s="100"/>
      <c r="AQ336" s="100"/>
      <c r="AR336" s="111"/>
      <c r="AS336" s="142"/>
      <c r="AT336" s="150"/>
    </row>
    <row r="337" spans="1:46" ht="16.3">
      <c r="A337" s="611" t="s">
        <v>2</v>
      </c>
      <c r="B337" s="210">
        <f>SUM(J337+K337+L337+M337+N337+S337+V337+W337+X337+AA337+AI337+AJ337+AI337+AM337+AP337+AQ337+AS337+AT337+AU337+AV337)+2</f>
        <v>2</v>
      </c>
      <c r="C337" s="215">
        <f>SUM(J337+K337+L337+M337+N337+S337+W337+X337+V337+AA337+AJ337+AI337+AJ337+AN337+AQ337+AM337+AT337+AU337+AV337+AW337+AP337+AS337)+3</f>
        <v>3</v>
      </c>
      <c r="D337" s="133"/>
      <c r="E337" s="134"/>
      <c r="F337" s="135"/>
      <c r="G337" s="136"/>
      <c r="H337" s="96"/>
      <c r="I337" s="96"/>
      <c r="J337" s="75"/>
      <c r="K337" s="75"/>
      <c r="L337" s="75"/>
      <c r="M337" s="75"/>
      <c r="N337" s="75"/>
      <c r="O337" s="96"/>
      <c r="P337" s="163"/>
      <c r="Q337" s="109"/>
      <c r="R337" s="111"/>
      <c r="S337" s="100"/>
      <c r="T337" s="110"/>
      <c r="U337" s="110"/>
      <c r="V337" s="100"/>
      <c r="W337" s="100"/>
      <c r="X337" s="100"/>
      <c r="Y337" s="110"/>
      <c r="Z337" s="110"/>
      <c r="AA337" s="100"/>
      <c r="AB337" s="109"/>
      <c r="AC337" s="108"/>
      <c r="AD337" s="109"/>
      <c r="AE337" s="109"/>
      <c r="AF337" s="109"/>
      <c r="AG337" s="109"/>
      <c r="AH337" s="100"/>
      <c r="AI337" s="100"/>
      <c r="AJ337" s="142"/>
      <c r="AK337" s="448"/>
      <c r="AL337" s="111"/>
      <c r="AM337" s="100"/>
      <c r="AN337" s="100"/>
      <c r="AO337" s="111"/>
      <c r="AP337" s="100"/>
      <c r="AQ337" s="100"/>
      <c r="AR337" s="111"/>
      <c r="AS337" s="142"/>
      <c r="AT337" s="150"/>
    </row>
    <row r="338" spans="1:46" ht="16.3">
      <c r="A338" s="91" t="s">
        <v>363</v>
      </c>
      <c r="B338" s="209">
        <f>SUM(B336+B337)</f>
        <v>23</v>
      </c>
      <c r="C338" s="214">
        <f>SUM(C336+C337)</f>
        <v>24</v>
      </c>
      <c r="D338" s="133"/>
      <c r="E338" s="134"/>
      <c r="F338" s="135"/>
      <c r="G338" s="136"/>
      <c r="H338" s="96"/>
      <c r="I338" s="96"/>
      <c r="J338" s="75"/>
      <c r="K338" s="75"/>
      <c r="L338" s="75"/>
      <c r="M338" s="75"/>
      <c r="N338" s="75"/>
      <c r="O338" s="96"/>
      <c r="P338" s="163"/>
      <c r="Q338" s="109"/>
      <c r="R338" s="111"/>
      <c r="S338" s="100"/>
      <c r="T338" s="110"/>
      <c r="U338" s="110"/>
      <c r="V338" s="100"/>
      <c r="W338" s="100"/>
      <c r="X338" s="100"/>
      <c r="Y338" s="110"/>
      <c r="Z338" s="110"/>
      <c r="AA338" s="100"/>
      <c r="AB338" s="109"/>
      <c r="AC338" s="108"/>
      <c r="AD338" s="109"/>
      <c r="AE338" s="109"/>
      <c r="AF338" s="109"/>
      <c r="AG338" s="109"/>
      <c r="AH338" s="100"/>
      <c r="AI338" s="100"/>
      <c r="AJ338" s="142"/>
      <c r="AK338" s="448"/>
      <c r="AL338" s="111"/>
      <c r="AM338" s="100"/>
      <c r="AN338" s="100"/>
      <c r="AO338" s="111"/>
      <c r="AP338" s="100"/>
      <c r="AQ338" s="100"/>
      <c r="AR338" s="111"/>
      <c r="AS338" s="142"/>
      <c r="AT338" s="150"/>
    </row>
    <row r="339" spans="1:46" ht="16.3">
      <c r="A339" s="611" t="s">
        <v>366</v>
      </c>
      <c r="B339" s="210">
        <f>SUM(J339+K339+L339+M339+N339+S339+V339+W339+X339+AA339+AI339+AJ339+AI339+AM339+AP339+AQ339+AS339+AT339+AU339+AV339)</f>
        <v>0</v>
      </c>
      <c r="C339" s="215">
        <f>SUM(J339+K339+L339+M339+N339+S339+W339+X339+V339+AA339+AJ339+AI339+AJ339+AN339+AQ339+AM339+AT339+AU339+AV339+AW339+AP339+AS339)</f>
        <v>0</v>
      </c>
      <c r="D339" s="133"/>
      <c r="E339" s="134"/>
      <c r="F339" s="135"/>
      <c r="G339" s="136"/>
      <c r="H339" s="96"/>
      <c r="I339" s="96"/>
      <c r="J339" s="75"/>
      <c r="K339" s="75"/>
      <c r="L339" s="75"/>
      <c r="M339" s="75"/>
      <c r="N339" s="75"/>
      <c r="O339" s="96"/>
      <c r="P339" s="163"/>
      <c r="Q339" s="109"/>
      <c r="R339" s="111"/>
      <c r="S339" s="100"/>
      <c r="T339" s="110"/>
      <c r="U339" s="110">
        <v>1</v>
      </c>
      <c r="V339" s="100"/>
      <c r="W339" s="100"/>
      <c r="X339" s="100"/>
      <c r="Y339" s="110"/>
      <c r="Z339" s="110"/>
      <c r="AA339" s="100"/>
      <c r="AB339" s="109"/>
      <c r="AC339" s="108"/>
      <c r="AD339" s="109"/>
      <c r="AE339" s="109"/>
      <c r="AF339" s="109"/>
      <c r="AG339" s="109"/>
      <c r="AH339" s="100"/>
      <c r="AI339" s="100"/>
      <c r="AJ339" s="142"/>
      <c r="AK339" s="448"/>
      <c r="AL339" s="111"/>
      <c r="AM339" s="100"/>
      <c r="AN339" s="100"/>
      <c r="AO339" s="111"/>
      <c r="AP339" s="100"/>
      <c r="AQ339" s="100"/>
      <c r="AR339" s="111"/>
      <c r="AS339" s="142"/>
      <c r="AT339" s="150"/>
    </row>
    <row r="340" spans="1:46" ht="16.3">
      <c r="A340" s="611" t="s">
        <v>362</v>
      </c>
      <c r="B340" s="210">
        <f>SUM(J340+K340+L340+M340+N340+S340+V340+W340+X340+AA340+AI340+AJ340+AI340+AM340+AP340+AQ340+AS340+AT340+AU340+AV340)+1</f>
        <v>1</v>
      </c>
      <c r="C340" s="215">
        <f>SUM(J340+K340+L340+M340+N340+S340+W340+X340+V340+AA340+AJ340+AI340+AJ340+AN340+AQ340+AM340+AT340+AU340+AV340+AW340+AP340+AS340)+1</f>
        <v>1</v>
      </c>
      <c r="D340" s="133"/>
      <c r="E340" s="134"/>
      <c r="F340" s="135"/>
      <c r="G340" s="136"/>
      <c r="H340" s="96"/>
      <c r="I340" s="96"/>
      <c r="J340" s="75"/>
      <c r="K340" s="75"/>
      <c r="L340" s="75"/>
      <c r="M340" s="75"/>
      <c r="N340" s="75"/>
      <c r="O340" s="96"/>
      <c r="P340" s="163"/>
      <c r="Q340" s="109"/>
      <c r="R340" s="111"/>
      <c r="S340" s="100"/>
      <c r="T340" s="110"/>
      <c r="U340" s="110"/>
      <c r="V340" s="100"/>
      <c r="W340" s="100"/>
      <c r="X340" s="100"/>
      <c r="Y340" s="110"/>
      <c r="Z340" s="110"/>
      <c r="AA340" s="100"/>
      <c r="AB340" s="109"/>
      <c r="AC340" s="108"/>
      <c r="AD340" s="109"/>
      <c r="AE340" s="109"/>
      <c r="AF340" s="109"/>
      <c r="AG340" s="109"/>
      <c r="AH340" s="100"/>
      <c r="AI340" s="100"/>
      <c r="AJ340" s="142"/>
      <c r="AK340" s="448"/>
      <c r="AL340" s="111"/>
      <c r="AM340" s="100"/>
      <c r="AN340" s="100"/>
      <c r="AO340" s="111"/>
      <c r="AP340" s="100"/>
      <c r="AQ340" s="100"/>
      <c r="AR340" s="111"/>
      <c r="AS340" s="142"/>
      <c r="AT340" s="150"/>
    </row>
    <row r="341" spans="1:46" ht="16.3">
      <c r="A341" s="91" t="s">
        <v>3</v>
      </c>
      <c r="B341" s="209">
        <f>SUM(J341+K341+L341+M341+N341+S341+V341+W341+X341+AA341+AI341+AJ341+AI341+AM341+AP341+AQ341+AS341+AT341+AU341+AV341)+2</f>
        <v>3</v>
      </c>
      <c r="C341" s="214">
        <f>SUM(J341+K341+L341+M341+N341+S341+W341+X341+V341+AA341+AJ341+AI341+AJ341+AN341+AQ341+AM341+AT341+AU341+AV341+AW341+AP341+AS341)+2</f>
        <v>3</v>
      </c>
      <c r="D341" s="133"/>
      <c r="E341" s="134"/>
      <c r="F341" s="135"/>
      <c r="G341" s="136"/>
      <c r="H341" s="96"/>
      <c r="I341" s="96"/>
      <c r="J341" s="75"/>
      <c r="K341" s="75"/>
      <c r="L341" s="75"/>
      <c r="M341" s="75"/>
      <c r="N341" s="75"/>
      <c r="O341" s="96"/>
      <c r="P341" s="163"/>
      <c r="Q341" s="109"/>
      <c r="R341" s="111"/>
      <c r="S341" s="100"/>
      <c r="T341" s="110"/>
      <c r="U341" s="110"/>
      <c r="V341" s="100"/>
      <c r="W341" s="100">
        <v>1</v>
      </c>
      <c r="X341" s="100"/>
      <c r="Y341" s="110"/>
      <c r="Z341" s="110"/>
      <c r="AA341" s="100"/>
      <c r="AB341" s="109"/>
      <c r="AC341" s="108"/>
      <c r="AD341" s="109"/>
      <c r="AE341" s="109"/>
      <c r="AF341" s="109"/>
      <c r="AG341" s="109"/>
      <c r="AH341" s="100"/>
      <c r="AI341" s="100"/>
      <c r="AJ341" s="142"/>
      <c r="AK341" s="448"/>
      <c r="AL341" s="111"/>
      <c r="AM341" s="100"/>
      <c r="AN341" s="100"/>
      <c r="AO341" s="111"/>
      <c r="AP341" s="100"/>
      <c r="AQ341" s="100"/>
      <c r="AR341" s="111"/>
      <c r="AS341" s="142"/>
      <c r="AT341" s="150"/>
    </row>
    <row r="342" spans="1:46" ht="17" thickBot="1">
      <c r="A342" s="92" t="s">
        <v>4</v>
      </c>
      <c r="B342" s="212">
        <f>SUM(J342+K342+L342+M342+N342+S342+V342+W342+X342+AA342+AI342+AJ342+AI342+AM342+AP342+AQ342+AS342+AT342+AU342+AV342)+10</f>
        <v>15</v>
      </c>
      <c r="C342" s="217">
        <f>SUM(J342+K342+L342+M342+N342+S342+W342+X342+V342+AA342+AJ342+AI342+AJ342+AN342+AQ342+AM342+AT342+AU342+AV342+AW342+AP342+AS342)+10</f>
        <v>15</v>
      </c>
      <c r="D342" s="144"/>
      <c r="E342" s="145"/>
      <c r="F342" s="146"/>
      <c r="G342" s="147"/>
      <c r="H342" s="114"/>
      <c r="I342" s="114"/>
      <c r="J342" s="112"/>
      <c r="K342" s="112"/>
      <c r="L342" s="112"/>
      <c r="M342" s="112"/>
      <c r="N342" s="112"/>
      <c r="O342" s="114"/>
      <c r="P342" s="164"/>
      <c r="Q342" s="118"/>
      <c r="R342" s="121"/>
      <c r="S342" s="116"/>
      <c r="T342" s="120"/>
      <c r="U342" s="120"/>
      <c r="V342" s="116"/>
      <c r="W342" s="116">
        <v>5</v>
      </c>
      <c r="X342" s="116"/>
      <c r="Y342" s="120"/>
      <c r="Z342" s="120"/>
      <c r="AA342" s="116"/>
      <c r="AB342" s="118"/>
      <c r="AC342" s="117"/>
      <c r="AD342" s="118"/>
      <c r="AE342" s="118"/>
      <c r="AF342" s="118"/>
      <c r="AG342" s="118"/>
      <c r="AH342" s="116"/>
      <c r="AI342" s="116"/>
      <c r="AJ342" s="149"/>
      <c r="AK342" s="449"/>
      <c r="AL342" s="121"/>
      <c r="AM342" s="116"/>
      <c r="AN342" s="116"/>
      <c r="AO342" s="121"/>
      <c r="AP342" s="116"/>
      <c r="AQ342" s="116"/>
      <c r="AR342" s="121"/>
      <c r="AS342" s="149"/>
      <c r="AT342" s="176"/>
    </row>
    <row r="343" spans="1:46" ht="21.1">
      <c r="A343" s="89" t="s">
        <v>153</v>
      </c>
      <c r="B343" s="209"/>
      <c r="C343" s="214"/>
      <c r="D343" s="133"/>
      <c r="E343" s="134"/>
      <c r="F343" s="135"/>
      <c r="G343" s="136"/>
      <c r="H343" s="96">
        <v>4</v>
      </c>
      <c r="I343" s="96"/>
      <c r="J343" s="75">
        <v>6</v>
      </c>
      <c r="K343" s="75" t="s">
        <v>372</v>
      </c>
      <c r="L343" s="75">
        <v>6</v>
      </c>
      <c r="M343" s="75">
        <v>4</v>
      </c>
      <c r="N343" s="75">
        <v>4</v>
      </c>
      <c r="O343" s="96" t="s">
        <v>803</v>
      </c>
      <c r="P343" s="163"/>
      <c r="Q343" s="109" t="s">
        <v>803</v>
      </c>
      <c r="R343" s="111"/>
      <c r="S343" s="100">
        <v>4</v>
      </c>
      <c r="T343" s="110">
        <v>4</v>
      </c>
      <c r="U343" s="110"/>
      <c r="V343" s="100">
        <v>4</v>
      </c>
      <c r="W343" s="100">
        <v>4</v>
      </c>
      <c r="X343" s="100">
        <v>4</v>
      </c>
      <c r="Y343" s="110" t="s">
        <v>372</v>
      </c>
      <c r="Z343" s="110" t="s">
        <v>339</v>
      </c>
      <c r="AA343" s="100" t="s">
        <v>339</v>
      </c>
      <c r="AB343" s="109"/>
      <c r="AC343" s="108"/>
      <c r="AD343" s="109" t="s">
        <v>803</v>
      </c>
      <c r="AE343" s="109" t="s">
        <v>803</v>
      </c>
      <c r="AF343" s="109"/>
      <c r="AG343" s="109"/>
      <c r="AH343" s="100"/>
      <c r="AI343" s="100"/>
      <c r="AJ343" s="142"/>
      <c r="AK343" s="448"/>
      <c r="AL343" s="111"/>
      <c r="AM343" s="100"/>
      <c r="AN343" s="100"/>
      <c r="AO343" s="111"/>
      <c r="AP343" s="100"/>
      <c r="AQ343" s="100"/>
      <c r="AR343" s="111"/>
      <c r="AS343" s="142"/>
      <c r="AT343" s="150"/>
    </row>
    <row r="344" spans="1:46" ht="16.3">
      <c r="A344" s="611" t="s">
        <v>1</v>
      </c>
      <c r="B344" s="210">
        <f>SUM(J344+K344+L344+M344+N344+S344+V344+W344+X344+AA344+AI344+AJ344+AI344+AM344+AP344+AQ344+AS344+AT344+AU344+AV344+AN344)+22</f>
        <v>31</v>
      </c>
      <c r="C344" s="215">
        <f>B344</f>
        <v>31</v>
      </c>
      <c r="D344" s="133"/>
      <c r="E344" s="134"/>
      <c r="F344" s="135"/>
      <c r="G344" s="136"/>
      <c r="H344" s="96">
        <v>1</v>
      </c>
      <c r="I344" s="96"/>
      <c r="J344" s="75">
        <v>1</v>
      </c>
      <c r="K344" s="75">
        <v>1</v>
      </c>
      <c r="L344" s="75">
        <v>1</v>
      </c>
      <c r="M344" s="75">
        <v>1</v>
      </c>
      <c r="N344" s="75">
        <v>1</v>
      </c>
      <c r="O344" s="96"/>
      <c r="P344" s="163"/>
      <c r="Q344" s="109"/>
      <c r="R344" s="111"/>
      <c r="S344" s="100">
        <v>1</v>
      </c>
      <c r="T344" s="110">
        <v>1</v>
      </c>
      <c r="U344" s="110"/>
      <c r="V344" s="100">
        <v>1</v>
      </c>
      <c r="W344" s="100">
        <v>1</v>
      </c>
      <c r="X344" s="100">
        <v>1</v>
      </c>
      <c r="Y344" s="110">
        <v>1</v>
      </c>
      <c r="Z344" s="110"/>
      <c r="AA344" s="100"/>
      <c r="AB344" s="109"/>
      <c r="AC344" s="108"/>
      <c r="AD344" s="109"/>
      <c r="AE344" s="109"/>
      <c r="AF344" s="109"/>
      <c r="AG344" s="109"/>
      <c r="AH344" s="100"/>
      <c r="AI344" s="100"/>
      <c r="AJ344" s="142"/>
      <c r="AK344" s="448"/>
      <c r="AL344" s="111"/>
      <c r="AM344" s="100"/>
      <c r="AN344" s="100"/>
      <c r="AO344" s="111"/>
      <c r="AP344" s="100"/>
      <c r="AQ344" s="100"/>
      <c r="AR344" s="111"/>
      <c r="AS344" s="142"/>
      <c r="AT344" s="150"/>
    </row>
    <row r="345" spans="1:46" ht="16.3">
      <c r="A345" s="611" t="s">
        <v>2</v>
      </c>
      <c r="B345" s="210">
        <f>SUM(J345+K345+L345+M345+N345+S345+V345+W345+X345+AA345+AI345+AJ345+AI345+AM345+AP345+AQ345+AS345+AT345+AU345+AV345)+14</f>
        <v>14</v>
      </c>
      <c r="C345" s="215">
        <f t="shared" ref="C345:C348" si="43">B345</f>
        <v>14</v>
      </c>
      <c r="D345" s="133"/>
      <c r="E345" s="134"/>
      <c r="F345" s="135"/>
      <c r="G345" s="136"/>
      <c r="H345" s="96"/>
      <c r="I345" s="96"/>
      <c r="J345" s="75"/>
      <c r="K345" s="75"/>
      <c r="L345" s="75"/>
      <c r="M345" s="75"/>
      <c r="N345" s="75"/>
      <c r="O345" s="96"/>
      <c r="P345" s="163"/>
      <c r="Q345" s="109"/>
      <c r="R345" s="111"/>
      <c r="S345" s="100"/>
      <c r="T345" s="110"/>
      <c r="U345" s="110"/>
      <c r="V345" s="100"/>
      <c r="W345" s="100"/>
      <c r="X345" s="100"/>
      <c r="Y345" s="110"/>
      <c r="Z345" s="110"/>
      <c r="AA345" s="100"/>
      <c r="AB345" s="109"/>
      <c r="AC345" s="108"/>
      <c r="AD345" s="109"/>
      <c r="AE345" s="109"/>
      <c r="AF345" s="109"/>
      <c r="AG345" s="109"/>
      <c r="AH345" s="100"/>
      <c r="AI345" s="100"/>
      <c r="AJ345" s="142"/>
      <c r="AK345" s="448"/>
      <c r="AL345" s="111"/>
      <c r="AM345" s="100"/>
      <c r="AN345" s="100"/>
      <c r="AO345" s="111"/>
      <c r="AP345" s="100"/>
      <c r="AQ345" s="100"/>
      <c r="AR345" s="111"/>
      <c r="AS345" s="142"/>
      <c r="AT345" s="150"/>
    </row>
    <row r="346" spans="1:46" ht="16.3">
      <c r="A346" s="91" t="s">
        <v>363</v>
      </c>
      <c r="B346" s="209">
        <f>SUM(B344+B345)</f>
        <v>45</v>
      </c>
      <c r="C346" s="214">
        <f t="shared" si="43"/>
        <v>45</v>
      </c>
      <c r="D346" s="133"/>
      <c r="E346" s="134"/>
      <c r="F346" s="135"/>
      <c r="G346" s="136"/>
      <c r="H346" s="96"/>
      <c r="I346" s="96"/>
      <c r="J346" s="75"/>
      <c r="K346" s="75"/>
      <c r="L346" s="75"/>
      <c r="M346" s="75"/>
      <c r="N346" s="75"/>
      <c r="O346" s="96"/>
      <c r="P346" s="163"/>
      <c r="Q346" s="109"/>
      <c r="R346" s="111"/>
      <c r="S346" s="100"/>
      <c r="T346" s="110"/>
      <c r="U346" s="110"/>
      <c r="V346" s="100"/>
      <c r="W346" s="100"/>
      <c r="X346" s="100"/>
      <c r="Y346" s="110"/>
      <c r="Z346" s="110"/>
      <c r="AA346" s="100"/>
      <c r="AB346" s="109"/>
      <c r="AC346" s="108"/>
      <c r="AD346" s="109"/>
      <c r="AE346" s="109"/>
      <c r="AF346" s="109"/>
      <c r="AG346" s="109"/>
      <c r="AH346" s="100"/>
      <c r="AI346" s="100"/>
      <c r="AJ346" s="142"/>
      <c r="AK346" s="448"/>
      <c r="AL346" s="111"/>
      <c r="AM346" s="100"/>
      <c r="AN346" s="100"/>
      <c r="AO346" s="111"/>
      <c r="AP346" s="100"/>
      <c r="AQ346" s="100"/>
      <c r="AR346" s="111"/>
      <c r="AS346" s="142"/>
      <c r="AT346" s="150"/>
    </row>
    <row r="347" spans="1:46" ht="16.3">
      <c r="A347" s="91" t="s">
        <v>3</v>
      </c>
      <c r="B347" s="209">
        <f>SUM(J347+K347+L347+M347+N347+S347+V347+W347+X347+AA347+AI347+AJ347+AI347+AM347+AP347+AQ347+AS347+AT347+AU347+AV347)+4</f>
        <v>6</v>
      </c>
      <c r="C347" s="214">
        <f t="shared" si="43"/>
        <v>6</v>
      </c>
      <c r="D347" s="133"/>
      <c r="E347" s="134"/>
      <c r="F347" s="135"/>
      <c r="G347" s="136"/>
      <c r="H347" s="96"/>
      <c r="I347" s="96"/>
      <c r="J347" s="75"/>
      <c r="K347" s="75"/>
      <c r="L347" s="75"/>
      <c r="M347" s="75"/>
      <c r="N347" s="75">
        <v>1</v>
      </c>
      <c r="O347" s="96"/>
      <c r="P347" s="163"/>
      <c r="Q347" s="109"/>
      <c r="R347" s="111"/>
      <c r="S347" s="100"/>
      <c r="T347" s="110">
        <v>1</v>
      </c>
      <c r="U347" s="110"/>
      <c r="V347" s="100"/>
      <c r="W347" s="100">
        <v>1</v>
      </c>
      <c r="X347" s="100"/>
      <c r="Y347" s="110"/>
      <c r="Z347" s="110"/>
      <c r="AA347" s="100"/>
      <c r="AB347" s="109"/>
      <c r="AC347" s="108"/>
      <c r="AD347" s="109"/>
      <c r="AE347" s="109"/>
      <c r="AF347" s="109"/>
      <c r="AG347" s="109"/>
      <c r="AH347" s="100"/>
      <c r="AI347" s="100"/>
      <c r="AJ347" s="142"/>
      <c r="AK347" s="448"/>
      <c r="AL347" s="111"/>
      <c r="AM347" s="100"/>
      <c r="AN347" s="100"/>
      <c r="AO347" s="111"/>
      <c r="AP347" s="100"/>
      <c r="AQ347" s="100"/>
      <c r="AR347" s="111"/>
      <c r="AS347" s="142"/>
      <c r="AT347" s="150"/>
    </row>
    <row r="348" spans="1:46" ht="17" thickBot="1">
      <c r="A348" s="92" t="s">
        <v>4</v>
      </c>
      <c r="B348" s="212">
        <f>SUM(J348+K348+L348+M348+N348+S348+V348+W348+X348+AA348+AI348+AJ348+AI348+AM348+AP348+AQ348+AS348+AT348+AU348+AV348)+20</f>
        <v>30</v>
      </c>
      <c r="C348" s="217">
        <f t="shared" si="43"/>
        <v>30</v>
      </c>
      <c r="D348" s="144"/>
      <c r="E348" s="145"/>
      <c r="F348" s="146"/>
      <c r="G348" s="147"/>
      <c r="H348" s="96"/>
      <c r="I348" s="96"/>
      <c r="J348" s="75"/>
      <c r="K348" s="75"/>
      <c r="L348" s="75"/>
      <c r="M348" s="75"/>
      <c r="N348" s="75">
        <v>5</v>
      </c>
      <c r="O348" s="96"/>
      <c r="P348" s="163"/>
      <c r="Q348" s="109"/>
      <c r="R348" s="111"/>
      <c r="S348" s="100"/>
      <c r="T348" s="110">
        <v>5</v>
      </c>
      <c r="U348" s="110"/>
      <c r="V348" s="100"/>
      <c r="W348" s="100">
        <v>5</v>
      </c>
      <c r="X348" s="100"/>
      <c r="Y348" s="110"/>
      <c r="Z348" s="110"/>
      <c r="AA348" s="100"/>
      <c r="AB348" s="109"/>
      <c r="AC348" s="108"/>
      <c r="AD348" s="109"/>
      <c r="AE348" s="109"/>
      <c r="AF348" s="109"/>
      <c r="AG348" s="109"/>
      <c r="AH348" s="100"/>
      <c r="AI348" s="100"/>
      <c r="AJ348" s="142"/>
      <c r="AK348" s="448"/>
      <c r="AL348" s="111"/>
      <c r="AM348" s="100"/>
      <c r="AN348" s="100"/>
      <c r="AO348" s="111"/>
      <c r="AP348" s="100"/>
      <c r="AQ348" s="100"/>
      <c r="AR348" s="111"/>
      <c r="AS348" s="142"/>
      <c r="AT348" s="150"/>
    </row>
    <row r="349" spans="1:46" ht="21.1">
      <c r="A349" s="89" t="s">
        <v>622</v>
      </c>
      <c r="B349" s="209"/>
      <c r="C349" s="214"/>
      <c r="D349" s="133"/>
      <c r="E349" s="134"/>
      <c r="F349" s="135"/>
      <c r="G349" s="136"/>
      <c r="H349" s="124"/>
      <c r="I349" s="124" t="s">
        <v>628</v>
      </c>
      <c r="J349" s="122"/>
      <c r="K349" s="122" t="s">
        <v>375</v>
      </c>
      <c r="L349" s="122" t="s">
        <v>375</v>
      </c>
      <c r="M349" s="122" t="s">
        <v>374</v>
      </c>
      <c r="N349" s="122" t="s">
        <v>374</v>
      </c>
      <c r="O349" s="124"/>
      <c r="P349" s="166"/>
      <c r="Q349" s="99">
        <v>5</v>
      </c>
      <c r="R349" s="131"/>
      <c r="S349" s="102"/>
      <c r="T349" s="101"/>
      <c r="U349" s="101" t="s">
        <v>375</v>
      </c>
      <c r="V349" s="102"/>
      <c r="W349" s="102"/>
      <c r="X349" s="102"/>
      <c r="Y349" s="101"/>
      <c r="Z349" s="101"/>
      <c r="AA349" s="102"/>
      <c r="AB349" s="99" t="s">
        <v>372</v>
      </c>
      <c r="AC349" s="98"/>
      <c r="AD349" s="99"/>
      <c r="AE349" s="99"/>
      <c r="AF349" s="99"/>
      <c r="AG349" s="99"/>
      <c r="AH349" s="102"/>
      <c r="AI349" s="102"/>
      <c r="AJ349" s="138"/>
      <c r="AK349" s="446"/>
      <c r="AL349" s="103"/>
      <c r="AM349" s="102"/>
      <c r="AN349" s="102"/>
      <c r="AO349" s="103"/>
      <c r="AP349" s="102"/>
      <c r="AQ349" s="102"/>
      <c r="AR349" s="103"/>
      <c r="AS349" s="138"/>
      <c r="AT349" s="478"/>
    </row>
    <row r="350" spans="1:46" ht="16.3">
      <c r="A350" s="611" t="s">
        <v>1</v>
      </c>
      <c r="B350" s="210">
        <f>SUM(J350+K350+L350+M350+N350+S350+V350+W350+X350+AA350+AI350+AJ350+AI350+AM350+AP350+AQ350+AS350+AT350+AU350+AV350+AN350)</f>
        <v>2</v>
      </c>
      <c r="C350" s="215">
        <f>B350</f>
        <v>2</v>
      </c>
      <c r="D350" s="133"/>
      <c r="E350" s="134"/>
      <c r="F350" s="135"/>
      <c r="G350" s="136"/>
      <c r="H350" s="96"/>
      <c r="I350" s="96">
        <v>1</v>
      </c>
      <c r="J350" s="75"/>
      <c r="K350" s="75"/>
      <c r="L350" s="75"/>
      <c r="M350" s="75">
        <v>1</v>
      </c>
      <c r="N350" s="75">
        <v>1</v>
      </c>
      <c r="O350" s="96"/>
      <c r="P350" s="163"/>
      <c r="Q350" s="109">
        <v>1</v>
      </c>
      <c r="R350" s="111"/>
      <c r="S350" s="100"/>
      <c r="T350" s="110"/>
      <c r="U350" s="110"/>
      <c r="V350" s="100"/>
      <c r="W350" s="100"/>
      <c r="X350" s="100"/>
      <c r="Y350" s="110"/>
      <c r="Z350" s="110"/>
      <c r="AA350" s="100"/>
      <c r="AB350" s="109">
        <v>1</v>
      </c>
      <c r="AC350" s="108"/>
      <c r="AD350" s="109"/>
      <c r="AE350" s="109"/>
      <c r="AF350" s="109"/>
      <c r="AG350" s="109"/>
      <c r="AH350" s="100"/>
      <c r="AI350" s="100"/>
      <c r="AJ350" s="142"/>
      <c r="AK350" s="448"/>
      <c r="AL350" s="111"/>
      <c r="AM350" s="100"/>
      <c r="AN350" s="100"/>
      <c r="AO350" s="111"/>
      <c r="AP350" s="100"/>
      <c r="AQ350" s="100"/>
      <c r="AR350" s="111"/>
      <c r="AS350" s="142"/>
      <c r="AT350" s="150"/>
    </row>
    <row r="351" spans="1:46" ht="16.3">
      <c r="A351" s="611" t="s">
        <v>2</v>
      </c>
      <c r="B351" s="210">
        <f>SUM(J351+K351+L351+M351+N351+S351+V351+W351+X351+AA351+AI351+AJ351+AI351+AM351+AP351+AQ351+AS351+AT351+AU351+AV351)</f>
        <v>2</v>
      </c>
      <c r="C351" s="215">
        <f t="shared" ref="C351:C354" si="44">B351</f>
        <v>2</v>
      </c>
      <c r="D351" s="133"/>
      <c r="E351" s="134"/>
      <c r="F351" s="135"/>
      <c r="G351" s="136"/>
      <c r="H351" s="96"/>
      <c r="I351" s="96"/>
      <c r="J351" s="75"/>
      <c r="K351" s="75">
        <v>1</v>
      </c>
      <c r="L351" s="75">
        <v>1</v>
      </c>
      <c r="M351" s="75"/>
      <c r="N351" s="75"/>
      <c r="O351" s="96"/>
      <c r="P351" s="163"/>
      <c r="Q351" s="109"/>
      <c r="R351" s="111"/>
      <c r="S351" s="100"/>
      <c r="T351" s="110"/>
      <c r="U351" s="110">
        <v>1</v>
      </c>
      <c r="V351" s="100"/>
      <c r="W351" s="100"/>
      <c r="X351" s="100"/>
      <c r="Y351" s="110"/>
      <c r="Z351" s="110"/>
      <c r="AA351" s="100"/>
      <c r="AB351" s="109"/>
      <c r="AC351" s="108"/>
      <c r="AD351" s="109"/>
      <c r="AE351" s="109"/>
      <c r="AF351" s="109"/>
      <c r="AG351" s="109"/>
      <c r="AH351" s="100"/>
      <c r="AI351" s="100"/>
      <c r="AJ351" s="142"/>
      <c r="AK351" s="448"/>
      <c r="AL351" s="111"/>
      <c r="AM351" s="100"/>
      <c r="AN351" s="100"/>
      <c r="AO351" s="111"/>
      <c r="AP351" s="100"/>
      <c r="AQ351" s="100"/>
      <c r="AR351" s="111"/>
      <c r="AS351" s="142"/>
      <c r="AT351" s="150"/>
    </row>
    <row r="352" spans="1:46" ht="16.3">
      <c r="A352" s="91" t="s">
        <v>363</v>
      </c>
      <c r="B352" s="209">
        <f>SUM(B350+B351)</f>
        <v>4</v>
      </c>
      <c r="C352" s="214">
        <f t="shared" si="44"/>
        <v>4</v>
      </c>
      <c r="D352" s="133"/>
      <c r="E352" s="134"/>
      <c r="F352" s="135"/>
      <c r="G352" s="136"/>
      <c r="H352" s="96"/>
      <c r="I352" s="96"/>
      <c r="J352" s="75"/>
      <c r="K352" s="75"/>
      <c r="L352" s="75"/>
      <c r="M352" s="75"/>
      <c r="N352" s="75"/>
      <c r="O352" s="96"/>
      <c r="P352" s="163"/>
      <c r="Q352" s="109"/>
      <c r="R352" s="111"/>
      <c r="S352" s="100"/>
      <c r="T352" s="110"/>
      <c r="U352" s="110"/>
      <c r="V352" s="100"/>
      <c r="W352" s="100"/>
      <c r="X352" s="100"/>
      <c r="Y352" s="110"/>
      <c r="Z352" s="110"/>
      <c r="AA352" s="100"/>
      <c r="AB352" s="109"/>
      <c r="AC352" s="108"/>
      <c r="AD352" s="109"/>
      <c r="AE352" s="109"/>
      <c r="AF352" s="109"/>
      <c r="AG352" s="109"/>
      <c r="AH352" s="100"/>
      <c r="AI352" s="100"/>
      <c r="AJ352" s="142"/>
      <c r="AK352" s="448"/>
      <c r="AL352" s="111"/>
      <c r="AM352" s="100"/>
      <c r="AN352" s="100"/>
      <c r="AO352" s="111"/>
      <c r="AP352" s="100"/>
      <c r="AQ352" s="100"/>
      <c r="AR352" s="111"/>
      <c r="AS352" s="142"/>
      <c r="AT352" s="150"/>
    </row>
    <row r="353" spans="1:46" ht="16.3">
      <c r="A353" s="91" t="s">
        <v>3</v>
      </c>
      <c r="B353" s="209">
        <f>SUM(J353+K353+L353+M353+N353+S353+V353+W353+X353+AA353+AI353+AJ353+AI353+AM353+AP353+AQ353+AS353+AT353+AU353+AV353)</f>
        <v>0</v>
      </c>
      <c r="C353" s="214">
        <f t="shared" si="44"/>
        <v>0</v>
      </c>
      <c r="D353" s="133"/>
      <c r="E353" s="134"/>
      <c r="F353" s="135"/>
      <c r="G353" s="136"/>
      <c r="H353" s="96"/>
      <c r="I353" s="96"/>
      <c r="J353" s="75"/>
      <c r="K353" s="75"/>
      <c r="L353" s="75"/>
      <c r="M353" s="75"/>
      <c r="N353" s="75"/>
      <c r="O353" s="96"/>
      <c r="P353" s="163"/>
      <c r="Q353" s="109"/>
      <c r="R353" s="111"/>
      <c r="S353" s="100"/>
      <c r="T353" s="110"/>
      <c r="U353" s="110"/>
      <c r="V353" s="100"/>
      <c r="W353" s="100"/>
      <c r="X353" s="100"/>
      <c r="Y353" s="110"/>
      <c r="Z353" s="110"/>
      <c r="AA353" s="100"/>
      <c r="AB353" s="109"/>
      <c r="AC353" s="108"/>
      <c r="AD353" s="109"/>
      <c r="AE353" s="109"/>
      <c r="AF353" s="109"/>
      <c r="AG353" s="109"/>
      <c r="AH353" s="100"/>
      <c r="AI353" s="100"/>
      <c r="AJ353" s="142"/>
      <c r="AK353" s="448"/>
      <c r="AL353" s="111"/>
      <c r="AM353" s="100"/>
      <c r="AN353" s="100"/>
      <c r="AO353" s="111"/>
      <c r="AP353" s="100"/>
      <c r="AQ353" s="100"/>
      <c r="AR353" s="111"/>
      <c r="AS353" s="142"/>
      <c r="AT353" s="150"/>
    </row>
    <row r="354" spans="1:46" ht="17" thickBot="1">
      <c r="A354" s="92" t="s">
        <v>4</v>
      </c>
      <c r="B354" s="212">
        <f>SUM(J354+K354+L354+M354+N354+S354+V354+W354+X354+AA354+AI354+AJ354+AI354+AM354+AP354+AQ354+AS354+AT354+AU354+AV354)</f>
        <v>0</v>
      </c>
      <c r="C354" s="217">
        <f t="shared" si="44"/>
        <v>0</v>
      </c>
      <c r="D354" s="144"/>
      <c r="E354" s="145"/>
      <c r="F354" s="146"/>
      <c r="G354" s="147"/>
      <c r="H354" s="114"/>
      <c r="I354" s="114"/>
      <c r="J354" s="112"/>
      <c r="K354" s="112"/>
      <c r="L354" s="112"/>
      <c r="M354" s="112"/>
      <c r="N354" s="112"/>
      <c r="O354" s="114"/>
      <c r="P354" s="164"/>
      <c r="Q354" s="118"/>
      <c r="R354" s="130"/>
      <c r="S354" s="116"/>
      <c r="T354" s="120"/>
      <c r="U354" s="120"/>
      <c r="V354" s="116"/>
      <c r="W354" s="116"/>
      <c r="X354" s="116"/>
      <c r="Y354" s="120"/>
      <c r="Z354" s="120"/>
      <c r="AA354" s="116"/>
      <c r="AB354" s="118"/>
      <c r="AC354" s="117"/>
      <c r="AD354" s="118"/>
      <c r="AE354" s="118"/>
      <c r="AF354" s="118"/>
      <c r="AG354" s="118"/>
      <c r="AH354" s="116"/>
      <c r="AI354" s="116"/>
      <c r="AJ354" s="149"/>
      <c r="AK354" s="449"/>
      <c r="AL354" s="121"/>
      <c r="AM354" s="116"/>
      <c r="AN354" s="116"/>
      <c r="AO354" s="121"/>
      <c r="AP354" s="116"/>
      <c r="AQ354" s="116"/>
      <c r="AR354" s="121"/>
      <c r="AS354" s="149"/>
      <c r="AT354" s="176"/>
    </row>
    <row r="355" spans="1:46" ht="21.1">
      <c r="A355" s="89" t="s">
        <v>421</v>
      </c>
      <c r="B355" s="209"/>
      <c r="C355" s="214"/>
      <c r="D355" s="133"/>
      <c r="E355" s="134"/>
      <c r="F355" s="135"/>
      <c r="G355" s="136"/>
      <c r="H355" s="96"/>
      <c r="I355" s="96">
        <v>4</v>
      </c>
      <c r="J355" s="75"/>
      <c r="K355" s="75"/>
      <c r="L355" s="75"/>
      <c r="M355" s="75"/>
      <c r="N355" s="75"/>
      <c r="O355" s="96">
        <v>5</v>
      </c>
      <c r="P355" s="163"/>
      <c r="Q355" s="109" t="s">
        <v>382</v>
      </c>
      <c r="R355" s="111"/>
      <c r="S355" s="100">
        <v>6</v>
      </c>
      <c r="T355" s="110" t="s">
        <v>838</v>
      </c>
      <c r="U355" s="110" t="s">
        <v>703</v>
      </c>
      <c r="V355" s="100" t="s">
        <v>703</v>
      </c>
      <c r="W355" s="100" t="s">
        <v>703</v>
      </c>
      <c r="X355" s="100" t="s">
        <v>382</v>
      </c>
      <c r="Y355" s="110" t="s">
        <v>382</v>
      </c>
      <c r="Z355" s="110" t="s">
        <v>375</v>
      </c>
      <c r="AA355" s="100" t="s">
        <v>372</v>
      </c>
      <c r="AB355" s="109"/>
      <c r="AC355" s="108"/>
      <c r="AD355" s="109" t="s">
        <v>1035</v>
      </c>
      <c r="AE355" s="109" t="s">
        <v>1035</v>
      </c>
      <c r="AF355" s="109">
        <v>6</v>
      </c>
      <c r="AG355" s="109"/>
      <c r="AH355" s="100"/>
      <c r="AI355" s="100"/>
      <c r="AJ355" s="142"/>
      <c r="AK355" s="448"/>
      <c r="AL355" s="111"/>
      <c r="AM355" s="100"/>
      <c r="AN355" s="100"/>
      <c r="AO355" s="111"/>
      <c r="AP355" s="100"/>
      <c r="AQ355" s="100"/>
      <c r="AR355" s="111"/>
      <c r="AS355" s="142"/>
      <c r="AT355" s="150"/>
    </row>
    <row r="356" spans="1:46" ht="16.3">
      <c r="A356" s="611" t="s">
        <v>1</v>
      </c>
      <c r="B356" s="210">
        <f>SUM(J356+K356+L356+M356+N356+S356+V356+W356+X356+AA356+AI356+AJ356+AI356+AM356+AP356+AQ356+AS356+AT356+AU356+AV356+AN356)</f>
        <v>3</v>
      </c>
      <c r="C356" s="215">
        <f>B356</f>
        <v>3</v>
      </c>
      <c r="D356" s="133"/>
      <c r="E356" s="134"/>
      <c r="F356" s="135"/>
      <c r="G356" s="136"/>
      <c r="H356" s="96"/>
      <c r="I356" s="96">
        <v>1</v>
      </c>
      <c r="J356" s="75"/>
      <c r="K356" s="75"/>
      <c r="L356" s="75"/>
      <c r="M356" s="75"/>
      <c r="N356" s="75"/>
      <c r="O356" s="96">
        <v>1</v>
      </c>
      <c r="P356" s="163"/>
      <c r="Q356" s="109">
        <v>1</v>
      </c>
      <c r="R356" s="111"/>
      <c r="S356" s="100">
        <v>1</v>
      </c>
      <c r="T356" s="110">
        <v>1</v>
      </c>
      <c r="U356" s="110"/>
      <c r="V356" s="100"/>
      <c r="W356" s="100"/>
      <c r="X356" s="100">
        <v>1</v>
      </c>
      <c r="Y356" s="110">
        <v>1</v>
      </c>
      <c r="Z356" s="110"/>
      <c r="AA356" s="100">
        <v>1</v>
      </c>
      <c r="AB356" s="109"/>
      <c r="AC356" s="108"/>
      <c r="AD356" s="109"/>
      <c r="AE356" s="109"/>
      <c r="AF356" s="109">
        <v>1</v>
      </c>
      <c r="AG356" s="109"/>
      <c r="AH356" s="100"/>
      <c r="AI356" s="100"/>
      <c r="AJ356" s="142"/>
      <c r="AK356" s="448"/>
      <c r="AL356" s="111"/>
      <c r="AM356" s="100"/>
      <c r="AN356" s="100"/>
      <c r="AO356" s="111"/>
      <c r="AP356" s="100"/>
      <c r="AQ356" s="100"/>
      <c r="AR356" s="111"/>
      <c r="AS356" s="142"/>
      <c r="AT356" s="150"/>
    </row>
    <row r="357" spans="1:46" ht="16.3">
      <c r="A357" s="611" t="s">
        <v>2</v>
      </c>
      <c r="B357" s="210">
        <f>SUM(J357+K357+L357+M357+N357+S357+V357+W357+X357+AA357+AI357+AJ357+AI357+AM357+AP357+AQ357+AS357+AT357+AU357+AV357)</f>
        <v>0</v>
      </c>
      <c r="C357" s="215">
        <f t="shared" ref="C357:C361" si="45">B357</f>
        <v>0</v>
      </c>
      <c r="D357" s="133"/>
      <c r="E357" s="134"/>
      <c r="F357" s="135"/>
      <c r="G357" s="136"/>
      <c r="H357" s="96"/>
      <c r="I357" s="96"/>
      <c r="J357" s="75"/>
      <c r="K357" s="75"/>
      <c r="L357" s="75"/>
      <c r="M357" s="75"/>
      <c r="N357" s="75"/>
      <c r="O357" s="96"/>
      <c r="P357" s="163"/>
      <c r="Q357" s="109"/>
      <c r="R357" s="111"/>
      <c r="S357" s="100"/>
      <c r="T357" s="110"/>
      <c r="U357" s="110"/>
      <c r="V357" s="100"/>
      <c r="W357" s="100"/>
      <c r="X357" s="100"/>
      <c r="Y357" s="110"/>
      <c r="Z357" s="110">
        <v>1</v>
      </c>
      <c r="AA357" s="100"/>
      <c r="AB357" s="109"/>
      <c r="AC357" s="108"/>
      <c r="AD357" s="109"/>
      <c r="AE357" s="109"/>
      <c r="AF357" s="109"/>
      <c r="AG357" s="109"/>
      <c r="AH357" s="100"/>
      <c r="AI357" s="100"/>
      <c r="AJ357" s="142"/>
      <c r="AK357" s="448"/>
      <c r="AL357" s="111"/>
      <c r="AM357" s="100"/>
      <c r="AN357" s="100"/>
      <c r="AO357" s="111"/>
      <c r="AP357" s="100"/>
      <c r="AQ357" s="100"/>
      <c r="AR357" s="111"/>
      <c r="AS357" s="142"/>
      <c r="AT357" s="150"/>
    </row>
    <row r="358" spans="1:46" ht="16.3">
      <c r="A358" s="91" t="s">
        <v>363</v>
      </c>
      <c r="B358" s="209">
        <f>SUM(B356+B357)</f>
        <v>3</v>
      </c>
      <c r="C358" s="214">
        <f t="shared" si="45"/>
        <v>3</v>
      </c>
      <c r="D358" s="133"/>
      <c r="E358" s="134"/>
      <c r="F358" s="135"/>
      <c r="G358" s="136"/>
      <c r="H358" s="96"/>
      <c r="I358" s="96"/>
      <c r="J358" s="75"/>
      <c r="K358" s="75"/>
      <c r="L358" s="75"/>
      <c r="M358" s="75"/>
      <c r="N358" s="75"/>
      <c r="O358" s="96"/>
      <c r="P358" s="163"/>
      <c r="Q358" s="109"/>
      <c r="R358" s="111"/>
      <c r="S358" s="100"/>
      <c r="T358" s="110"/>
      <c r="U358" s="110"/>
      <c r="V358" s="100"/>
      <c r="W358" s="100"/>
      <c r="X358" s="100"/>
      <c r="Y358" s="110"/>
      <c r="Z358" s="110"/>
      <c r="AA358" s="100"/>
      <c r="AB358" s="109"/>
      <c r="AC358" s="108"/>
      <c r="AD358" s="109"/>
      <c r="AE358" s="109"/>
      <c r="AF358" s="109"/>
      <c r="AG358" s="109"/>
      <c r="AH358" s="100"/>
      <c r="AI358" s="100"/>
      <c r="AJ358" s="142"/>
      <c r="AK358" s="448"/>
      <c r="AL358" s="111"/>
      <c r="AM358" s="100"/>
      <c r="AN358" s="100"/>
      <c r="AO358" s="111"/>
      <c r="AP358" s="100"/>
      <c r="AQ358" s="100"/>
      <c r="AR358" s="111"/>
      <c r="AS358" s="142"/>
      <c r="AT358" s="150"/>
    </row>
    <row r="359" spans="1:46" ht="16.3">
      <c r="A359" s="611" t="s">
        <v>362</v>
      </c>
      <c r="B359" s="210">
        <f>SUM(J359+K359+L359+M359+N359+S359+V359+W359+X359+AA359+AI359+AJ359+AI359+AM359+AP359+AQ359+AS359+AT359+AU359+AV359)</f>
        <v>0</v>
      </c>
      <c r="C359" s="215">
        <f t="shared" ref="C359" si="46">B359</f>
        <v>0</v>
      </c>
      <c r="D359" s="133"/>
      <c r="E359" s="134"/>
      <c r="F359" s="135"/>
      <c r="G359" s="136"/>
      <c r="H359" s="96"/>
      <c r="I359" s="96"/>
      <c r="J359" s="75"/>
      <c r="K359" s="75"/>
      <c r="L359" s="75"/>
      <c r="M359" s="75"/>
      <c r="N359" s="75"/>
      <c r="O359" s="96"/>
      <c r="P359" s="163"/>
      <c r="Q359" s="109"/>
      <c r="R359" s="111"/>
      <c r="S359" s="100"/>
      <c r="T359" s="110">
        <v>1</v>
      </c>
      <c r="U359" s="110"/>
      <c r="V359" s="100"/>
      <c r="W359" s="100"/>
      <c r="X359" s="100"/>
      <c r="Y359" s="110"/>
      <c r="Z359" s="110"/>
      <c r="AA359" s="100"/>
      <c r="AB359" s="109"/>
      <c r="AC359" s="108"/>
      <c r="AD359" s="109"/>
      <c r="AE359" s="109"/>
      <c r="AF359" s="109"/>
      <c r="AG359" s="109"/>
      <c r="AH359" s="100"/>
      <c r="AI359" s="100"/>
      <c r="AJ359" s="142"/>
      <c r="AK359" s="448"/>
      <c r="AL359" s="111"/>
      <c r="AM359" s="100"/>
      <c r="AN359" s="100"/>
      <c r="AO359" s="111"/>
      <c r="AP359" s="100"/>
      <c r="AQ359" s="100"/>
      <c r="AR359" s="111"/>
      <c r="AS359" s="142"/>
      <c r="AT359" s="150"/>
    </row>
    <row r="360" spans="1:46" ht="16.3">
      <c r="A360" s="91" t="s">
        <v>3</v>
      </c>
      <c r="B360" s="209">
        <f>SUM(J360+K360+L360+M360+N360+S360+V360+W360+X360+AA360+AI360+AJ360+AI360+AM360+AP360+AQ360+AS360+AT360+AU360+AV360)</f>
        <v>0</v>
      </c>
      <c r="C360" s="214">
        <f t="shared" si="45"/>
        <v>0</v>
      </c>
      <c r="D360" s="133"/>
      <c r="E360" s="134"/>
      <c r="F360" s="135"/>
      <c r="G360" s="136"/>
      <c r="H360" s="96"/>
      <c r="I360" s="96"/>
      <c r="J360" s="75"/>
      <c r="K360" s="75"/>
      <c r="L360" s="75"/>
      <c r="M360" s="75"/>
      <c r="N360" s="75"/>
      <c r="O360" s="96"/>
      <c r="P360" s="163"/>
      <c r="Q360" s="109"/>
      <c r="R360" s="111"/>
      <c r="S360" s="100"/>
      <c r="T360" s="110"/>
      <c r="U360" s="110"/>
      <c r="V360" s="100"/>
      <c r="W360" s="100"/>
      <c r="X360" s="100"/>
      <c r="Y360" s="110"/>
      <c r="Z360" s="110"/>
      <c r="AA360" s="100"/>
      <c r="AB360" s="109"/>
      <c r="AC360" s="108"/>
      <c r="AD360" s="109"/>
      <c r="AE360" s="109"/>
      <c r="AF360" s="109">
        <v>1</v>
      </c>
      <c r="AG360" s="109"/>
      <c r="AH360" s="100"/>
      <c r="AI360" s="100"/>
      <c r="AJ360" s="142"/>
      <c r="AK360" s="448"/>
      <c r="AL360" s="111"/>
      <c r="AM360" s="100"/>
      <c r="AN360" s="100"/>
      <c r="AO360" s="111"/>
      <c r="AP360" s="100"/>
      <c r="AQ360" s="100"/>
      <c r="AR360" s="111"/>
      <c r="AS360" s="142"/>
      <c r="AT360" s="150"/>
    </row>
    <row r="361" spans="1:46" ht="17" thickBot="1">
      <c r="A361" s="92" t="s">
        <v>4</v>
      </c>
      <c r="B361" s="212">
        <f>SUM(J361+K361+L361+M361+N361+S361+V361+W361+X361+AA361+AI361+AJ361+AI361+AM361+AP361+AQ361+AS361+AT361+AU361+AV361)</f>
        <v>0</v>
      </c>
      <c r="C361" s="217">
        <f t="shared" si="45"/>
        <v>0</v>
      </c>
      <c r="D361" s="144"/>
      <c r="E361" s="145"/>
      <c r="F361" s="146"/>
      <c r="G361" s="147"/>
      <c r="H361" s="114"/>
      <c r="I361" s="114"/>
      <c r="J361" s="112"/>
      <c r="K361" s="112"/>
      <c r="L361" s="112"/>
      <c r="M361" s="112"/>
      <c r="N361" s="112"/>
      <c r="O361" s="114"/>
      <c r="P361" s="164"/>
      <c r="Q361" s="118"/>
      <c r="R361" s="121"/>
      <c r="S361" s="116"/>
      <c r="T361" s="120"/>
      <c r="U361" s="120"/>
      <c r="V361" s="116"/>
      <c r="W361" s="116"/>
      <c r="X361" s="116"/>
      <c r="Y361" s="120"/>
      <c r="Z361" s="120"/>
      <c r="AA361" s="116"/>
      <c r="AB361" s="118"/>
      <c r="AC361" s="117"/>
      <c r="AD361" s="118"/>
      <c r="AE361" s="118"/>
      <c r="AF361" s="118">
        <v>5</v>
      </c>
      <c r="AG361" s="118"/>
      <c r="AH361" s="116"/>
      <c r="AI361" s="116"/>
      <c r="AJ361" s="149"/>
      <c r="AK361" s="449"/>
      <c r="AL361" s="121"/>
      <c r="AM361" s="116"/>
      <c r="AN361" s="116"/>
      <c r="AO361" s="121"/>
      <c r="AP361" s="116"/>
      <c r="AQ361" s="116"/>
      <c r="AR361" s="121"/>
      <c r="AS361" s="149"/>
      <c r="AT361" s="176"/>
    </row>
    <row r="362" spans="1:46" ht="21.1">
      <c r="A362" s="89" t="s">
        <v>445</v>
      </c>
      <c r="B362" s="209"/>
      <c r="C362" s="214"/>
      <c r="D362" s="133"/>
      <c r="E362" s="134"/>
      <c r="F362" s="135"/>
      <c r="G362" s="136"/>
      <c r="H362" s="96"/>
      <c r="I362" s="96" t="s">
        <v>432</v>
      </c>
      <c r="J362" s="75"/>
      <c r="K362" s="75"/>
      <c r="L362" s="75"/>
      <c r="M362" s="75"/>
      <c r="N362" s="75"/>
      <c r="O362" s="96"/>
      <c r="P362" s="163"/>
      <c r="Q362" s="109"/>
      <c r="R362" s="111"/>
      <c r="S362" s="100"/>
      <c r="T362" s="110"/>
      <c r="U362" s="110"/>
      <c r="V362" s="100"/>
      <c r="W362" s="100"/>
      <c r="X362" s="100"/>
      <c r="Y362" s="110"/>
      <c r="Z362" s="110"/>
      <c r="AA362" s="100"/>
      <c r="AB362" s="109"/>
      <c r="AC362" s="108"/>
      <c r="AD362" s="109"/>
      <c r="AE362" s="109"/>
      <c r="AF362" s="109"/>
      <c r="AG362" s="109"/>
      <c r="AH362" s="100"/>
      <c r="AI362" s="100"/>
      <c r="AJ362" s="142"/>
      <c r="AK362" s="448"/>
      <c r="AL362" s="111"/>
      <c r="AM362" s="100"/>
      <c r="AN362" s="100"/>
      <c r="AO362" s="111"/>
      <c r="AP362" s="100"/>
      <c r="AQ362" s="100"/>
      <c r="AR362" s="111"/>
      <c r="AS362" s="142"/>
      <c r="AT362" s="150"/>
    </row>
    <row r="363" spans="1:46" ht="16.3">
      <c r="A363" s="611" t="s">
        <v>1</v>
      </c>
      <c r="B363" s="210">
        <f>SUM(J363+K363+L363+M363+N363+S363+V363+W363+X363+AA363+AI363+AJ363+AI363+AM363+AP363+AQ363+AS363+AT363+AU363+AV363+AN363)</f>
        <v>0</v>
      </c>
      <c r="C363" s="215">
        <f>B363</f>
        <v>0</v>
      </c>
      <c r="D363" s="133"/>
      <c r="E363" s="134"/>
      <c r="F363" s="135"/>
      <c r="G363" s="136"/>
      <c r="H363" s="96"/>
      <c r="I363" s="96"/>
      <c r="J363" s="75"/>
      <c r="K363" s="75"/>
      <c r="L363" s="75"/>
      <c r="M363" s="75"/>
      <c r="N363" s="75"/>
      <c r="O363" s="96"/>
      <c r="P363" s="163"/>
      <c r="Q363" s="109"/>
      <c r="R363" s="111"/>
      <c r="S363" s="100"/>
      <c r="T363" s="110"/>
      <c r="U363" s="110"/>
      <c r="V363" s="100"/>
      <c r="W363" s="100"/>
      <c r="X363" s="100"/>
      <c r="Y363" s="110"/>
      <c r="Z363" s="110"/>
      <c r="AA363" s="100"/>
      <c r="AB363" s="109"/>
      <c r="AC363" s="108"/>
      <c r="AD363" s="109"/>
      <c r="AE363" s="109"/>
      <c r="AF363" s="109"/>
      <c r="AG363" s="109"/>
      <c r="AH363" s="100"/>
      <c r="AI363" s="100"/>
      <c r="AJ363" s="142"/>
      <c r="AK363" s="448"/>
      <c r="AL363" s="111"/>
      <c r="AM363" s="100"/>
      <c r="AN363" s="100"/>
      <c r="AO363" s="111"/>
      <c r="AP363" s="100"/>
      <c r="AQ363" s="100"/>
      <c r="AR363" s="111"/>
      <c r="AS363" s="142"/>
      <c r="AT363" s="150"/>
    </row>
    <row r="364" spans="1:46" ht="16.3">
      <c r="A364" s="611" t="s">
        <v>2</v>
      </c>
      <c r="B364" s="210">
        <f>SUM(J364+K364+L364+M364+N364+S364+V364+W364+X364+AA364+AI364+AJ364+AI364+AM364+AP364+AQ364+AS364+AT364+AU364+AV364)</f>
        <v>0</v>
      </c>
      <c r="C364" s="215">
        <f t="shared" ref="C364:C367" si="47">B364</f>
        <v>0</v>
      </c>
      <c r="D364" s="133"/>
      <c r="E364" s="134"/>
      <c r="F364" s="135"/>
      <c r="G364" s="136"/>
      <c r="H364" s="96"/>
      <c r="I364" s="96">
        <v>1</v>
      </c>
      <c r="J364" s="75"/>
      <c r="K364" s="75"/>
      <c r="L364" s="75"/>
      <c r="M364" s="75"/>
      <c r="N364" s="75"/>
      <c r="O364" s="96"/>
      <c r="P364" s="163"/>
      <c r="Q364" s="109"/>
      <c r="R364" s="111"/>
      <c r="S364" s="100"/>
      <c r="T364" s="110"/>
      <c r="U364" s="110"/>
      <c r="V364" s="100"/>
      <c r="W364" s="100"/>
      <c r="X364" s="100"/>
      <c r="Y364" s="110"/>
      <c r="Z364" s="110"/>
      <c r="AA364" s="100"/>
      <c r="AB364" s="109"/>
      <c r="AC364" s="108"/>
      <c r="AD364" s="109"/>
      <c r="AE364" s="109"/>
      <c r="AF364" s="109"/>
      <c r="AG364" s="109"/>
      <c r="AH364" s="100"/>
      <c r="AI364" s="100"/>
      <c r="AJ364" s="142"/>
      <c r="AK364" s="448"/>
      <c r="AL364" s="111"/>
      <c r="AM364" s="100"/>
      <c r="AN364" s="100"/>
      <c r="AO364" s="111"/>
      <c r="AP364" s="100"/>
      <c r="AQ364" s="100"/>
      <c r="AR364" s="111"/>
      <c r="AS364" s="142"/>
      <c r="AT364" s="150"/>
    </row>
    <row r="365" spans="1:46" ht="16.3">
      <c r="A365" s="91" t="s">
        <v>363</v>
      </c>
      <c r="B365" s="209">
        <f>SUM(B363+B364)</f>
        <v>0</v>
      </c>
      <c r="C365" s="214">
        <f t="shared" si="47"/>
        <v>0</v>
      </c>
      <c r="D365" s="133"/>
      <c r="E365" s="134"/>
      <c r="F365" s="135"/>
      <c r="G365" s="136"/>
      <c r="H365" s="96"/>
      <c r="I365" s="96"/>
      <c r="J365" s="75"/>
      <c r="K365" s="75"/>
      <c r="L365" s="75"/>
      <c r="M365" s="75"/>
      <c r="N365" s="75"/>
      <c r="O365" s="96"/>
      <c r="P365" s="163"/>
      <c r="Q365" s="109"/>
      <c r="R365" s="111"/>
      <c r="S365" s="100"/>
      <c r="T365" s="110"/>
      <c r="U365" s="110"/>
      <c r="V365" s="100"/>
      <c r="W365" s="100"/>
      <c r="X365" s="100"/>
      <c r="Y365" s="110"/>
      <c r="Z365" s="110"/>
      <c r="AA365" s="100"/>
      <c r="AB365" s="109"/>
      <c r="AC365" s="108"/>
      <c r="AD365" s="109"/>
      <c r="AE365" s="109"/>
      <c r="AF365" s="109"/>
      <c r="AG365" s="109"/>
      <c r="AH365" s="100"/>
      <c r="AI365" s="100"/>
      <c r="AJ365" s="142"/>
      <c r="AK365" s="448"/>
      <c r="AL365" s="111"/>
      <c r="AM365" s="100"/>
      <c r="AN365" s="100"/>
      <c r="AO365" s="111"/>
      <c r="AP365" s="100"/>
      <c r="AQ365" s="100"/>
      <c r="AR365" s="111"/>
      <c r="AS365" s="142"/>
      <c r="AT365" s="150"/>
    </row>
    <row r="366" spans="1:46" ht="16.3">
      <c r="A366" s="91" t="s">
        <v>3</v>
      </c>
      <c r="B366" s="209">
        <f>SUM(J366+K366+L366+M366+N366+S366+V366+W366+X366+AA366+AI366+AJ366+AI366+AM366+AP366+AQ366+AS366+AT366+AU366+AV366)</f>
        <v>0</v>
      </c>
      <c r="C366" s="214">
        <f t="shared" si="47"/>
        <v>0</v>
      </c>
      <c r="D366" s="133"/>
      <c r="E366" s="134"/>
      <c r="F366" s="135"/>
      <c r="G366" s="136"/>
      <c r="H366" s="96"/>
      <c r="I366" s="96"/>
      <c r="J366" s="75"/>
      <c r="K366" s="75"/>
      <c r="L366" s="75"/>
      <c r="M366" s="75"/>
      <c r="N366" s="75"/>
      <c r="O366" s="96"/>
      <c r="P366" s="163"/>
      <c r="Q366" s="109"/>
      <c r="R366" s="111"/>
      <c r="S366" s="100"/>
      <c r="T366" s="110"/>
      <c r="U366" s="110"/>
      <c r="V366" s="100"/>
      <c r="W366" s="100"/>
      <c r="X366" s="100"/>
      <c r="Y366" s="110"/>
      <c r="Z366" s="110"/>
      <c r="AA366" s="100"/>
      <c r="AB366" s="109"/>
      <c r="AC366" s="108"/>
      <c r="AD366" s="109"/>
      <c r="AE366" s="109"/>
      <c r="AF366" s="109"/>
      <c r="AG366" s="109"/>
      <c r="AH366" s="100"/>
      <c r="AI366" s="100"/>
      <c r="AJ366" s="142"/>
      <c r="AK366" s="448"/>
      <c r="AL366" s="111"/>
      <c r="AM366" s="100"/>
      <c r="AN366" s="100"/>
      <c r="AO366" s="111"/>
      <c r="AP366" s="100"/>
      <c r="AQ366" s="100"/>
      <c r="AR366" s="111"/>
      <c r="AS366" s="142"/>
      <c r="AT366" s="150"/>
    </row>
    <row r="367" spans="1:46" ht="17" thickBot="1">
      <c r="A367" s="92" t="s">
        <v>4</v>
      </c>
      <c r="B367" s="212">
        <f>SUM(J367+K367+L367+M367+N367+S367+V367+W367+X367+AA367+AI367+AJ367+AI367+AM367+AP367+AQ367+AS367+AT367+AU367+AV367)</f>
        <v>0</v>
      </c>
      <c r="C367" s="217">
        <f t="shared" si="47"/>
        <v>0</v>
      </c>
      <c r="D367" s="144"/>
      <c r="E367" s="145"/>
      <c r="F367" s="146"/>
      <c r="G367" s="147"/>
      <c r="H367" s="114"/>
      <c r="I367" s="114"/>
      <c r="J367" s="112"/>
      <c r="K367" s="112"/>
      <c r="L367" s="112"/>
      <c r="M367" s="112"/>
      <c r="N367" s="112"/>
      <c r="O367" s="114"/>
      <c r="P367" s="164"/>
      <c r="Q367" s="118"/>
      <c r="R367" s="121"/>
      <c r="S367" s="116"/>
      <c r="T367" s="120"/>
      <c r="U367" s="120"/>
      <c r="V367" s="116"/>
      <c r="W367" s="116"/>
      <c r="X367" s="116"/>
      <c r="Y367" s="120"/>
      <c r="Z367" s="120"/>
      <c r="AA367" s="116"/>
      <c r="AB367" s="118"/>
      <c r="AC367" s="117"/>
      <c r="AD367" s="118"/>
      <c r="AE367" s="118"/>
      <c r="AF367" s="118"/>
      <c r="AG367" s="118"/>
      <c r="AH367" s="116"/>
      <c r="AI367" s="116"/>
      <c r="AJ367" s="149"/>
      <c r="AK367" s="449"/>
      <c r="AL367" s="121"/>
      <c r="AM367" s="116"/>
      <c r="AN367" s="116"/>
      <c r="AO367" s="121"/>
      <c r="AP367" s="116"/>
      <c r="AQ367" s="116"/>
      <c r="AR367" s="121"/>
      <c r="AS367" s="149"/>
      <c r="AT367" s="176"/>
    </row>
    <row r="368" spans="1:46" ht="21.1">
      <c r="A368" s="89" t="s">
        <v>743</v>
      </c>
      <c r="B368" s="209"/>
      <c r="C368" s="214"/>
      <c r="D368" s="133"/>
      <c r="E368" s="134"/>
      <c r="F368" s="135"/>
      <c r="G368" s="136"/>
      <c r="H368" s="96" t="s">
        <v>339</v>
      </c>
      <c r="I368" s="96" t="s">
        <v>339</v>
      </c>
      <c r="J368" s="75" t="s">
        <v>339</v>
      </c>
      <c r="K368" s="75" t="s">
        <v>339</v>
      </c>
      <c r="L368" s="75" t="s">
        <v>339</v>
      </c>
      <c r="M368" s="75" t="s">
        <v>339</v>
      </c>
      <c r="N368" s="75" t="s">
        <v>339</v>
      </c>
      <c r="O368" s="96" t="s">
        <v>339</v>
      </c>
      <c r="P368" s="163"/>
      <c r="Q368" s="109" t="s">
        <v>339</v>
      </c>
      <c r="R368" s="111"/>
      <c r="S368" s="100"/>
      <c r="T368" s="110"/>
      <c r="U368" s="110" t="s">
        <v>375</v>
      </c>
      <c r="V368" s="100"/>
      <c r="W368" s="100"/>
      <c r="X368" s="100"/>
      <c r="Y368" s="110"/>
      <c r="Z368" s="110">
        <v>4</v>
      </c>
      <c r="AA368" s="100" t="s">
        <v>339</v>
      </c>
      <c r="AB368" s="109" t="s">
        <v>339</v>
      </c>
      <c r="AC368" s="108"/>
      <c r="AD368" s="109" t="s">
        <v>372</v>
      </c>
      <c r="AE368" s="109">
        <v>4</v>
      </c>
      <c r="AF368" s="109" t="s">
        <v>375</v>
      </c>
      <c r="AG368" s="109"/>
      <c r="AH368" s="100"/>
      <c r="AI368" s="100"/>
      <c r="AJ368" s="142"/>
      <c r="AK368" s="448"/>
      <c r="AL368" s="111"/>
      <c r="AM368" s="100"/>
      <c r="AN368" s="100"/>
      <c r="AO368" s="111"/>
      <c r="AP368" s="100"/>
      <c r="AQ368" s="100"/>
      <c r="AR368" s="111"/>
      <c r="AS368" s="142"/>
      <c r="AT368" s="150"/>
    </row>
    <row r="369" spans="1:46" ht="16.3">
      <c r="A369" s="611" t="s">
        <v>1</v>
      </c>
      <c r="B369" s="210">
        <f>SUM(J369+K369+L369+M369+N369+S369+V369+W369+X369+AA369+AI369+AJ369+AI369+AM369+AP369+AQ369+AS369+AT369+AU369+AV369+AN369)</f>
        <v>0</v>
      </c>
      <c r="C369" s="215">
        <f>B369</f>
        <v>0</v>
      </c>
      <c r="D369" s="133"/>
      <c r="E369" s="134"/>
      <c r="F369" s="135"/>
      <c r="G369" s="136"/>
      <c r="H369" s="96"/>
      <c r="I369" s="96"/>
      <c r="J369" s="75"/>
      <c r="K369" s="75"/>
      <c r="L369" s="75"/>
      <c r="M369" s="75"/>
      <c r="N369" s="75"/>
      <c r="O369" s="96"/>
      <c r="P369" s="163"/>
      <c r="Q369" s="109"/>
      <c r="R369" s="111"/>
      <c r="S369" s="100"/>
      <c r="T369" s="110"/>
      <c r="U369" s="110"/>
      <c r="V369" s="100"/>
      <c r="W369" s="100"/>
      <c r="X369" s="100"/>
      <c r="Y369" s="110"/>
      <c r="Z369" s="110">
        <v>1</v>
      </c>
      <c r="AA369" s="100"/>
      <c r="AB369" s="109"/>
      <c r="AC369" s="108"/>
      <c r="AD369" s="109">
        <v>1</v>
      </c>
      <c r="AE369" s="109">
        <v>1</v>
      </c>
      <c r="AF369" s="109"/>
      <c r="AG369" s="109"/>
      <c r="AH369" s="100"/>
      <c r="AI369" s="100"/>
      <c r="AJ369" s="142"/>
      <c r="AK369" s="448"/>
      <c r="AL369" s="111"/>
      <c r="AM369" s="100"/>
      <c r="AN369" s="100"/>
      <c r="AO369" s="111"/>
      <c r="AP369" s="100"/>
      <c r="AQ369" s="100"/>
      <c r="AR369" s="111"/>
      <c r="AS369" s="142"/>
      <c r="AT369" s="150"/>
    </row>
    <row r="370" spans="1:46" ht="16.3">
      <c r="A370" s="611" t="s">
        <v>2</v>
      </c>
      <c r="B370" s="210">
        <f>SUM(J370+K370+L370+M370+N370+S370+V370+W370+X370+AA370+AI370+AJ370+AI370+AM370+AP370+AQ370+AS370+AT370+AU370+AV370)+2</f>
        <v>2</v>
      </c>
      <c r="C370" s="215">
        <f t="shared" ref="C370:C373" si="48">B370</f>
        <v>2</v>
      </c>
      <c r="D370" s="133"/>
      <c r="E370" s="134"/>
      <c r="F370" s="135"/>
      <c r="G370" s="136"/>
      <c r="H370" s="96"/>
      <c r="I370" s="96"/>
      <c r="J370" s="75"/>
      <c r="K370" s="75"/>
      <c r="L370" s="75"/>
      <c r="M370" s="75"/>
      <c r="N370" s="75"/>
      <c r="O370" s="96"/>
      <c r="P370" s="163"/>
      <c r="Q370" s="109"/>
      <c r="R370" s="111"/>
      <c r="S370" s="100"/>
      <c r="T370" s="110"/>
      <c r="U370" s="110">
        <v>1</v>
      </c>
      <c r="V370" s="100"/>
      <c r="W370" s="100"/>
      <c r="X370" s="100"/>
      <c r="Y370" s="110"/>
      <c r="Z370" s="110"/>
      <c r="AA370" s="100"/>
      <c r="AB370" s="109"/>
      <c r="AC370" s="108"/>
      <c r="AD370" s="109"/>
      <c r="AE370" s="109"/>
      <c r="AF370" s="109">
        <v>1</v>
      </c>
      <c r="AG370" s="109"/>
      <c r="AH370" s="100"/>
      <c r="AI370" s="100"/>
      <c r="AJ370" s="142"/>
      <c r="AK370" s="448"/>
      <c r="AL370" s="111"/>
      <c r="AM370" s="100"/>
      <c r="AN370" s="100"/>
      <c r="AO370" s="111"/>
      <c r="AP370" s="100"/>
      <c r="AQ370" s="100"/>
      <c r="AR370" s="111"/>
      <c r="AS370" s="142"/>
      <c r="AT370" s="150"/>
    </row>
    <row r="371" spans="1:46" ht="16.3">
      <c r="A371" s="91" t="s">
        <v>363</v>
      </c>
      <c r="B371" s="209">
        <f>SUM(B369+B370)</f>
        <v>2</v>
      </c>
      <c r="C371" s="214">
        <f t="shared" si="48"/>
        <v>2</v>
      </c>
      <c r="D371" s="133"/>
      <c r="E371" s="134"/>
      <c r="F371" s="135"/>
      <c r="G371" s="136"/>
      <c r="H371" s="96"/>
      <c r="I371" s="96"/>
      <c r="J371" s="75"/>
      <c r="K371" s="75"/>
      <c r="L371" s="75"/>
      <c r="M371" s="75"/>
      <c r="N371" s="75"/>
      <c r="O371" s="96"/>
      <c r="P371" s="163"/>
      <c r="Q371" s="109"/>
      <c r="R371" s="111"/>
      <c r="S371" s="100"/>
      <c r="T371" s="110"/>
      <c r="U371" s="110"/>
      <c r="V371" s="100"/>
      <c r="W371" s="100"/>
      <c r="X371" s="100"/>
      <c r="Y371" s="110"/>
      <c r="Z371" s="110"/>
      <c r="AA371" s="100"/>
      <c r="AB371" s="109"/>
      <c r="AC371" s="108"/>
      <c r="AD371" s="109"/>
      <c r="AE371" s="109"/>
      <c r="AF371" s="109"/>
      <c r="AG371" s="109"/>
      <c r="AH371" s="100"/>
      <c r="AI371" s="100"/>
      <c r="AJ371" s="142"/>
      <c r="AK371" s="448"/>
      <c r="AL371" s="111"/>
      <c r="AM371" s="100"/>
      <c r="AN371" s="100"/>
      <c r="AO371" s="111"/>
      <c r="AP371" s="100"/>
      <c r="AQ371" s="100"/>
      <c r="AR371" s="111"/>
      <c r="AS371" s="142"/>
      <c r="AT371" s="150"/>
    </row>
    <row r="372" spans="1:46" ht="16.3">
      <c r="A372" s="91" t="s">
        <v>3</v>
      </c>
      <c r="B372" s="209">
        <f>SUM(J372+K372+L372+M372+N372+S372+V372+W372+X372+AA372+AI372+AJ372+AI372+AM372+AP372+AQ372+AS372+AT372+AU372+AV372)</f>
        <v>0</v>
      </c>
      <c r="C372" s="214">
        <f t="shared" si="48"/>
        <v>0</v>
      </c>
      <c r="D372" s="133"/>
      <c r="E372" s="134"/>
      <c r="F372" s="135"/>
      <c r="G372" s="136"/>
      <c r="H372" s="96"/>
      <c r="I372" s="96"/>
      <c r="J372" s="75"/>
      <c r="K372" s="75"/>
      <c r="L372" s="75"/>
      <c r="M372" s="75"/>
      <c r="N372" s="75"/>
      <c r="O372" s="96"/>
      <c r="P372" s="163"/>
      <c r="Q372" s="109"/>
      <c r="R372" s="111"/>
      <c r="S372" s="100"/>
      <c r="T372" s="110"/>
      <c r="U372" s="110"/>
      <c r="V372" s="100"/>
      <c r="W372" s="100"/>
      <c r="X372" s="100"/>
      <c r="Y372" s="110"/>
      <c r="Z372" s="110"/>
      <c r="AA372" s="100"/>
      <c r="AB372" s="109"/>
      <c r="AC372" s="108"/>
      <c r="AD372" s="109"/>
      <c r="AE372" s="109">
        <v>1</v>
      </c>
      <c r="AF372" s="109"/>
      <c r="AG372" s="109"/>
      <c r="AH372" s="100"/>
      <c r="AI372" s="100"/>
      <c r="AJ372" s="142"/>
      <c r="AK372" s="448"/>
      <c r="AL372" s="111"/>
      <c r="AM372" s="100"/>
      <c r="AN372" s="100"/>
      <c r="AO372" s="111"/>
      <c r="AP372" s="100"/>
      <c r="AQ372" s="100"/>
      <c r="AR372" s="111"/>
      <c r="AS372" s="142"/>
      <c r="AT372" s="150"/>
    </row>
    <row r="373" spans="1:46" ht="17" thickBot="1">
      <c r="A373" s="92" t="s">
        <v>4</v>
      </c>
      <c r="B373" s="212">
        <f>SUM(J373+K373+L373+M373+N373+S373+V373+W373+X373+AA373+AI373+AJ373+AI373+AM373+AP373+AQ373+AS373+AT373+AU373+AV373)</f>
        <v>0</v>
      </c>
      <c r="C373" s="217">
        <f t="shared" si="48"/>
        <v>0</v>
      </c>
      <c r="D373" s="144"/>
      <c r="E373" s="145"/>
      <c r="F373" s="146"/>
      <c r="G373" s="147"/>
      <c r="H373" s="114"/>
      <c r="I373" s="114"/>
      <c r="J373" s="112"/>
      <c r="K373" s="112"/>
      <c r="L373" s="112"/>
      <c r="M373" s="112"/>
      <c r="N373" s="112"/>
      <c r="O373" s="114"/>
      <c r="P373" s="164"/>
      <c r="Q373" s="118"/>
      <c r="R373" s="121"/>
      <c r="S373" s="116"/>
      <c r="T373" s="120"/>
      <c r="U373" s="120"/>
      <c r="V373" s="116"/>
      <c r="W373" s="116"/>
      <c r="X373" s="116"/>
      <c r="Y373" s="120"/>
      <c r="Z373" s="120"/>
      <c r="AA373" s="116"/>
      <c r="AB373" s="118"/>
      <c r="AC373" s="117"/>
      <c r="AD373" s="118"/>
      <c r="AE373" s="118">
        <v>5</v>
      </c>
      <c r="AF373" s="118"/>
      <c r="AG373" s="118"/>
      <c r="AH373" s="116"/>
      <c r="AI373" s="116"/>
      <c r="AJ373" s="149"/>
      <c r="AK373" s="449"/>
      <c r="AL373" s="121"/>
      <c r="AM373" s="116"/>
      <c r="AN373" s="116"/>
      <c r="AO373" s="121"/>
      <c r="AP373" s="116"/>
      <c r="AQ373" s="116"/>
      <c r="AR373" s="121"/>
      <c r="AS373" s="149"/>
      <c r="AT373" s="176"/>
    </row>
    <row r="374" spans="1:46" ht="21.1">
      <c r="A374" s="89" t="s">
        <v>799</v>
      </c>
      <c r="B374" s="209"/>
      <c r="C374" s="214"/>
      <c r="D374" s="133"/>
      <c r="E374" s="134"/>
      <c r="F374" s="135"/>
      <c r="G374" s="136"/>
      <c r="H374" s="96"/>
      <c r="I374" s="96"/>
      <c r="J374" s="75"/>
      <c r="K374" s="75"/>
      <c r="L374" s="75"/>
      <c r="M374" s="75"/>
      <c r="N374" s="75"/>
      <c r="O374" s="96" t="s">
        <v>375</v>
      </c>
      <c r="P374" s="163"/>
      <c r="Q374" s="109"/>
      <c r="R374" s="111"/>
      <c r="S374" s="100"/>
      <c r="T374" s="110"/>
      <c r="U374" s="110"/>
      <c r="V374" s="100"/>
      <c r="W374" s="100"/>
      <c r="X374" s="100"/>
      <c r="Y374" s="110"/>
      <c r="Z374" s="110" t="s">
        <v>984</v>
      </c>
      <c r="AA374" s="100" t="s">
        <v>984</v>
      </c>
      <c r="AB374" s="109"/>
      <c r="AC374" s="108"/>
      <c r="AD374" s="109"/>
      <c r="AE374" s="109"/>
      <c r="AF374" s="109"/>
      <c r="AG374" s="109"/>
      <c r="AH374" s="100"/>
      <c r="AI374" s="100"/>
      <c r="AJ374" s="142"/>
      <c r="AK374" s="448"/>
      <c r="AL374" s="111"/>
      <c r="AM374" s="100"/>
      <c r="AN374" s="100"/>
      <c r="AO374" s="111"/>
      <c r="AP374" s="100"/>
      <c r="AQ374" s="100"/>
      <c r="AR374" s="111"/>
      <c r="AS374" s="142"/>
      <c r="AT374" s="150"/>
    </row>
    <row r="375" spans="1:46" ht="16.3">
      <c r="A375" s="611" t="s">
        <v>1</v>
      </c>
      <c r="B375" s="210">
        <f>SUM(J375+K375+L375+M375+N375+S375+V375+W375+X375+AA375+AI375+AJ375+AI375+AM375+AP375+AQ375+AS375+AT375+AU375+AV375+AN375)</f>
        <v>0</v>
      </c>
      <c r="C375" s="215">
        <f>B375</f>
        <v>0</v>
      </c>
      <c r="D375" s="133"/>
      <c r="E375" s="134"/>
      <c r="F375" s="135"/>
      <c r="G375" s="136"/>
      <c r="H375" s="96"/>
      <c r="I375" s="96"/>
      <c r="J375" s="75"/>
      <c r="K375" s="75"/>
      <c r="L375" s="75"/>
      <c r="M375" s="75"/>
      <c r="N375" s="75"/>
      <c r="O375" s="96"/>
      <c r="P375" s="163"/>
      <c r="Q375" s="109"/>
      <c r="R375" s="111"/>
      <c r="S375" s="100"/>
      <c r="T375" s="110"/>
      <c r="U375" s="110"/>
      <c r="V375" s="100"/>
      <c r="W375" s="100"/>
      <c r="X375" s="100"/>
      <c r="Y375" s="110"/>
      <c r="Z375" s="110"/>
      <c r="AA375" s="100"/>
      <c r="AB375" s="109"/>
      <c r="AC375" s="108"/>
      <c r="AD375" s="109"/>
      <c r="AE375" s="109"/>
      <c r="AF375" s="109"/>
      <c r="AG375" s="109"/>
      <c r="AH375" s="100"/>
      <c r="AI375" s="100"/>
      <c r="AJ375" s="142"/>
      <c r="AK375" s="448"/>
      <c r="AL375" s="111"/>
      <c r="AM375" s="100"/>
      <c r="AN375" s="100"/>
      <c r="AO375" s="111"/>
      <c r="AP375" s="100"/>
      <c r="AQ375" s="100"/>
      <c r="AR375" s="111"/>
      <c r="AS375" s="142"/>
      <c r="AT375" s="150"/>
    </row>
    <row r="376" spans="1:46" ht="16.3">
      <c r="A376" s="611" t="s">
        <v>2</v>
      </c>
      <c r="B376" s="210">
        <f>SUM(J376+K376+L376+M376+N376+S376+V376+W376+X376+AA376+AI376+AJ376+AI376+AM376+AP376+AQ376+AS376+AT376+AU376+AV376)</f>
        <v>0</v>
      </c>
      <c r="C376" s="215">
        <f t="shared" ref="C376:C379" si="49">B376</f>
        <v>0</v>
      </c>
      <c r="D376" s="133"/>
      <c r="E376" s="134"/>
      <c r="F376" s="135"/>
      <c r="G376" s="136"/>
      <c r="H376" s="96"/>
      <c r="I376" s="96"/>
      <c r="J376" s="75"/>
      <c r="K376" s="75"/>
      <c r="L376" s="75"/>
      <c r="M376" s="75"/>
      <c r="N376" s="75"/>
      <c r="O376" s="96">
        <v>1</v>
      </c>
      <c r="P376" s="163"/>
      <c r="Q376" s="109"/>
      <c r="R376" s="111"/>
      <c r="S376" s="100"/>
      <c r="T376" s="110"/>
      <c r="U376" s="110"/>
      <c r="V376" s="100"/>
      <c r="W376" s="100"/>
      <c r="X376" s="100"/>
      <c r="Y376" s="110"/>
      <c r="Z376" s="110"/>
      <c r="AA376" s="100"/>
      <c r="AB376" s="109"/>
      <c r="AC376" s="108"/>
      <c r="AD376" s="109"/>
      <c r="AE376" s="109"/>
      <c r="AF376" s="109"/>
      <c r="AG376" s="109"/>
      <c r="AH376" s="100"/>
      <c r="AI376" s="100"/>
      <c r="AJ376" s="142"/>
      <c r="AK376" s="448"/>
      <c r="AL376" s="111"/>
      <c r="AM376" s="100"/>
      <c r="AN376" s="100"/>
      <c r="AO376" s="111"/>
      <c r="AP376" s="100"/>
      <c r="AQ376" s="100"/>
      <c r="AR376" s="111"/>
      <c r="AS376" s="142"/>
      <c r="AT376" s="150"/>
    </row>
    <row r="377" spans="1:46" ht="16.3">
      <c r="A377" s="91" t="s">
        <v>363</v>
      </c>
      <c r="B377" s="209">
        <f>SUM(B375+B376)</f>
        <v>0</v>
      </c>
      <c r="C377" s="214">
        <f t="shared" si="49"/>
        <v>0</v>
      </c>
      <c r="D377" s="133"/>
      <c r="E377" s="134"/>
      <c r="F377" s="135"/>
      <c r="G377" s="136"/>
      <c r="H377" s="96"/>
      <c r="I377" s="96"/>
      <c r="J377" s="75"/>
      <c r="K377" s="75"/>
      <c r="L377" s="75"/>
      <c r="M377" s="75"/>
      <c r="N377" s="75"/>
      <c r="O377" s="96"/>
      <c r="P377" s="163"/>
      <c r="Q377" s="109"/>
      <c r="R377" s="111"/>
      <c r="S377" s="100"/>
      <c r="T377" s="110"/>
      <c r="U377" s="110"/>
      <c r="V377" s="100"/>
      <c r="W377" s="100"/>
      <c r="X377" s="100"/>
      <c r="Y377" s="110"/>
      <c r="Z377" s="110"/>
      <c r="AA377" s="100"/>
      <c r="AB377" s="109"/>
      <c r="AC377" s="108"/>
      <c r="AD377" s="109"/>
      <c r="AE377" s="109"/>
      <c r="AF377" s="109"/>
      <c r="AG377" s="109"/>
      <c r="AH377" s="100"/>
      <c r="AI377" s="100"/>
      <c r="AJ377" s="142"/>
      <c r="AK377" s="448"/>
      <c r="AL377" s="111"/>
      <c r="AM377" s="100"/>
      <c r="AN377" s="100"/>
      <c r="AO377" s="111"/>
      <c r="AP377" s="100"/>
      <c r="AQ377" s="100"/>
      <c r="AR377" s="111"/>
      <c r="AS377" s="142"/>
      <c r="AT377" s="150"/>
    </row>
    <row r="378" spans="1:46" ht="16.3">
      <c r="A378" s="91" t="s">
        <v>3</v>
      </c>
      <c r="B378" s="209">
        <f>SUM(J378+K378+L378+M378+N378+S378+V378+W378+X378+AA378+AI378+AJ378+AI378+AM378+AP378+AQ378+AS378+AT378+AU378+AV378)</f>
        <v>0</v>
      </c>
      <c r="C378" s="214">
        <f t="shared" si="49"/>
        <v>0</v>
      </c>
      <c r="D378" s="133"/>
      <c r="E378" s="134"/>
      <c r="F378" s="135"/>
      <c r="G378" s="136"/>
      <c r="H378" s="96"/>
      <c r="I378" s="96"/>
      <c r="J378" s="75"/>
      <c r="K378" s="75"/>
      <c r="L378" s="75"/>
      <c r="M378" s="75"/>
      <c r="N378" s="75"/>
      <c r="O378" s="96"/>
      <c r="P378" s="163"/>
      <c r="Q378" s="109"/>
      <c r="R378" s="111"/>
      <c r="S378" s="100"/>
      <c r="T378" s="110"/>
      <c r="U378" s="110"/>
      <c r="V378" s="100"/>
      <c r="W378" s="100"/>
      <c r="X378" s="100"/>
      <c r="Y378" s="110"/>
      <c r="Z378" s="110"/>
      <c r="AA378" s="100"/>
      <c r="AB378" s="109"/>
      <c r="AC378" s="108"/>
      <c r="AD378" s="109"/>
      <c r="AE378" s="109"/>
      <c r="AF378" s="109"/>
      <c r="AG378" s="109"/>
      <c r="AH378" s="100"/>
      <c r="AI378" s="100"/>
      <c r="AJ378" s="142"/>
      <c r="AK378" s="448"/>
      <c r="AL378" s="111"/>
      <c r="AM378" s="100"/>
      <c r="AN378" s="100"/>
      <c r="AO378" s="111"/>
      <c r="AP378" s="100"/>
      <c r="AQ378" s="100"/>
      <c r="AR378" s="111"/>
      <c r="AS378" s="142"/>
      <c r="AT378" s="150"/>
    </row>
    <row r="379" spans="1:46" ht="17" thickBot="1">
      <c r="A379" s="92" t="s">
        <v>4</v>
      </c>
      <c r="B379" s="212">
        <f>SUM(J379+K379+L379+M379+N379+S379+V379+W379+X379+AA379+AI379+AJ379+AI379+AM379+AP379+AQ379+AS379+AT379+AU379+AV379)</f>
        <v>0</v>
      </c>
      <c r="C379" s="217">
        <f t="shared" si="49"/>
        <v>0</v>
      </c>
      <c r="D379" s="144"/>
      <c r="E379" s="145"/>
      <c r="F379" s="146"/>
      <c r="G379" s="147"/>
      <c r="H379" s="114"/>
      <c r="I379" s="114"/>
      <c r="J379" s="112"/>
      <c r="K379" s="112"/>
      <c r="L379" s="112"/>
      <c r="M379" s="112"/>
      <c r="N379" s="112"/>
      <c r="O379" s="114"/>
      <c r="P379" s="164"/>
      <c r="Q379" s="118"/>
      <c r="R379" s="130"/>
      <c r="S379" s="100"/>
      <c r="T379" s="110"/>
      <c r="U379" s="110"/>
      <c r="V379" s="100"/>
      <c r="W379" s="100"/>
      <c r="X379" s="100"/>
      <c r="Y379" s="110"/>
      <c r="Z379" s="110"/>
      <c r="AA379" s="100"/>
      <c r="AB379" s="109"/>
      <c r="AC379" s="108"/>
      <c r="AD379" s="109"/>
      <c r="AE379" s="109"/>
      <c r="AF379" s="109"/>
      <c r="AG379" s="109"/>
      <c r="AH379" s="100"/>
      <c r="AI379" s="100"/>
      <c r="AJ379" s="142"/>
      <c r="AK379" s="448"/>
      <c r="AL379" s="111"/>
      <c r="AM379" s="100"/>
      <c r="AN379" s="100"/>
      <c r="AO379" s="111"/>
      <c r="AP379" s="100"/>
      <c r="AQ379" s="100"/>
      <c r="AR379" s="111"/>
      <c r="AS379" s="142"/>
      <c r="AT379" s="150"/>
    </row>
    <row r="380" spans="1:46" ht="21.1">
      <c r="A380" s="89" t="s">
        <v>585</v>
      </c>
      <c r="B380" s="209"/>
      <c r="C380" s="214"/>
      <c r="D380" s="133"/>
      <c r="E380" s="134"/>
      <c r="F380" s="135"/>
      <c r="G380" s="136"/>
      <c r="H380" s="96" t="s">
        <v>449</v>
      </c>
      <c r="I380" s="96"/>
      <c r="J380" s="75">
        <v>7</v>
      </c>
      <c r="K380" s="75">
        <v>7</v>
      </c>
      <c r="L380" s="75" t="s">
        <v>373</v>
      </c>
      <c r="M380" s="75" t="s">
        <v>699</v>
      </c>
      <c r="N380" s="75" t="s">
        <v>373</v>
      </c>
      <c r="O380" s="96" t="s">
        <v>339</v>
      </c>
      <c r="P380" s="163"/>
      <c r="Q380" s="109" t="s">
        <v>339</v>
      </c>
      <c r="R380" s="111"/>
      <c r="S380" s="102" t="s">
        <v>339</v>
      </c>
      <c r="T380" s="101" t="s">
        <v>339</v>
      </c>
      <c r="U380" s="101" t="s">
        <v>339</v>
      </c>
      <c r="V380" s="102" t="s">
        <v>339</v>
      </c>
      <c r="W380" s="102" t="s">
        <v>382</v>
      </c>
      <c r="X380" s="102" t="s">
        <v>375</v>
      </c>
      <c r="Y380" s="101" t="s">
        <v>375</v>
      </c>
      <c r="Z380" s="101" t="s">
        <v>375</v>
      </c>
      <c r="AA380" s="102" t="s">
        <v>382</v>
      </c>
      <c r="AB380" s="99" t="s">
        <v>375</v>
      </c>
      <c r="AC380" s="98"/>
      <c r="AD380" s="99" t="s">
        <v>734</v>
      </c>
      <c r="AE380" s="99" t="s">
        <v>382</v>
      </c>
      <c r="AF380" s="99"/>
      <c r="AG380" s="99"/>
      <c r="AH380" s="102"/>
      <c r="AI380" s="102"/>
      <c r="AJ380" s="138"/>
      <c r="AK380" s="446"/>
      <c r="AL380" s="103"/>
      <c r="AM380" s="102"/>
      <c r="AN380" s="102"/>
      <c r="AO380" s="103"/>
      <c r="AP380" s="102"/>
      <c r="AQ380" s="102"/>
      <c r="AR380" s="103"/>
      <c r="AS380" s="138"/>
      <c r="AT380" s="478"/>
    </row>
    <row r="381" spans="1:46" ht="16.3">
      <c r="A381" s="611" t="s">
        <v>1</v>
      </c>
      <c r="B381" s="210">
        <f>SUM(J381+K381+L381+M381+N381+S381+V381+W381+X381+AA381+AI381+AJ381+AI381+AM381+AP381+AQ381+AS381+AT381+AU381+AV381+AN381)</f>
        <v>7</v>
      </c>
      <c r="C381" s="215">
        <f>B381</f>
        <v>7</v>
      </c>
      <c r="D381" s="133"/>
      <c r="E381" s="134"/>
      <c r="F381" s="135"/>
      <c r="G381" s="136"/>
      <c r="H381" s="96">
        <v>1</v>
      </c>
      <c r="I381" s="96"/>
      <c r="J381" s="75">
        <v>1</v>
      </c>
      <c r="K381" s="75">
        <v>1</v>
      </c>
      <c r="L381" s="75">
        <v>1</v>
      </c>
      <c r="M381" s="75">
        <v>1</v>
      </c>
      <c r="N381" s="75">
        <v>1</v>
      </c>
      <c r="O381" s="96"/>
      <c r="P381" s="163"/>
      <c r="Q381" s="109"/>
      <c r="R381" s="111"/>
      <c r="S381" s="100"/>
      <c r="T381" s="110"/>
      <c r="U381" s="110"/>
      <c r="V381" s="100"/>
      <c r="W381" s="100">
        <v>1</v>
      </c>
      <c r="X381" s="100"/>
      <c r="Y381" s="110"/>
      <c r="Z381" s="110"/>
      <c r="AA381" s="100">
        <v>1</v>
      </c>
      <c r="AB381" s="109"/>
      <c r="AC381" s="108"/>
      <c r="AD381" s="109">
        <v>1</v>
      </c>
      <c r="AE381" s="109">
        <v>1</v>
      </c>
      <c r="AF381" s="109"/>
      <c r="AG381" s="109"/>
      <c r="AH381" s="100"/>
      <c r="AI381" s="100"/>
      <c r="AJ381" s="142"/>
      <c r="AK381" s="448"/>
      <c r="AL381" s="111"/>
      <c r="AM381" s="100"/>
      <c r="AN381" s="100"/>
      <c r="AO381" s="111"/>
      <c r="AP381" s="100"/>
      <c r="AQ381" s="100"/>
      <c r="AR381" s="111"/>
      <c r="AS381" s="142"/>
      <c r="AT381" s="150"/>
    </row>
    <row r="382" spans="1:46" ht="16.3">
      <c r="A382" s="611" t="s">
        <v>2</v>
      </c>
      <c r="B382" s="210">
        <f>SUM(J382+K382+L382+M382+N382+S382+V382+W382+X382+AA382+AI382+AJ382+AI382+AM382+AP382+AQ382+AS382+AT382+AU382+AV382)</f>
        <v>1</v>
      </c>
      <c r="C382" s="215">
        <f t="shared" ref="C382:C385" si="50">B382</f>
        <v>1</v>
      </c>
      <c r="D382" s="133"/>
      <c r="E382" s="134"/>
      <c r="F382" s="135"/>
      <c r="G382" s="136"/>
      <c r="H382" s="96"/>
      <c r="I382" s="96"/>
      <c r="J382" s="75"/>
      <c r="K382" s="75"/>
      <c r="L382" s="75"/>
      <c r="M382" s="75"/>
      <c r="N382" s="75"/>
      <c r="O382" s="96"/>
      <c r="P382" s="163"/>
      <c r="Q382" s="109"/>
      <c r="R382" s="111"/>
      <c r="S382" s="100"/>
      <c r="T382" s="110"/>
      <c r="U382" s="110"/>
      <c r="V382" s="100"/>
      <c r="W382" s="100"/>
      <c r="X382" s="100">
        <v>1</v>
      </c>
      <c r="Y382" s="110">
        <v>1</v>
      </c>
      <c r="Z382" s="110">
        <v>1</v>
      </c>
      <c r="AA382" s="100"/>
      <c r="AB382" s="109">
        <v>1</v>
      </c>
      <c r="AC382" s="108"/>
      <c r="AD382" s="109"/>
      <c r="AE382" s="109"/>
      <c r="AF382" s="109"/>
      <c r="AG382" s="109"/>
      <c r="AH382" s="100"/>
      <c r="AI382" s="100"/>
      <c r="AJ382" s="142"/>
      <c r="AK382" s="448"/>
      <c r="AL382" s="111"/>
      <c r="AM382" s="100"/>
      <c r="AN382" s="100"/>
      <c r="AO382" s="111"/>
      <c r="AP382" s="100"/>
      <c r="AQ382" s="100"/>
      <c r="AR382" s="111"/>
      <c r="AS382" s="142"/>
      <c r="AT382" s="150"/>
    </row>
    <row r="383" spans="1:46" ht="16.3">
      <c r="A383" s="91" t="s">
        <v>363</v>
      </c>
      <c r="B383" s="209">
        <f>SUM(B381+B382)</f>
        <v>8</v>
      </c>
      <c r="C383" s="214">
        <f t="shared" si="50"/>
        <v>8</v>
      </c>
      <c r="D383" s="133"/>
      <c r="E383" s="134"/>
      <c r="F383" s="135"/>
      <c r="G383" s="136"/>
      <c r="H383" s="96"/>
      <c r="I383" s="96"/>
      <c r="J383" s="75"/>
      <c r="K383" s="75"/>
      <c r="L383" s="75"/>
      <c r="M383" s="75"/>
      <c r="N383" s="75"/>
      <c r="O383" s="96"/>
      <c r="P383" s="163"/>
      <c r="Q383" s="109"/>
      <c r="R383" s="111"/>
      <c r="S383" s="100"/>
      <c r="T383" s="110"/>
      <c r="U383" s="110"/>
      <c r="V383" s="100"/>
      <c r="W383" s="100"/>
      <c r="X383" s="100"/>
      <c r="Y383" s="110"/>
      <c r="Z383" s="110"/>
      <c r="AA383" s="100"/>
      <c r="AB383" s="109"/>
      <c r="AC383" s="108"/>
      <c r="AD383" s="109"/>
      <c r="AE383" s="109"/>
      <c r="AF383" s="109"/>
      <c r="AG383" s="109"/>
      <c r="AH383" s="100"/>
      <c r="AI383" s="100"/>
      <c r="AJ383" s="142"/>
      <c r="AK383" s="448"/>
      <c r="AL383" s="111"/>
      <c r="AM383" s="100"/>
      <c r="AN383" s="100"/>
      <c r="AO383" s="111"/>
      <c r="AP383" s="100"/>
      <c r="AQ383" s="100"/>
      <c r="AR383" s="111"/>
      <c r="AS383" s="142"/>
      <c r="AT383" s="150"/>
    </row>
    <row r="384" spans="1:46" ht="16.3">
      <c r="A384" s="611" t="s">
        <v>366</v>
      </c>
      <c r="B384" s="210">
        <f>SUM(J384+K384+L384+M384+N384+S384+V384+W384+X384+AA384+AI384+AJ384+AI384+AM384+AP384+AQ384+AS384+AT384+AU384+AV384)</f>
        <v>1</v>
      </c>
      <c r="C384" s="215">
        <f t="shared" ref="C384" si="51">B384</f>
        <v>1</v>
      </c>
      <c r="D384" s="133"/>
      <c r="E384" s="134"/>
      <c r="F384" s="135"/>
      <c r="G384" s="136"/>
      <c r="H384" s="96"/>
      <c r="I384" s="96"/>
      <c r="J384" s="75"/>
      <c r="K384" s="75"/>
      <c r="L384" s="75"/>
      <c r="M384" s="75">
        <v>1</v>
      </c>
      <c r="N384" s="75"/>
      <c r="O384" s="96"/>
      <c r="P384" s="163"/>
      <c r="Q384" s="109"/>
      <c r="R384" s="111"/>
      <c r="S384" s="100"/>
      <c r="T384" s="110"/>
      <c r="U384" s="110"/>
      <c r="V384" s="100"/>
      <c r="W384" s="100"/>
      <c r="X384" s="100"/>
      <c r="Y384" s="110"/>
      <c r="Z384" s="110"/>
      <c r="AA384" s="100"/>
      <c r="AB384" s="109"/>
      <c r="AC384" s="108"/>
      <c r="AD384" s="109">
        <v>1</v>
      </c>
      <c r="AE384" s="109"/>
      <c r="AF384" s="109"/>
      <c r="AG384" s="109"/>
      <c r="AH384" s="100"/>
      <c r="AI384" s="100"/>
      <c r="AJ384" s="142"/>
      <c r="AK384" s="448"/>
      <c r="AL384" s="111"/>
      <c r="AM384" s="100"/>
      <c r="AN384" s="100"/>
      <c r="AO384" s="111"/>
      <c r="AP384" s="100"/>
      <c r="AQ384" s="100"/>
      <c r="AR384" s="111"/>
      <c r="AS384" s="142"/>
      <c r="AT384" s="150"/>
    </row>
    <row r="385" spans="1:46" ht="16.3">
      <c r="A385" s="91" t="s">
        <v>3</v>
      </c>
      <c r="B385" s="209">
        <f>SUM(J385+K385+L385+M385+N385+S385+V385+W385+X385+AA385+AI385+AJ385+AI385+AM385+AP385+AQ385+AS385+AT385+AU385+AV385)</f>
        <v>2</v>
      </c>
      <c r="C385" s="214">
        <f t="shared" si="50"/>
        <v>2</v>
      </c>
      <c r="D385" s="133"/>
      <c r="E385" s="134"/>
      <c r="F385" s="135"/>
      <c r="G385" s="136"/>
      <c r="H385" s="96"/>
      <c r="I385" s="96"/>
      <c r="J385" s="75"/>
      <c r="K385" s="75">
        <v>1</v>
      </c>
      <c r="L385" s="75"/>
      <c r="M385" s="75">
        <v>1</v>
      </c>
      <c r="N385" s="75"/>
      <c r="O385" s="96"/>
      <c r="P385" s="163"/>
      <c r="Q385" s="109"/>
      <c r="R385" s="111"/>
      <c r="S385" s="100"/>
      <c r="T385" s="110"/>
      <c r="U385" s="110"/>
      <c r="V385" s="100"/>
      <c r="W385" s="100"/>
      <c r="X385" s="100"/>
      <c r="Y385" s="110"/>
      <c r="Z385" s="110"/>
      <c r="AA385" s="100"/>
      <c r="AB385" s="109"/>
      <c r="AC385" s="108"/>
      <c r="AD385" s="109"/>
      <c r="AE385" s="109"/>
      <c r="AF385" s="109"/>
      <c r="AG385" s="109"/>
      <c r="AH385" s="100"/>
      <c r="AI385" s="100"/>
      <c r="AJ385" s="142"/>
      <c r="AK385" s="448"/>
      <c r="AL385" s="111"/>
      <c r="AM385" s="100"/>
      <c r="AN385" s="100"/>
      <c r="AO385" s="111"/>
      <c r="AP385" s="100"/>
      <c r="AQ385" s="100"/>
      <c r="AR385" s="111"/>
      <c r="AS385" s="142"/>
      <c r="AT385" s="150"/>
    </row>
    <row r="386" spans="1:46" ht="17" thickBot="1">
      <c r="A386" s="92" t="s">
        <v>4</v>
      </c>
      <c r="B386" s="212">
        <f>SUM(J386+K386+L386+M386+N386+S386+V386+W386+X386+AA386+AI386+AJ386+AI386+AM386+AP386+AQ386+AS386+AT386+AU386+AV386)</f>
        <v>10</v>
      </c>
      <c r="C386" s="217">
        <f t="shared" ref="C386" si="52">B386</f>
        <v>10</v>
      </c>
      <c r="D386" s="144"/>
      <c r="E386" s="145"/>
      <c r="F386" s="146"/>
      <c r="G386" s="147"/>
      <c r="H386" s="114"/>
      <c r="I386" s="114"/>
      <c r="J386" s="112"/>
      <c r="K386" s="112">
        <v>5</v>
      </c>
      <c r="L386" s="112"/>
      <c r="M386" s="112">
        <v>5</v>
      </c>
      <c r="N386" s="112"/>
      <c r="O386" s="114"/>
      <c r="P386" s="164"/>
      <c r="Q386" s="118"/>
      <c r="R386" s="130"/>
      <c r="S386" s="116"/>
      <c r="T386" s="120"/>
      <c r="U386" s="120"/>
      <c r="V386" s="116"/>
      <c r="W386" s="116"/>
      <c r="X386" s="116"/>
      <c r="Y386" s="120"/>
      <c r="Z386" s="120"/>
      <c r="AA386" s="116"/>
      <c r="AB386" s="118"/>
      <c r="AC386" s="117"/>
      <c r="AD386" s="118"/>
      <c r="AE386" s="118"/>
      <c r="AF386" s="118"/>
      <c r="AG386" s="118"/>
      <c r="AH386" s="116"/>
      <c r="AI386" s="116"/>
      <c r="AJ386" s="149"/>
      <c r="AK386" s="449"/>
      <c r="AL386" s="121"/>
      <c r="AM386" s="116"/>
      <c r="AN386" s="116"/>
      <c r="AO386" s="121"/>
      <c r="AP386" s="116"/>
      <c r="AQ386" s="112"/>
      <c r="AR386" s="121"/>
      <c r="AS386" s="178"/>
      <c r="AT386" s="176"/>
    </row>
    <row r="387" spans="1:46" ht="21.1">
      <c r="A387" s="89" t="s">
        <v>143</v>
      </c>
      <c r="B387" s="209"/>
      <c r="C387" s="214"/>
      <c r="D387" s="133"/>
      <c r="E387" s="134"/>
      <c r="F387" s="135"/>
      <c r="G387" s="136"/>
      <c r="H387" s="96" t="s">
        <v>584</v>
      </c>
      <c r="I387" s="96"/>
      <c r="J387" s="75" t="s">
        <v>375</v>
      </c>
      <c r="K387" s="75" t="s">
        <v>339</v>
      </c>
      <c r="L387" s="75" t="s">
        <v>339</v>
      </c>
      <c r="M387" s="75" t="s">
        <v>339</v>
      </c>
      <c r="N387" s="75" t="s">
        <v>339</v>
      </c>
      <c r="O387" s="96" t="s">
        <v>339</v>
      </c>
      <c r="P387" s="105"/>
      <c r="Q387" s="96" t="s">
        <v>339</v>
      </c>
      <c r="R387" s="107"/>
      <c r="S387" s="75">
        <v>7</v>
      </c>
      <c r="T387" s="106">
        <v>7</v>
      </c>
      <c r="U387" s="106"/>
      <c r="V387" s="75">
        <v>7</v>
      </c>
      <c r="W387" s="75">
        <v>7</v>
      </c>
      <c r="X387" s="75">
        <v>7</v>
      </c>
      <c r="Y387" s="106">
        <v>7</v>
      </c>
      <c r="Z387" s="106">
        <v>7</v>
      </c>
      <c r="AA387" s="75">
        <v>7</v>
      </c>
      <c r="AB387" s="96"/>
      <c r="AC387" s="108"/>
      <c r="AD387" s="109" t="s">
        <v>375</v>
      </c>
      <c r="AE387" s="96" t="s">
        <v>734</v>
      </c>
      <c r="AF387" s="96" t="s">
        <v>734</v>
      </c>
      <c r="AG387" s="109"/>
      <c r="AH387" s="75"/>
      <c r="AI387" s="75"/>
      <c r="AJ387" s="141"/>
      <c r="AK387" s="447"/>
      <c r="AL387" s="107"/>
      <c r="AM387" s="75"/>
      <c r="AN387" s="100"/>
      <c r="AO387" s="107"/>
      <c r="AP387" s="75"/>
      <c r="AQ387" s="100"/>
      <c r="AR387" s="107"/>
      <c r="AS387" s="141"/>
      <c r="AT387" s="150"/>
    </row>
    <row r="388" spans="1:46" ht="16.3">
      <c r="A388" s="611" t="s">
        <v>1</v>
      </c>
      <c r="B388" s="210">
        <f>SUM(J388+K388+L388+M388+N388+S388+V388+W388+X388+AA388+AI388+AJ388+AI388+AM388+AP388+AQ388+AS388+AT388+AU388+AV388+AN388)+148</f>
        <v>153</v>
      </c>
      <c r="C388" s="215">
        <f>B388</f>
        <v>153</v>
      </c>
      <c r="D388" s="133"/>
      <c r="E388" s="134"/>
      <c r="F388" s="135"/>
      <c r="G388" s="136"/>
      <c r="H388" s="96">
        <v>1</v>
      </c>
      <c r="I388" s="96"/>
      <c r="J388" s="75"/>
      <c r="K388" s="75"/>
      <c r="L388" s="75"/>
      <c r="M388" s="75"/>
      <c r="N388" s="75"/>
      <c r="O388" s="96"/>
      <c r="P388" s="105"/>
      <c r="Q388" s="96"/>
      <c r="R388" s="107"/>
      <c r="S388" s="75">
        <v>1</v>
      </c>
      <c r="T388" s="106">
        <v>1</v>
      </c>
      <c r="U388" s="106"/>
      <c r="V388" s="75">
        <v>1</v>
      </c>
      <c r="W388" s="75">
        <v>1</v>
      </c>
      <c r="X388" s="75">
        <v>1</v>
      </c>
      <c r="Y388" s="106">
        <v>1</v>
      </c>
      <c r="Z388" s="106">
        <v>1</v>
      </c>
      <c r="AA388" s="75">
        <v>1</v>
      </c>
      <c r="AB388" s="96"/>
      <c r="AC388" s="108"/>
      <c r="AD388" s="109"/>
      <c r="AE388" s="96">
        <v>1</v>
      </c>
      <c r="AF388" s="96">
        <v>1</v>
      </c>
      <c r="AG388" s="109"/>
      <c r="AH388" s="75"/>
      <c r="AI388" s="75"/>
      <c r="AJ388" s="141"/>
      <c r="AK388" s="447"/>
      <c r="AL388" s="107"/>
      <c r="AM388" s="75"/>
      <c r="AN388" s="100"/>
      <c r="AO388" s="107"/>
      <c r="AP388" s="75"/>
      <c r="AQ388" s="100"/>
      <c r="AR388" s="107"/>
      <c r="AS388" s="141"/>
      <c r="AT388" s="150"/>
    </row>
    <row r="389" spans="1:46" ht="16.3">
      <c r="A389" s="611" t="s">
        <v>2</v>
      </c>
      <c r="B389" s="210">
        <f>SUM(J389+K389+L389+M389+N389+S389+V389+W389+X389+AA389+AI389+AJ389+AI389+AM389+AP389+AQ389+AS389+AT389+AU389+AV389)+24</f>
        <v>25</v>
      </c>
      <c r="C389" s="215">
        <f t="shared" ref="C389:C393" si="53">B389</f>
        <v>25</v>
      </c>
      <c r="D389" s="133"/>
      <c r="E389" s="134"/>
      <c r="F389" s="135"/>
      <c r="G389" s="136"/>
      <c r="H389" s="96"/>
      <c r="I389" s="96"/>
      <c r="J389" s="75">
        <v>1</v>
      </c>
      <c r="K389" s="75"/>
      <c r="L389" s="75"/>
      <c r="M389" s="75"/>
      <c r="N389" s="75"/>
      <c r="O389" s="96"/>
      <c r="P389" s="163"/>
      <c r="Q389" s="109"/>
      <c r="R389" s="107"/>
      <c r="S389" s="100"/>
      <c r="T389" s="110"/>
      <c r="U389" s="110"/>
      <c r="V389" s="75"/>
      <c r="W389" s="100"/>
      <c r="X389" s="100"/>
      <c r="Y389" s="110"/>
      <c r="Z389" s="110"/>
      <c r="AA389" s="100"/>
      <c r="AB389" s="109"/>
      <c r="AC389" s="108"/>
      <c r="AD389" s="109">
        <v>1</v>
      </c>
      <c r="AE389" s="109"/>
      <c r="AF389" s="109"/>
      <c r="AG389" s="109"/>
      <c r="AH389" s="100"/>
      <c r="AI389" s="100"/>
      <c r="AJ389" s="142"/>
      <c r="AK389" s="448"/>
      <c r="AL389" s="111"/>
      <c r="AM389" s="100"/>
      <c r="AN389" s="100"/>
      <c r="AO389" s="111"/>
      <c r="AP389" s="100"/>
      <c r="AQ389" s="100"/>
      <c r="AR389" s="111"/>
      <c r="AS389" s="142"/>
      <c r="AT389" s="150"/>
    </row>
    <row r="390" spans="1:46" ht="16.3">
      <c r="A390" s="91" t="s">
        <v>363</v>
      </c>
      <c r="B390" s="209">
        <f>SUM(B388+B389)</f>
        <v>178</v>
      </c>
      <c r="C390" s="214">
        <f t="shared" si="53"/>
        <v>178</v>
      </c>
      <c r="D390" s="133"/>
      <c r="E390" s="134"/>
      <c r="F390" s="135"/>
      <c r="G390" s="136"/>
      <c r="H390" s="96"/>
      <c r="I390" s="96"/>
      <c r="J390" s="75"/>
      <c r="K390" s="75"/>
      <c r="L390" s="75"/>
      <c r="M390" s="75"/>
      <c r="N390" s="75"/>
      <c r="O390" s="96"/>
      <c r="P390" s="163"/>
      <c r="Q390" s="109"/>
      <c r="R390" s="107"/>
      <c r="S390" s="100"/>
      <c r="T390" s="110"/>
      <c r="U390" s="110"/>
      <c r="V390" s="75"/>
      <c r="W390" s="100"/>
      <c r="X390" s="100"/>
      <c r="Y390" s="110"/>
      <c r="Z390" s="110"/>
      <c r="AA390" s="100"/>
      <c r="AB390" s="109"/>
      <c r="AC390" s="108"/>
      <c r="AD390" s="109"/>
      <c r="AE390" s="109"/>
      <c r="AF390" s="109"/>
      <c r="AG390" s="109"/>
      <c r="AH390" s="100"/>
      <c r="AI390" s="100"/>
      <c r="AJ390" s="142"/>
      <c r="AK390" s="448"/>
      <c r="AL390" s="111"/>
      <c r="AM390" s="100"/>
      <c r="AN390" s="100"/>
      <c r="AO390" s="111"/>
      <c r="AP390" s="100"/>
      <c r="AQ390" s="100"/>
      <c r="AR390" s="111"/>
      <c r="AS390" s="142"/>
      <c r="AT390" s="150"/>
    </row>
    <row r="391" spans="1:46" ht="16.3">
      <c r="A391" s="611" t="s">
        <v>362</v>
      </c>
      <c r="B391" s="210">
        <f>SUM(J391+K391+L391+M391+N391+S391+V391+W391+X391+AA391+AI391+AJ391+AI391+AM391+AP391+AQ391+AS391+AT391+AU391+AV391)+8</f>
        <v>8</v>
      </c>
      <c r="C391" s="215">
        <f t="shared" si="53"/>
        <v>8</v>
      </c>
      <c r="D391" s="133"/>
      <c r="E391" s="134"/>
      <c r="F391" s="135"/>
      <c r="G391" s="136"/>
      <c r="H391" s="96"/>
      <c r="I391" s="96"/>
      <c r="J391" s="75"/>
      <c r="K391" s="75"/>
      <c r="L391" s="75"/>
      <c r="M391" s="75"/>
      <c r="N391" s="75"/>
      <c r="O391" s="96"/>
      <c r="P391" s="163"/>
      <c r="Q391" s="109"/>
      <c r="R391" s="107"/>
      <c r="S391" s="100"/>
      <c r="T391" s="110"/>
      <c r="U391" s="110"/>
      <c r="V391" s="75"/>
      <c r="W391" s="100"/>
      <c r="X391" s="100"/>
      <c r="Y391" s="110"/>
      <c r="Z391" s="110"/>
      <c r="AA391" s="100"/>
      <c r="AB391" s="109"/>
      <c r="AC391" s="108"/>
      <c r="AD391" s="109"/>
      <c r="AE391" s="109"/>
      <c r="AF391" s="109"/>
      <c r="AG391" s="109"/>
      <c r="AH391" s="100"/>
      <c r="AI391" s="100"/>
      <c r="AJ391" s="142"/>
      <c r="AK391" s="448"/>
      <c r="AL391" s="111"/>
      <c r="AM391" s="100"/>
      <c r="AN391" s="100"/>
      <c r="AO391" s="111"/>
      <c r="AP391" s="100"/>
      <c r="AQ391" s="100"/>
      <c r="AR391" s="111"/>
      <c r="AS391" s="142"/>
      <c r="AT391" s="150"/>
    </row>
    <row r="392" spans="1:46" ht="16.3">
      <c r="A392" s="611" t="s">
        <v>366</v>
      </c>
      <c r="B392" s="210">
        <f>SUM(J392+K392+L392+M392+N392+S392+V392+W392+X392+AA392+AI392+AJ392+AI392+AM392+AP392+AQ392+AS392+AT392+AU392+AV392)+97</f>
        <v>97</v>
      </c>
      <c r="C392" s="215">
        <f t="shared" si="53"/>
        <v>97</v>
      </c>
      <c r="D392" s="133"/>
      <c r="E392" s="134"/>
      <c r="F392" s="135"/>
      <c r="G392" s="136"/>
      <c r="H392" s="96"/>
      <c r="I392" s="96"/>
      <c r="J392" s="75"/>
      <c r="K392" s="75"/>
      <c r="L392" s="75"/>
      <c r="M392" s="75"/>
      <c r="N392" s="75"/>
      <c r="O392" s="96"/>
      <c r="P392" s="163"/>
      <c r="Q392" s="109"/>
      <c r="R392" s="107"/>
      <c r="S392" s="100"/>
      <c r="T392" s="110"/>
      <c r="U392" s="110"/>
      <c r="V392" s="75"/>
      <c r="W392" s="100"/>
      <c r="X392" s="100"/>
      <c r="Y392" s="110"/>
      <c r="Z392" s="110"/>
      <c r="AA392" s="100"/>
      <c r="AB392" s="109"/>
      <c r="AC392" s="108"/>
      <c r="AD392" s="109"/>
      <c r="AE392" s="109">
        <v>1</v>
      </c>
      <c r="AF392" s="109">
        <v>1</v>
      </c>
      <c r="AG392" s="109"/>
      <c r="AH392" s="100"/>
      <c r="AI392" s="100"/>
      <c r="AJ392" s="142"/>
      <c r="AK392" s="448"/>
      <c r="AL392" s="111"/>
      <c r="AM392" s="100"/>
      <c r="AN392" s="100"/>
      <c r="AO392" s="111"/>
      <c r="AP392" s="100"/>
      <c r="AQ392" s="100"/>
      <c r="AR392" s="111"/>
      <c r="AS392" s="142"/>
      <c r="AT392" s="150"/>
    </row>
    <row r="393" spans="1:46" ht="16.3">
      <c r="A393" s="91" t="s">
        <v>3</v>
      </c>
      <c r="B393" s="209">
        <f>SUM(J393+K393+L393+M393+N393+S393+V393+W393+X393+AA393+AI393+AJ393+AI393+AM393+AP393+AQ393+AS393+AT393+AU393+AV393)+17</f>
        <v>18</v>
      </c>
      <c r="C393" s="214">
        <f t="shared" si="53"/>
        <v>18</v>
      </c>
      <c r="D393" s="133"/>
      <c r="E393" s="134"/>
      <c r="F393" s="135"/>
      <c r="G393" s="136"/>
      <c r="H393" s="96">
        <v>1</v>
      </c>
      <c r="I393" s="96"/>
      <c r="J393" s="75"/>
      <c r="K393" s="75"/>
      <c r="L393" s="75"/>
      <c r="M393" s="75"/>
      <c r="N393" s="75"/>
      <c r="O393" s="96"/>
      <c r="P393" s="163"/>
      <c r="Q393" s="109"/>
      <c r="R393" s="111"/>
      <c r="S393" s="100">
        <v>1</v>
      </c>
      <c r="T393" s="110"/>
      <c r="U393" s="110"/>
      <c r="V393" s="100"/>
      <c r="W393" s="100"/>
      <c r="X393" s="100"/>
      <c r="Y393" s="110"/>
      <c r="Z393" s="110"/>
      <c r="AA393" s="100"/>
      <c r="AB393" s="109"/>
      <c r="AC393" s="108"/>
      <c r="AD393" s="109"/>
      <c r="AE393" s="109"/>
      <c r="AF393" s="109"/>
      <c r="AG393" s="109"/>
      <c r="AH393" s="100"/>
      <c r="AI393" s="100"/>
      <c r="AJ393" s="142"/>
      <c r="AK393" s="448"/>
      <c r="AL393" s="111"/>
      <c r="AM393" s="100"/>
      <c r="AN393" s="100"/>
      <c r="AO393" s="111"/>
      <c r="AP393" s="100"/>
      <c r="AQ393" s="100"/>
      <c r="AR393" s="111"/>
      <c r="AS393" s="142"/>
      <c r="AT393" s="150"/>
    </row>
    <row r="394" spans="1:46" ht="17" thickBot="1">
      <c r="A394" s="92" t="s">
        <v>4</v>
      </c>
      <c r="B394" s="212">
        <f>SUM(J394+K394+L394+M394+N394+S394+V394+W394+X394+AA394+AI394+AJ394+AI394+AM394+AP394+AQ394+AS394+AT394+AU394+AV394)+85</f>
        <v>90</v>
      </c>
      <c r="C394" s="217">
        <f t="shared" ref="C394" si="54">B394</f>
        <v>90</v>
      </c>
      <c r="D394" s="144"/>
      <c r="E394" s="145"/>
      <c r="F394" s="146"/>
      <c r="G394" s="147"/>
      <c r="H394" s="114">
        <v>5</v>
      </c>
      <c r="I394" s="114"/>
      <c r="J394" s="112"/>
      <c r="K394" s="112"/>
      <c r="L394" s="112"/>
      <c r="M394" s="112"/>
      <c r="N394" s="112"/>
      <c r="O394" s="114"/>
      <c r="P394" s="164"/>
      <c r="Q394" s="118"/>
      <c r="R394" s="130"/>
      <c r="S394" s="116">
        <v>5</v>
      </c>
      <c r="T394" s="120"/>
      <c r="U394" s="120"/>
      <c r="V394" s="116"/>
      <c r="W394" s="116"/>
      <c r="X394" s="116"/>
      <c r="Y394" s="120"/>
      <c r="Z394" s="120"/>
      <c r="AA394" s="116"/>
      <c r="AB394" s="118"/>
      <c r="AC394" s="117"/>
      <c r="AD394" s="118"/>
      <c r="AE394" s="118"/>
      <c r="AF394" s="118"/>
      <c r="AG394" s="118"/>
      <c r="AH394" s="116"/>
      <c r="AI394" s="116"/>
      <c r="AJ394" s="149"/>
      <c r="AK394" s="449"/>
      <c r="AL394" s="121"/>
      <c r="AM394" s="116"/>
      <c r="AN394" s="116"/>
      <c r="AO394" s="121"/>
      <c r="AP394" s="116"/>
      <c r="AQ394" s="116"/>
      <c r="AR394" s="121"/>
      <c r="AS394" s="149"/>
      <c r="AT394" s="176"/>
    </row>
    <row r="395" spans="1:46" ht="21.1">
      <c r="A395" s="89" t="s">
        <v>495</v>
      </c>
      <c r="B395" s="209"/>
      <c r="C395" s="214"/>
      <c r="D395" s="133"/>
      <c r="E395" s="134"/>
      <c r="F395" s="135"/>
      <c r="G395" s="136"/>
      <c r="H395" s="96"/>
      <c r="I395" s="96"/>
      <c r="J395" s="75"/>
      <c r="K395" s="75"/>
      <c r="L395" s="75"/>
      <c r="M395" s="75"/>
      <c r="N395" s="75"/>
      <c r="O395" s="96" t="s">
        <v>372</v>
      </c>
      <c r="P395" s="163"/>
      <c r="Q395" s="109" t="s">
        <v>375</v>
      </c>
      <c r="R395" s="111"/>
      <c r="S395" s="100"/>
      <c r="T395" s="110"/>
      <c r="U395" s="110"/>
      <c r="V395" s="100"/>
      <c r="W395" s="100"/>
      <c r="X395" s="100"/>
      <c r="Y395" s="110"/>
      <c r="Z395" s="110"/>
      <c r="AA395" s="100"/>
      <c r="AB395" s="109"/>
      <c r="AC395" s="108"/>
      <c r="AD395" s="109"/>
      <c r="AE395" s="109"/>
      <c r="AF395" s="109"/>
      <c r="AG395" s="109"/>
      <c r="AH395" s="100"/>
      <c r="AI395" s="100"/>
      <c r="AJ395" s="142"/>
      <c r="AK395" s="448"/>
      <c r="AL395" s="111"/>
      <c r="AM395" s="100"/>
      <c r="AN395" s="100"/>
      <c r="AO395" s="111"/>
      <c r="AP395" s="100"/>
      <c r="AQ395" s="100"/>
      <c r="AR395" s="111"/>
      <c r="AS395" s="142"/>
      <c r="AT395" s="150"/>
    </row>
    <row r="396" spans="1:46" ht="16.3">
      <c r="A396" s="585" t="s">
        <v>1</v>
      </c>
      <c r="B396" s="210">
        <f>SUM(J396+K396+L396+M396+N396+S396+V396+W396+X396+AA396+AI396+AJ396+AI396+AM396+AP396+AQ396+AS396+AT396+AU396+AV396+AN396)</f>
        <v>0</v>
      </c>
      <c r="C396" s="215">
        <f>B396</f>
        <v>0</v>
      </c>
      <c r="D396" s="133"/>
      <c r="E396" s="134"/>
      <c r="F396" s="135"/>
      <c r="G396" s="136"/>
      <c r="H396" s="96"/>
      <c r="I396" s="96"/>
      <c r="J396" s="75"/>
      <c r="K396" s="75"/>
      <c r="L396" s="75"/>
      <c r="M396" s="75"/>
      <c r="N396" s="75"/>
      <c r="O396" s="96">
        <v>1</v>
      </c>
      <c r="P396" s="163"/>
      <c r="Q396" s="109"/>
      <c r="R396" s="111"/>
      <c r="S396" s="100"/>
      <c r="T396" s="110"/>
      <c r="U396" s="110"/>
      <c r="V396" s="100"/>
      <c r="W396" s="100"/>
      <c r="X396" s="100"/>
      <c r="Y396" s="110"/>
      <c r="Z396" s="110"/>
      <c r="AA396" s="100"/>
      <c r="AB396" s="109"/>
      <c r="AC396" s="108"/>
      <c r="AD396" s="109"/>
      <c r="AE396" s="109"/>
      <c r="AF396" s="109"/>
      <c r="AG396" s="109"/>
      <c r="AH396" s="100"/>
      <c r="AI396" s="100"/>
      <c r="AJ396" s="142"/>
      <c r="AK396" s="448"/>
      <c r="AL396" s="111"/>
      <c r="AM396" s="100"/>
      <c r="AN396" s="100"/>
      <c r="AO396" s="111"/>
      <c r="AP396" s="100"/>
      <c r="AQ396" s="100"/>
      <c r="AR396" s="111"/>
      <c r="AS396" s="142"/>
      <c r="AT396" s="150"/>
    </row>
    <row r="397" spans="1:46" ht="16.3">
      <c r="A397" s="585" t="s">
        <v>2</v>
      </c>
      <c r="B397" s="210">
        <f>SUM(J397+K397+L397+M397+N397+S397+V397+W397+X397+AA397+AI397+AJ397+AI397+AM397+AP397+AQ397+AS397+AT397+AU397+AV397)</f>
        <v>0</v>
      </c>
      <c r="C397" s="215">
        <f t="shared" ref="C397:C400" si="55">B397</f>
        <v>0</v>
      </c>
      <c r="D397" s="133"/>
      <c r="E397" s="134"/>
      <c r="F397" s="135"/>
      <c r="G397" s="136"/>
      <c r="H397" s="96"/>
      <c r="I397" s="96"/>
      <c r="J397" s="75"/>
      <c r="K397" s="75"/>
      <c r="L397" s="75"/>
      <c r="M397" s="75"/>
      <c r="N397" s="75"/>
      <c r="O397" s="96"/>
      <c r="P397" s="163"/>
      <c r="Q397" s="109">
        <v>1</v>
      </c>
      <c r="R397" s="111"/>
      <c r="S397" s="100"/>
      <c r="T397" s="110"/>
      <c r="U397" s="110"/>
      <c r="V397" s="100"/>
      <c r="W397" s="100"/>
      <c r="X397" s="100"/>
      <c r="Y397" s="110"/>
      <c r="Z397" s="110"/>
      <c r="AA397" s="100"/>
      <c r="AB397" s="109"/>
      <c r="AC397" s="108"/>
      <c r="AD397" s="109"/>
      <c r="AE397" s="109"/>
      <c r="AF397" s="109"/>
      <c r="AG397" s="109"/>
      <c r="AH397" s="100"/>
      <c r="AI397" s="100"/>
      <c r="AJ397" s="142"/>
      <c r="AK397" s="448"/>
      <c r="AL397" s="111"/>
      <c r="AM397" s="100"/>
      <c r="AN397" s="100"/>
      <c r="AO397" s="111"/>
      <c r="AP397" s="100"/>
      <c r="AQ397" s="100"/>
      <c r="AR397" s="111"/>
      <c r="AS397" s="142"/>
      <c r="AT397" s="150"/>
    </row>
    <row r="398" spans="1:46" ht="16.3">
      <c r="A398" s="91" t="s">
        <v>363</v>
      </c>
      <c r="B398" s="209">
        <f>SUM(B396+B397)</f>
        <v>0</v>
      </c>
      <c r="C398" s="214">
        <f t="shared" si="55"/>
        <v>0</v>
      </c>
      <c r="D398" s="133"/>
      <c r="E398" s="134"/>
      <c r="F398" s="135"/>
      <c r="G398" s="136"/>
      <c r="H398" s="96"/>
      <c r="I398" s="96"/>
      <c r="J398" s="75"/>
      <c r="K398" s="75"/>
      <c r="L398" s="75"/>
      <c r="M398" s="75"/>
      <c r="N398" s="75"/>
      <c r="O398" s="96"/>
      <c r="P398" s="163"/>
      <c r="Q398" s="109"/>
      <c r="R398" s="111"/>
      <c r="S398" s="100"/>
      <c r="T398" s="110"/>
      <c r="U398" s="110"/>
      <c r="V398" s="100"/>
      <c r="W398" s="100"/>
      <c r="X398" s="100"/>
      <c r="Y398" s="110"/>
      <c r="Z398" s="110"/>
      <c r="AA398" s="100"/>
      <c r="AB398" s="109"/>
      <c r="AC398" s="108"/>
      <c r="AD398" s="109"/>
      <c r="AE398" s="109"/>
      <c r="AF398" s="109"/>
      <c r="AG398" s="109"/>
      <c r="AH398" s="100"/>
      <c r="AI398" s="100"/>
      <c r="AJ398" s="142"/>
      <c r="AK398" s="448"/>
      <c r="AL398" s="111"/>
      <c r="AM398" s="100"/>
      <c r="AN398" s="100"/>
      <c r="AO398" s="111"/>
      <c r="AP398" s="100"/>
      <c r="AQ398" s="100"/>
      <c r="AR398" s="111"/>
      <c r="AS398" s="142"/>
      <c r="AT398" s="150"/>
    </row>
    <row r="399" spans="1:46" ht="16.3">
      <c r="A399" s="91" t="s">
        <v>3</v>
      </c>
      <c r="B399" s="209">
        <f>SUM(J399+K399+L399+M399+N399+S399+V399+W399+X399+AA399+AI399+AJ399+AI399+AM399+AP399+AQ399+AS399+AT399+AU399+AV399)</f>
        <v>0</v>
      </c>
      <c r="C399" s="214">
        <f t="shared" si="55"/>
        <v>0</v>
      </c>
      <c r="D399" s="133"/>
      <c r="E399" s="134"/>
      <c r="F399" s="135"/>
      <c r="G399" s="136"/>
      <c r="H399" s="96"/>
      <c r="I399" s="96"/>
      <c r="J399" s="75"/>
      <c r="K399" s="75"/>
      <c r="L399" s="75"/>
      <c r="M399" s="75"/>
      <c r="N399" s="75"/>
      <c r="O399" s="96"/>
      <c r="P399" s="163"/>
      <c r="Q399" s="109"/>
      <c r="R399" s="111"/>
      <c r="S399" s="100"/>
      <c r="T399" s="110"/>
      <c r="U399" s="110"/>
      <c r="V399" s="100"/>
      <c r="W399" s="100"/>
      <c r="X399" s="100"/>
      <c r="Y399" s="110"/>
      <c r="Z399" s="110"/>
      <c r="AA399" s="100"/>
      <c r="AB399" s="109"/>
      <c r="AC399" s="108"/>
      <c r="AD399" s="109"/>
      <c r="AE399" s="109"/>
      <c r="AF399" s="109"/>
      <c r="AG399" s="109"/>
      <c r="AH399" s="100"/>
      <c r="AI399" s="100"/>
      <c r="AJ399" s="142"/>
      <c r="AK399" s="448"/>
      <c r="AL399" s="111"/>
      <c r="AM399" s="100"/>
      <c r="AN399" s="100"/>
      <c r="AO399" s="111"/>
      <c r="AP399" s="100"/>
      <c r="AQ399" s="100"/>
      <c r="AR399" s="111"/>
      <c r="AS399" s="142"/>
      <c r="AT399" s="150"/>
    </row>
    <row r="400" spans="1:46" ht="17" thickBot="1">
      <c r="A400" s="92" t="s">
        <v>4</v>
      </c>
      <c r="B400" s="212">
        <f>SUM(J400+K400+L400+M400+N400+S400+V400+W400+X400+AA400+AI400+AJ400+AI400+AM400+AP400+AQ400+AS400+AT400+AU400+AV400)</f>
        <v>0</v>
      </c>
      <c r="C400" s="217">
        <f t="shared" si="55"/>
        <v>0</v>
      </c>
      <c r="D400" s="144"/>
      <c r="E400" s="145"/>
      <c r="F400" s="146"/>
      <c r="G400" s="147"/>
      <c r="H400" s="114"/>
      <c r="I400" s="114"/>
      <c r="J400" s="112"/>
      <c r="K400" s="112"/>
      <c r="L400" s="112"/>
      <c r="M400" s="112"/>
      <c r="N400" s="112"/>
      <c r="O400" s="114"/>
      <c r="P400" s="164"/>
      <c r="Q400" s="118"/>
      <c r="R400" s="121"/>
      <c r="S400" s="116"/>
      <c r="T400" s="120"/>
      <c r="U400" s="120"/>
      <c r="V400" s="116"/>
      <c r="W400" s="116"/>
      <c r="X400" s="116"/>
      <c r="Y400" s="120"/>
      <c r="Z400" s="120"/>
      <c r="AA400" s="116"/>
      <c r="AB400" s="118"/>
      <c r="AC400" s="117"/>
      <c r="AD400" s="118"/>
      <c r="AE400" s="118"/>
      <c r="AF400" s="118"/>
      <c r="AG400" s="118"/>
      <c r="AH400" s="116"/>
      <c r="AI400" s="116"/>
      <c r="AJ400" s="149"/>
      <c r="AK400" s="449"/>
      <c r="AL400" s="121"/>
      <c r="AM400" s="116"/>
      <c r="AN400" s="116"/>
      <c r="AO400" s="121"/>
      <c r="AP400" s="116"/>
      <c r="AQ400" s="116"/>
      <c r="AR400" s="121"/>
      <c r="AS400" s="149"/>
      <c r="AT400" s="176"/>
    </row>
    <row r="401" spans="1:46" ht="21.1">
      <c r="A401" s="89" t="s">
        <v>489</v>
      </c>
      <c r="B401" s="209"/>
      <c r="C401" s="214"/>
      <c r="D401" s="133"/>
      <c r="E401" s="134"/>
      <c r="F401" s="135"/>
      <c r="G401" s="136"/>
      <c r="H401" s="96"/>
      <c r="I401" s="96" t="s">
        <v>375</v>
      </c>
      <c r="J401" s="75"/>
      <c r="K401" s="75"/>
      <c r="L401" s="75"/>
      <c r="M401" s="75"/>
      <c r="N401" s="75"/>
      <c r="O401" s="96" t="s">
        <v>375</v>
      </c>
      <c r="P401" s="163"/>
      <c r="Q401" s="109"/>
      <c r="R401" s="111"/>
      <c r="S401" s="100"/>
      <c r="T401" s="110"/>
      <c r="U401" s="110"/>
      <c r="V401" s="100"/>
      <c r="W401" s="100"/>
      <c r="X401" s="100"/>
      <c r="Y401" s="110"/>
      <c r="Z401" s="110"/>
      <c r="AA401" s="100"/>
      <c r="AB401" s="109"/>
      <c r="AC401" s="108"/>
      <c r="AD401" s="109"/>
      <c r="AE401" s="109"/>
      <c r="AF401" s="109"/>
      <c r="AG401" s="109"/>
      <c r="AH401" s="100"/>
      <c r="AI401" s="100"/>
      <c r="AJ401" s="142"/>
      <c r="AK401" s="448"/>
      <c r="AL401" s="111"/>
      <c r="AM401" s="100"/>
      <c r="AN401" s="100"/>
      <c r="AO401" s="111"/>
      <c r="AP401" s="100"/>
      <c r="AQ401" s="100"/>
      <c r="AR401" s="111"/>
      <c r="AS401" s="142"/>
      <c r="AT401" s="150"/>
    </row>
    <row r="402" spans="1:46" ht="16.3">
      <c r="A402" s="585" t="s">
        <v>1</v>
      </c>
      <c r="B402" s="210">
        <f>SUM(J402+K402+L402+M402+N402+S402+V402+W402+X402+AA402+AI402+AJ402+AI402+AM402+AP402+AQ402+AS402+AT402+AU402+AV402+AN402)</f>
        <v>0</v>
      </c>
      <c r="C402" s="215">
        <f>B402</f>
        <v>0</v>
      </c>
      <c r="D402" s="133"/>
      <c r="E402" s="134"/>
      <c r="F402" s="135"/>
      <c r="G402" s="136"/>
      <c r="H402" s="96"/>
      <c r="I402" s="96"/>
      <c r="J402" s="75"/>
      <c r="K402" s="75"/>
      <c r="L402" s="75"/>
      <c r="M402" s="75"/>
      <c r="N402" s="75"/>
      <c r="O402" s="96"/>
      <c r="P402" s="163"/>
      <c r="Q402" s="109"/>
      <c r="R402" s="111"/>
      <c r="S402" s="100"/>
      <c r="T402" s="110"/>
      <c r="U402" s="110"/>
      <c r="V402" s="100"/>
      <c r="W402" s="100"/>
      <c r="X402" s="100"/>
      <c r="Y402" s="110"/>
      <c r="Z402" s="110"/>
      <c r="AA402" s="100"/>
      <c r="AB402" s="109"/>
      <c r="AC402" s="108"/>
      <c r="AD402" s="109"/>
      <c r="AE402" s="109"/>
      <c r="AF402" s="109"/>
      <c r="AG402" s="109"/>
      <c r="AH402" s="100"/>
      <c r="AI402" s="100"/>
      <c r="AJ402" s="142"/>
      <c r="AK402" s="448"/>
      <c r="AL402" s="111"/>
      <c r="AM402" s="100"/>
      <c r="AN402" s="100"/>
      <c r="AO402" s="111"/>
      <c r="AP402" s="100"/>
      <c r="AQ402" s="100"/>
      <c r="AR402" s="111"/>
      <c r="AS402" s="142"/>
      <c r="AT402" s="150"/>
    </row>
    <row r="403" spans="1:46" ht="16.3">
      <c r="A403" s="585" t="s">
        <v>2</v>
      </c>
      <c r="B403" s="210">
        <f>SUM(J403+K403+L403+M403+N403+S403+V403+W403+X403+AA403+AI403+AJ403+AI403+AM403+AP403+AQ403+AS403+AT403+AU403+AV403)</f>
        <v>0</v>
      </c>
      <c r="C403" s="215">
        <f t="shared" ref="C403:C406" si="56">B403</f>
        <v>0</v>
      </c>
      <c r="D403" s="133"/>
      <c r="E403" s="134"/>
      <c r="F403" s="135"/>
      <c r="G403" s="136"/>
      <c r="H403" s="96"/>
      <c r="I403" s="96">
        <v>1</v>
      </c>
      <c r="J403" s="75"/>
      <c r="K403" s="75"/>
      <c r="L403" s="75"/>
      <c r="M403" s="75"/>
      <c r="N403" s="75"/>
      <c r="O403" s="96">
        <v>1</v>
      </c>
      <c r="P403" s="163"/>
      <c r="Q403" s="109"/>
      <c r="R403" s="111"/>
      <c r="S403" s="100"/>
      <c r="T403" s="110"/>
      <c r="U403" s="110"/>
      <c r="V403" s="100"/>
      <c r="W403" s="100"/>
      <c r="X403" s="100"/>
      <c r="Y403" s="110"/>
      <c r="Z403" s="110"/>
      <c r="AA403" s="100"/>
      <c r="AB403" s="109"/>
      <c r="AC403" s="108"/>
      <c r="AD403" s="109"/>
      <c r="AE403" s="109"/>
      <c r="AF403" s="109"/>
      <c r="AG403" s="109"/>
      <c r="AH403" s="100"/>
      <c r="AI403" s="100"/>
      <c r="AJ403" s="142"/>
      <c r="AK403" s="448"/>
      <c r="AL403" s="111"/>
      <c r="AM403" s="100"/>
      <c r="AN403" s="100"/>
      <c r="AO403" s="111"/>
      <c r="AP403" s="100"/>
      <c r="AQ403" s="100"/>
      <c r="AR403" s="111"/>
      <c r="AS403" s="142"/>
      <c r="AT403" s="150"/>
    </row>
    <row r="404" spans="1:46" ht="16.3">
      <c r="A404" s="91" t="s">
        <v>363</v>
      </c>
      <c r="B404" s="209">
        <f>SUM(B402+B403)</f>
        <v>0</v>
      </c>
      <c r="C404" s="214">
        <f t="shared" si="56"/>
        <v>0</v>
      </c>
      <c r="D404" s="133"/>
      <c r="E404" s="134"/>
      <c r="F404" s="135"/>
      <c r="G404" s="136"/>
      <c r="H404" s="96"/>
      <c r="I404" s="96"/>
      <c r="J404" s="75"/>
      <c r="K404" s="75"/>
      <c r="L404" s="75"/>
      <c r="M404" s="75"/>
      <c r="N404" s="75"/>
      <c r="O404" s="96"/>
      <c r="P404" s="163"/>
      <c r="Q404" s="109"/>
      <c r="R404" s="111"/>
      <c r="S404" s="100"/>
      <c r="T404" s="110"/>
      <c r="U404" s="110"/>
      <c r="V404" s="100"/>
      <c r="W404" s="100"/>
      <c r="X404" s="100"/>
      <c r="Y404" s="110"/>
      <c r="Z404" s="110"/>
      <c r="AA404" s="100"/>
      <c r="AB404" s="109"/>
      <c r="AC404" s="108"/>
      <c r="AD404" s="109"/>
      <c r="AE404" s="109"/>
      <c r="AF404" s="109"/>
      <c r="AG404" s="109"/>
      <c r="AH404" s="100"/>
      <c r="AI404" s="100"/>
      <c r="AJ404" s="142"/>
      <c r="AK404" s="448"/>
      <c r="AL404" s="111"/>
      <c r="AM404" s="100"/>
      <c r="AN404" s="100"/>
      <c r="AO404" s="111"/>
      <c r="AP404" s="100"/>
      <c r="AQ404" s="100"/>
      <c r="AR404" s="111"/>
      <c r="AS404" s="142"/>
      <c r="AT404" s="150"/>
    </row>
    <row r="405" spans="1:46" ht="16.3">
      <c r="A405" s="91" t="s">
        <v>3</v>
      </c>
      <c r="B405" s="209">
        <f>SUM(J405+K405+L405+M405+N405+S405+V405+W405+X405+AA405+AI405+AJ405+AI405+AM405+AP405+AQ405+AS405+AT405+AU405+AV405)</f>
        <v>0</v>
      </c>
      <c r="C405" s="214">
        <f t="shared" si="56"/>
        <v>0</v>
      </c>
      <c r="D405" s="133"/>
      <c r="E405" s="134"/>
      <c r="F405" s="135"/>
      <c r="G405" s="136"/>
      <c r="H405" s="96"/>
      <c r="I405" s="96"/>
      <c r="J405" s="75"/>
      <c r="K405" s="75"/>
      <c r="L405" s="75"/>
      <c r="M405" s="75"/>
      <c r="N405" s="75"/>
      <c r="O405" s="96"/>
      <c r="P405" s="163"/>
      <c r="Q405" s="109"/>
      <c r="R405" s="111"/>
      <c r="S405" s="100"/>
      <c r="T405" s="110"/>
      <c r="U405" s="110"/>
      <c r="V405" s="100"/>
      <c r="W405" s="100"/>
      <c r="X405" s="100"/>
      <c r="Y405" s="110"/>
      <c r="Z405" s="110"/>
      <c r="AA405" s="100"/>
      <c r="AB405" s="109"/>
      <c r="AC405" s="108"/>
      <c r="AD405" s="109"/>
      <c r="AE405" s="109"/>
      <c r="AF405" s="109"/>
      <c r="AG405" s="109"/>
      <c r="AH405" s="100"/>
      <c r="AI405" s="100"/>
      <c r="AJ405" s="142"/>
      <c r="AK405" s="448"/>
      <c r="AL405" s="111"/>
      <c r="AM405" s="100"/>
      <c r="AN405" s="100"/>
      <c r="AO405" s="111"/>
      <c r="AP405" s="100"/>
      <c r="AQ405" s="100"/>
      <c r="AR405" s="111"/>
      <c r="AS405" s="142"/>
      <c r="AT405" s="150"/>
    </row>
    <row r="406" spans="1:46" ht="17" thickBot="1">
      <c r="A406" s="92" t="s">
        <v>4</v>
      </c>
      <c r="B406" s="212">
        <f>SUM(J406+K406+L406+M406+N406+S406+V406+W406+X406+AA406+AI406+AJ406+AI406+AM406+AP406+AQ406+AS406+AT406+AU406+AV406)</f>
        <v>0</v>
      </c>
      <c r="C406" s="217">
        <f t="shared" si="56"/>
        <v>0</v>
      </c>
      <c r="D406" s="144"/>
      <c r="E406" s="145"/>
      <c r="F406" s="146"/>
      <c r="G406" s="147"/>
      <c r="H406" s="114"/>
      <c r="I406" s="114"/>
      <c r="J406" s="112"/>
      <c r="K406" s="112"/>
      <c r="L406" s="112"/>
      <c r="M406" s="112"/>
      <c r="N406" s="112"/>
      <c r="O406" s="114"/>
      <c r="P406" s="164"/>
      <c r="Q406" s="118"/>
      <c r="R406" s="121"/>
      <c r="S406" s="116"/>
      <c r="T406" s="120"/>
      <c r="U406" s="120"/>
      <c r="V406" s="116"/>
      <c r="W406" s="116"/>
      <c r="X406" s="116"/>
      <c r="Y406" s="120"/>
      <c r="Z406" s="120"/>
      <c r="AA406" s="116"/>
      <c r="AB406" s="118"/>
      <c r="AC406" s="117"/>
      <c r="AD406" s="118"/>
      <c r="AE406" s="118"/>
      <c r="AF406" s="118"/>
      <c r="AG406" s="118"/>
      <c r="AH406" s="116"/>
      <c r="AI406" s="116"/>
      <c r="AJ406" s="149"/>
      <c r="AK406" s="449"/>
      <c r="AL406" s="121"/>
      <c r="AM406" s="116"/>
      <c r="AN406" s="116"/>
      <c r="AO406" s="121"/>
      <c r="AP406" s="116"/>
      <c r="AQ406" s="116"/>
      <c r="AR406" s="121"/>
      <c r="AS406" s="149"/>
      <c r="AT406" s="176"/>
    </row>
    <row r="407" spans="1:46" ht="21.1">
      <c r="A407" s="89" t="s">
        <v>711</v>
      </c>
      <c r="B407" s="209"/>
      <c r="C407" s="214"/>
      <c r="D407" s="133"/>
      <c r="E407" s="134"/>
      <c r="F407" s="135"/>
      <c r="G407" s="136"/>
      <c r="H407" s="96"/>
      <c r="I407" s="96"/>
      <c r="J407" s="75"/>
      <c r="K407" s="75" t="s">
        <v>712</v>
      </c>
      <c r="L407" s="75" t="s">
        <v>375</v>
      </c>
      <c r="M407" s="75" t="s">
        <v>375</v>
      </c>
      <c r="N407" s="75" t="s">
        <v>375</v>
      </c>
      <c r="O407" s="96" t="s">
        <v>339</v>
      </c>
      <c r="P407" s="163"/>
      <c r="Q407" s="109" t="s">
        <v>339</v>
      </c>
      <c r="R407" s="111"/>
      <c r="S407" s="100" t="s">
        <v>339</v>
      </c>
      <c r="T407" s="110" t="s">
        <v>339</v>
      </c>
      <c r="U407" s="110" t="s">
        <v>339</v>
      </c>
      <c r="V407" s="100" t="s">
        <v>339</v>
      </c>
      <c r="W407" s="100" t="s">
        <v>339</v>
      </c>
      <c r="X407" s="100" t="s">
        <v>339</v>
      </c>
      <c r="Y407" s="110" t="s">
        <v>339</v>
      </c>
      <c r="Z407" s="110" t="s">
        <v>339</v>
      </c>
      <c r="AA407" s="100" t="s">
        <v>375</v>
      </c>
      <c r="AB407" s="109"/>
      <c r="AC407" s="108"/>
      <c r="AD407" s="109"/>
      <c r="AE407" s="109" t="s">
        <v>375</v>
      </c>
      <c r="AF407" s="109"/>
      <c r="AG407" s="109"/>
      <c r="AH407" s="100"/>
      <c r="AI407" s="100"/>
      <c r="AJ407" s="142"/>
      <c r="AK407" s="448"/>
      <c r="AL407" s="111"/>
      <c r="AM407" s="100"/>
      <c r="AN407" s="100"/>
      <c r="AO407" s="111"/>
      <c r="AP407" s="100"/>
      <c r="AQ407" s="100"/>
      <c r="AR407" s="111"/>
      <c r="AS407" s="142"/>
      <c r="AT407" s="150"/>
    </row>
    <row r="408" spans="1:46" ht="16.3">
      <c r="A408" s="585" t="s">
        <v>1</v>
      </c>
      <c r="B408" s="210">
        <f>SUM(J408+K408+L408+M408+N408+S408+V408+W408+X408+AA408+AI408+AJ408+AI408+AM408+AP408+AQ408+AS408+AT408+AU408+AV408+AN408)</f>
        <v>1</v>
      </c>
      <c r="C408" s="215">
        <f>B408</f>
        <v>1</v>
      </c>
      <c r="D408" s="133"/>
      <c r="E408" s="134"/>
      <c r="F408" s="135"/>
      <c r="G408" s="136"/>
      <c r="H408" s="96"/>
      <c r="I408" s="96"/>
      <c r="J408" s="75"/>
      <c r="K408" s="75">
        <v>1</v>
      </c>
      <c r="L408" s="75"/>
      <c r="M408" s="75"/>
      <c r="N408" s="75"/>
      <c r="O408" s="96"/>
      <c r="P408" s="163"/>
      <c r="Q408" s="109"/>
      <c r="R408" s="111"/>
      <c r="S408" s="100"/>
      <c r="T408" s="110"/>
      <c r="U408" s="110"/>
      <c r="V408" s="100"/>
      <c r="W408" s="100"/>
      <c r="X408" s="100"/>
      <c r="Y408" s="110"/>
      <c r="Z408" s="110"/>
      <c r="AA408" s="100"/>
      <c r="AB408" s="109"/>
      <c r="AC408" s="108"/>
      <c r="AD408" s="109"/>
      <c r="AE408" s="109"/>
      <c r="AF408" s="109"/>
      <c r="AG408" s="109"/>
      <c r="AH408" s="100"/>
      <c r="AI408" s="100"/>
      <c r="AJ408" s="142"/>
      <c r="AK408" s="448"/>
      <c r="AL408" s="111"/>
      <c r="AM408" s="100"/>
      <c r="AN408" s="100"/>
      <c r="AO408" s="111"/>
      <c r="AP408" s="100"/>
      <c r="AQ408" s="100"/>
      <c r="AR408" s="111"/>
      <c r="AS408" s="142"/>
      <c r="AT408" s="150"/>
    </row>
    <row r="409" spans="1:46" ht="16.3">
      <c r="A409" s="585" t="s">
        <v>2</v>
      </c>
      <c r="B409" s="210">
        <f>SUM(J409+K409+L409+M409+N409+S409+V409+W409+X409+AA409+AI409+AJ409+AI409+AM409+AP409+AQ409+AS409+AT409+AU409+AV409)</f>
        <v>4</v>
      </c>
      <c r="C409" s="215">
        <f t="shared" ref="C409:C412" si="57">B409</f>
        <v>4</v>
      </c>
      <c r="D409" s="133"/>
      <c r="E409" s="134"/>
      <c r="F409" s="135"/>
      <c r="G409" s="136"/>
      <c r="H409" s="96"/>
      <c r="I409" s="96"/>
      <c r="J409" s="75"/>
      <c r="K409" s="75"/>
      <c r="L409" s="75">
        <v>1</v>
      </c>
      <c r="M409" s="75">
        <v>1</v>
      </c>
      <c r="N409" s="75">
        <v>1</v>
      </c>
      <c r="O409" s="96"/>
      <c r="P409" s="163"/>
      <c r="Q409" s="109"/>
      <c r="R409" s="111"/>
      <c r="S409" s="100"/>
      <c r="T409" s="110"/>
      <c r="U409" s="110"/>
      <c r="V409" s="100"/>
      <c r="W409" s="100"/>
      <c r="X409" s="100"/>
      <c r="Y409" s="110"/>
      <c r="Z409" s="110"/>
      <c r="AA409" s="100">
        <v>1</v>
      </c>
      <c r="AB409" s="109"/>
      <c r="AC409" s="108"/>
      <c r="AD409" s="109"/>
      <c r="AE409" s="109">
        <v>1</v>
      </c>
      <c r="AF409" s="109"/>
      <c r="AG409" s="109"/>
      <c r="AH409" s="100"/>
      <c r="AI409" s="100"/>
      <c r="AJ409" s="142"/>
      <c r="AK409" s="448"/>
      <c r="AL409" s="111"/>
      <c r="AM409" s="100"/>
      <c r="AN409" s="100"/>
      <c r="AO409" s="111"/>
      <c r="AP409" s="100"/>
      <c r="AQ409" s="100"/>
      <c r="AR409" s="111"/>
      <c r="AS409" s="142"/>
      <c r="AT409" s="150"/>
    </row>
    <row r="410" spans="1:46" ht="16.3">
      <c r="A410" s="91" t="s">
        <v>363</v>
      </c>
      <c r="B410" s="209">
        <f>SUM(B408+B409)</f>
        <v>5</v>
      </c>
      <c r="C410" s="214">
        <f t="shared" si="57"/>
        <v>5</v>
      </c>
      <c r="D410" s="133"/>
      <c r="E410" s="134"/>
      <c r="F410" s="135"/>
      <c r="G410" s="136"/>
      <c r="H410" s="96"/>
      <c r="I410" s="96"/>
      <c r="J410" s="75"/>
      <c r="K410" s="75"/>
      <c r="L410" s="75"/>
      <c r="M410" s="75"/>
      <c r="N410" s="75"/>
      <c r="O410" s="96"/>
      <c r="P410" s="163"/>
      <c r="Q410" s="109"/>
      <c r="R410" s="111"/>
      <c r="S410" s="100"/>
      <c r="T410" s="110"/>
      <c r="U410" s="110"/>
      <c r="V410" s="100"/>
      <c r="W410" s="100"/>
      <c r="X410" s="100"/>
      <c r="Y410" s="110"/>
      <c r="Z410" s="110"/>
      <c r="AA410" s="100"/>
      <c r="AB410" s="109"/>
      <c r="AC410" s="108"/>
      <c r="AD410" s="109"/>
      <c r="AE410" s="109"/>
      <c r="AF410" s="109"/>
      <c r="AG410" s="109"/>
      <c r="AH410" s="100"/>
      <c r="AI410" s="100"/>
      <c r="AJ410" s="142"/>
      <c r="AK410" s="448"/>
      <c r="AL410" s="111"/>
      <c r="AM410" s="100"/>
      <c r="AN410" s="100"/>
      <c r="AO410" s="111"/>
      <c r="AP410" s="100"/>
      <c r="AQ410" s="100"/>
      <c r="AR410" s="111"/>
      <c r="AS410" s="142"/>
      <c r="AT410" s="150"/>
    </row>
    <row r="411" spans="1:46" ht="16.3">
      <c r="A411" s="91" t="s">
        <v>3</v>
      </c>
      <c r="B411" s="209">
        <f>SUM(J411+K411+L411+M411+N411+S411+V411+W411+X411+AA411+AI411+AJ411+AI411+AM411+AP411+AQ411+AS411+AT411+AU411+AV411)</f>
        <v>0</v>
      </c>
      <c r="C411" s="214">
        <f t="shared" si="57"/>
        <v>0</v>
      </c>
      <c r="D411" s="133"/>
      <c r="E411" s="134"/>
      <c r="F411" s="135"/>
      <c r="G411" s="136"/>
      <c r="H411" s="96"/>
      <c r="I411" s="96"/>
      <c r="J411" s="75"/>
      <c r="K411" s="75"/>
      <c r="L411" s="75"/>
      <c r="M411" s="75"/>
      <c r="N411" s="75"/>
      <c r="O411" s="96"/>
      <c r="P411" s="163"/>
      <c r="Q411" s="109"/>
      <c r="R411" s="111"/>
      <c r="S411" s="100"/>
      <c r="T411" s="110"/>
      <c r="U411" s="110"/>
      <c r="V411" s="100"/>
      <c r="W411" s="100"/>
      <c r="X411" s="100"/>
      <c r="Y411" s="110"/>
      <c r="Z411" s="110"/>
      <c r="AA411" s="100"/>
      <c r="AB411" s="109"/>
      <c r="AC411" s="108"/>
      <c r="AD411" s="109"/>
      <c r="AE411" s="109"/>
      <c r="AF411" s="109"/>
      <c r="AG411" s="109"/>
      <c r="AH411" s="100"/>
      <c r="AI411" s="100"/>
      <c r="AJ411" s="142"/>
      <c r="AK411" s="448"/>
      <c r="AL411" s="111"/>
      <c r="AM411" s="100"/>
      <c r="AN411" s="100"/>
      <c r="AO411" s="111"/>
      <c r="AP411" s="100"/>
      <c r="AQ411" s="100"/>
      <c r="AR411" s="111"/>
      <c r="AS411" s="142"/>
      <c r="AT411" s="150"/>
    </row>
    <row r="412" spans="1:46" ht="17" thickBot="1">
      <c r="A412" s="92" t="s">
        <v>4</v>
      </c>
      <c r="B412" s="212">
        <f>SUM(J412+K412+L412+M412+N412+S412+V412+W412+X412+AA412+AI412+AJ412+AI412+AM412+AP412+AQ412+AS412+AT412+AU412+AV412)</f>
        <v>0</v>
      </c>
      <c r="C412" s="217">
        <f t="shared" si="57"/>
        <v>0</v>
      </c>
      <c r="D412" s="144"/>
      <c r="E412" s="145"/>
      <c r="F412" s="146"/>
      <c r="G412" s="147"/>
      <c r="H412" s="114"/>
      <c r="I412" s="114"/>
      <c r="J412" s="112"/>
      <c r="K412" s="112"/>
      <c r="L412" s="112"/>
      <c r="M412" s="112"/>
      <c r="N412" s="112"/>
      <c r="O412" s="114"/>
      <c r="P412" s="164"/>
      <c r="Q412" s="118"/>
      <c r="R412" s="121"/>
      <c r="S412" s="116"/>
      <c r="T412" s="120"/>
      <c r="U412" s="120"/>
      <c r="V412" s="116"/>
      <c r="W412" s="116"/>
      <c r="X412" s="116"/>
      <c r="Y412" s="120"/>
      <c r="Z412" s="120"/>
      <c r="AA412" s="116"/>
      <c r="AB412" s="118"/>
      <c r="AC412" s="117"/>
      <c r="AD412" s="118"/>
      <c r="AE412" s="118"/>
      <c r="AF412" s="118"/>
      <c r="AG412" s="118"/>
      <c r="AH412" s="116"/>
      <c r="AI412" s="116"/>
      <c r="AJ412" s="149"/>
      <c r="AK412" s="449"/>
      <c r="AL412" s="121"/>
      <c r="AM412" s="116"/>
      <c r="AN412" s="116"/>
      <c r="AO412" s="121"/>
      <c r="AP412" s="116"/>
      <c r="AQ412" s="116"/>
      <c r="AR412" s="121"/>
      <c r="AS412" s="149"/>
      <c r="AT412" s="176"/>
    </row>
    <row r="413" spans="1:46" ht="21.1">
      <c r="A413" s="89" t="s">
        <v>422</v>
      </c>
      <c r="B413" s="209"/>
      <c r="C413" s="214"/>
      <c r="D413" s="133"/>
      <c r="E413" s="134"/>
      <c r="F413" s="135"/>
      <c r="G413" s="136"/>
      <c r="H413" s="96"/>
      <c r="I413" s="96" t="s">
        <v>623</v>
      </c>
      <c r="J413" s="75"/>
      <c r="K413" s="75"/>
      <c r="L413" s="75"/>
      <c r="M413" s="75"/>
      <c r="N413" s="75"/>
      <c r="O413" s="96">
        <v>6</v>
      </c>
      <c r="P413" s="163"/>
      <c r="Q413" s="109" t="s">
        <v>375</v>
      </c>
      <c r="R413" s="111"/>
      <c r="S413" s="100"/>
      <c r="T413" s="110"/>
      <c r="U413" s="110" t="s">
        <v>441</v>
      </c>
      <c r="V413" s="100"/>
      <c r="W413" s="100"/>
      <c r="X413" s="100"/>
      <c r="Y413" s="110"/>
      <c r="Z413" s="110"/>
      <c r="AA413" s="100"/>
      <c r="AB413" s="109"/>
      <c r="AC413" s="108"/>
      <c r="AD413" s="109" t="s">
        <v>1035</v>
      </c>
      <c r="AE413" s="109" t="s">
        <v>1035</v>
      </c>
      <c r="AF413" s="109"/>
      <c r="AG413" s="109"/>
      <c r="AH413" s="100"/>
      <c r="AI413" s="100"/>
      <c r="AJ413" s="142"/>
      <c r="AK413" s="448"/>
      <c r="AL413" s="111"/>
      <c r="AM413" s="100"/>
      <c r="AN413" s="100"/>
      <c r="AO413" s="111"/>
      <c r="AP413" s="100"/>
      <c r="AQ413" s="100"/>
      <c r="AR413" s="111"/>
      <c r="AS413" s="142"/>
      <c r="AT413" s="150"/>
    </row>
    <row r="414" spans="1:46" ht="16.3">
      <c r="A414" s="585" t="s">
        <v>1</v>
      </c>
      <c r="B414" s="210">
        <f>SUM(J414+K414+L414+M414+N414+S414+V414+W414+X414+AA414+AI414+AJ414+AI414+AM414+AP414+AQ414+AS414+AT414+AU414+AV414+AN414)</f>
        <v>0</v>
      </c>
      <c r="C414" s="215">
        <f>B414</f>
        <v>0</v>
      </c>
      <c r="D414" s="133"/>
      <c r="E414" s="134"/>
      <c r="F414" s="135"/>
      <c r="G414" s="136"/>
      <c r="H414" s="96"/>
      <c r="I414" s="96">
        <v>1</v>
      </c>
      <c r="J414" s="75"/>
      <c r="K414" s="75"/>
      <c r="L414" s="75"/>
      <c r="M414" s="75"/>
      <c r="N414" s="75"/>
      <c r="O414" s="96">
        <v>1</v>
      </c>
      <c r="P414" s="163"/>
      <c r="Q414" s="109"/>
      <c r="R414" s="111"/>
      <c r="S414" s="100"/>
      <c r="T414" s="110"/>
      <c r="U414" s="110"/>
      <c r="V414" s="100"/>
      <c r="W414" s="100"/>
      <c r="X414" s="100"/>
      <c r="Y414" s="110"/>
      <c r="Z414" s="110"/>
      <c r="AA414" s="100"/>
      <c r="AB414" s="109"/>
      <c r="AC414" s="108"/>
      <c r="AD414" s="109"/>
      <c r="AE414" s="109"/>
      <c r="AF414" s="109"/>
      <c r="AG414" s="109"/>
      <c r="AH414" s="100"/>
      <c r="AI414" s="100"/>
      <c r="AJ414" s="142"/>
      <c r="AK414" s="448"/>
      <c r="AL414" s="111"/>
      <c r="AM414" s="100"/>
      <c r="AN414" s="100"/>
      <c r="AO414" s="111"/>
      <c r="AP414" s="100"/>
      <c r="AQ414" s="100"/>
      <c r="AR414" s="111"/>
      <c r="AS414" s="142"/>
      <c r="AT414" s="150"/>
    </row>
    <row r="415" spans="1:46" ht="16.3">
      <c r="A415" s="585" t="s">
        <v>2</v>
      </c>
      <c r="B415" s="210">
        <f>SUM(J415+K415+L415+M415+N415+S415+V415+W415+X415+AA415+AI415+AJ415+AI415+AM415+AP415+AQ415+AS415+AT415+AU415+AV415)</f>
        <v>0</v>
      </c>
      <c r="C415" s="215">
        <f t="shared" ref="C415:C418" si="58">B415</f>
        <v>0</v>
      </c>
      <c r="D415" s="133"/>
      <c r="E415" s="134"/>
      <c r="F415" s="135"/>
      <c r="G415" s="136"/>
      <c r="H415" s="96"/>
      <c r="I415" s="96"/>
      <c r="J415" s="75"/>
      <c r="K415" s="75"/>
      <c r="L415" s="75"/>
      <c r="M415" s="75"/>
      <c r="N415" s="75"/>
      <c r="O415" s="96"/>
      <c r="P415" s="163"/>
      <c r="Q415" s="109">
        <v>1</v>
      </c>
      <c r="R415" s="111"/>
      <c r="S415" s="100"/>
      <c r="T415" s="110"/>
      <c r="U415" s="110">
        <v>1</v>
      </c>
      <c r="V415" s="100"/>
      <c r="W415" s="100"/>
      <c r="X415" s="100"/>
      <c r="Y415" s="110"/>
      <c r="Z415" s="110"/>
      <c r="AA415" s="100"/>
      <c r="AB415" s="109"/>
      <c r="AC415" s="108"/>
      <c r="AD415" s="109"/>
      <c r="AE415" s="109"/>
      <c r="AF415" s="109"/>
      <c r="AG415" s="109"/>
      <c r="AH415" s="100"/>
      <c r="AI415" s="100"/>
      <c r="AJ415" s="142"/>
      <c r="AK415" s="448"/>
      <c r="AL415" s="111"/>
      <c r="AM415" s="100"/>
      <c r="AN415" s="100"/>
      <c r="AO415" s="111"/>
      <c r="AP415" s="100"/>
      <c r="AQ415" s="100"/>
      <c r="AR415" s="111"/>
      <c r="AS415" s="142"/>
      <c r="AT415" s="150"/>
    </row>
    <row r="416" spans="1:46" ht="16.3">
      <c r="A416" s="91" t="s">
        <v>363</v>
      </c>
      <c r="B416" s="209">
        <f>SUM(B414+B415)</f>
        <v>0</v>
      </c>
      <c r="C416" s="214">
        <f t="shared" si="58"/>
        <v>0</v>
      </c>
      <c r="D416" s="133"/>
      <c r="E416" s="134"/>
      <c r="F416" s="135"/>
      <c r="G416" s="136"/>
      <c r="H416" s="96"/>
      <c r="I416" s="96"/>
      <c r="J416" s="75"/>
      <c r="K416" s="75"/>
      <c r="L416" s="75"/>
      <c r="M416" s="75"/>
      <c r="N416" s="75"/>
      <c r="O416" s="96"/>
      <c r="P416" s="163"/>
      <c r="Q416" s="109"/>
      <c r="R416" s="111"/>
      <c r="S416" s="100"/>
      <c r="T416" s="110"/>
      <c r="U416" s="110"/>
      <c r="V416" s="100"/>
      <c r="W416" s="100"/>
      <c r="X416" s="100"/>
      <c r="Y416" s="110"/>
      <c r="Z416" s="110"/>
      <c r="AA416" s="100"/>
      <c r="AB416" s="109"/>
      <c r="AC416" s="108"/>
      <c r="AD416" s="109"/>
      <c r="AE416" s="109"/>
      <c r="AF416" s="109"/>
      <c r="AG416" s="109"/>
      <c r="AH416" s="100"/>
      <c r="AI416" s="100"/>
      <c r="AJ416" s="142"/>
      <c r="AK416" s="448"/>
      <c r="AL416" s="111"/>
      <c r="AM416" s="100"/>
      <c r="AN416" s="100"/>
      <c r="AO416" s="111"/>
      <c r="AP416" s="100"/>
      <c r="AQ416" s="100"/>
      <c r="AR416" s="111"/>
      <c r="AS416" s="142"/>
      <c r="AT416" s="150"/>
    </row>
    <row r="417" spans="1:46" ht="16.3">
      <c r="A417" s="585" t="s">
        <v>362</v>
      </c>
      <c r="B417" s="210">
        <f>SUM(J417+K417+L417+M417+N417+S417+V417+W417+X417+AA417+AI417+AJ417+AI417+AM417+AP417+AQ417+AS417+AT417+AU417+AV417)</f>
        <v>0</v>
      </c>
      <c r="C417" s="215">
        <f t="shared" si="58"/>
        <v>0</v>
      </c>
      <c r="D417" s="133"/>
      <c r="E417" s="134"/>
      <c r="F417" s="135"/>
      <c r="G417" s="136"/>
      <c r="H417" s="96"/>
      <c r="I417" s="96">
        <v>1</v>
      </c>
      <c r="J417" s="75"/>
      <c r="K417" s="75"/>
      <c r="L417" s="75"/>
      <c r="M417" s="75"/>
      <c r="N417" s="75"/>
      <c r="O417" s="96"/>
      <c r="P417" s="163"/>
      <c r="Q417" s="109"/>
      <c r="R417" s="111"/>
      <c r="S417" s="100"/>
      <c r="T417" s="110"/>
      <c r="U417" s="110">
        <v>1</v>
      </c>
      <c r="V417" s="100"/>
      <c r="W417" s="100"/>
      <c r="X417" s="100"/>
      <c r="Y417" s="110"/>
      <c r="Z417" s="110"/>
      <c r="AA417" s="100"/>
      <c r="AB417" s="109"/>
      <c r="AC417" s="108"/>
      <c r="AD417" s="109"/>
      <c r="AE417" s="109"/>
      <c r="AF417" s="109"/>
      <c r="AG417" s="109"/>
      <c r="AH417" s="100"/>
      <c r="AI417" s="100"/>
      <c r="AJ417" s="142"/>
      <c r="AK417" s="448"/>
      <c r="AL417" s="111"/>
      <c r="AM417" s="100"/>
      <c r="AN417" s="100"/>
      <c r="AO417" s="111"/>
      <c r="AP417" s="100"/>
      <c r="AQ417" s="100"/>
      <c r="AR417" s="111"/>
      <c r="AS417" s="142"/>
      <c r="AT417" s="150"/>
    </row>
    <row r="418" spans="1:46" ht="16.3">
      <c r="A418" s="91" t="s">
        <v>3</v>
      </c>
      <c r="B418" s="209">
        <f>SUM(J418+K418+L418+M418+N418+S418+V418+W418+X418+AA418+AI418+AJ418+AI418+AM418+AP418+AQ418+AS418+AT418+AU418+AV418)</f>
        <v>0</v>
      </c>
      <c r="C418" s="214">
        <f t="shared" si="58"/>
        <v>0</v>
      </c>
      <c r="D418" s="133"/>
      <c r="E418" s="134"/>
      <c r="F418" s="135"/>
      <c r="G418" s="136"/>
      <c r="H418" s="96"/>
      <c r="I418" s="96"/>
      <c r="J418" s="75"/>
      <c r="K418" s="75"/>
      <c r="L418" s="75"/>
      <c r="M418" s="75"/>
      <c r="N418" s="75"/>
      <c r="O418" s="96">
        <v>2</v>
      </c>
      <c r="P418" s="163"/>
      <c r="Q418" s="109"/>
      <c r="R418" s="111"/>
      <c r="S418" s="100"/>
      <c r="T418" s="110"/>
      <c r="U418" s="110"/>
      <c r="V418" s="100"/>
      <c r="W418" s="100"/>
      <c r="X418" s="100"/>
      <c r="Y418" s="110"/>
      <c r="Z418" s="110"/>
      <c r="AA418" s="100"/>
      <c r="AB418" s="109"/>
      <c r="AC418" s="108"/>
      <c r="AD418" s="109"/>
      <c r="AE418" s="109"/>
      <c r="AF418" s="109"/>
      <c r="AG418" s="109"/>
      <c r="AH418" s="100"/>
      <c r="AI418" s="100"/>
      <c r="AJ418" s="142"/>
      <c r="AK418" s="448"/>
      <c r="AL418" s="111"/>
      <c r="AM418" s="100"/>
      <c r="AN418" s="100"/>
      <c r="AO418" s="111"/>
      <c r="AP418" s="100"/>
      <c r="AQ418" s="100"/>
      <c r="AR418" s="111"/>
      <c r="AS418" s="142"/>
      <c r="AT418" s="150"/>
    </row>
    <row r="419" spans="1:46" ht="17" thickBot="1">
      <c r="A419" s="92" t="s">
        <v>4</v>
      </c>
      <c r="B419" s="212">
        <f>SUM(J419+K419+L419+M419+N419+S419+V419+W419+X419+AA419+AI419+AJ419+AI419+AM419+AP419+AQ419+AS419+AT419+AU419+AV419)</f>
        <v>0</v>
      </c>
      <c r="C419" s="217">
        <f t="shared" ref="C419" si="59">B419</f>
        <v>0</v>
      </c>
      <c r="D419" s="144"/>
      <c r="E419" s="145"/>
      <c r="F419" s="146"/>
      <c r="G419" s="147"/>
      <c r="H419" s="114"/>
      <c r="I419" s="114"/>
      <c r="J419" s="112"/>
      <c r="K419" s="112"/>
      <c r="L419" s="112"/>
      <c r="M419" s="112"/>
      <c r="N419" s="112"/>
      <c r="O419" s="114">
        <v>10</v>
      </c>
      <c r="P419" s="164"/>
      <c r="Q419" s="118"/>
      <c r="R419" s="130"/>
      <c r="S419" s="100"/>
      <c r="T419" s="110"/>
      <c r="U419" s="110"/>
      <c r="V419" s="100"/>
      <c r="W419" s="100"/>
      <c r="X419" s="100"/>
      <c r="Y419" s="110"/>
      <c r="Z419" s="110"/>
      <c r="AA419" s="100"/>
      <c r="AB419" s="109"/>
      <c r="AC419" s="108"/>
      <c r="AD419" s="109"/>
      <c r="AE419" s="109"/>
      <c r="AF419" s="109"/>
      <c r="AG419" s="109"/>
      <c r="AH419" s="100"/>
      <c r="AI419" s="100"/>
      <c r="AJ419" s="142"/>
      <c r="AK419" s="448"/>
      <c r="AL419" s="111"/>
      <c r="AM419" s="100"/>
      <c r="AN419" s="100"/>
      <c r="AO419" s="111"/>
      <c r="AP419" s="100"/>
      <c r="AQ419" s="100"/>
      <c r="AR419" s="111"/>
      <c r="AS419" s="142"/>
      <c r="AT419" s="150"/>
    </row>
    <row r="420" spans="1:46" ht="21.1">
      <c r="A420" s="89" t="s">
        <v>68</v>
      </c>
      <c r="B420" s="209"/>
      <c r="C420" s="214"/>
      <c r="D420" s="133"/>
      <c r="E420" s="134"/>
      <c r="F420" s="135"/>
      <c r="G420" s="136"/>
      <c r="H420" s="96"/>
      <c r="I420" s="96" t="s">
        <v>492</v>
      </c>
      <c r="J420" s="75"/>
      <c r="K420" s="75" t="s">
        <v>375</v>
      </c>
      <c r="L420" s="75" t="s">
        <v>375</v>
      </c>
      <c r="M420" s="75" t="s">
        <v>375</v>
      </c>
      <c r="N420" s="75"/>
      <c r="O420" s="96" t="s">
        <v>734</v>
      </c>
      <c r="P420" s="163"/>
      <c r="Q420" s="96" t="s">
        <v>734</v>
      </c>
      <c r="R420" s="111"/>
      <c r="S420" s="102"/>
      <c r="T420" s="101"/>
      <c r="U420" s="101">
        <v>7</v>
      </c>
      <c r="V420" s="102" t="s">
        <v>375</v>
      </c>
      <c r="W420" s="102" t="s">
        <v>434</v>
      </c>
      <c r="X420" s="102" t="s">
        <v>339</v>
      </c>
      <c r="Y420" s="101" t="s">
        <v>339</v>
      </c>
      <c r="Z420" s="101" t="s">
        <v>339</v>
      </c>
      <c r="AA420" s="102" t="s">
        <v>339</v>
      </c>
      <c r="AB420" s="99" t="s">
        <v>1003</v>
      </c>
      <c r="AC420" s="98"/>
      <c r="AD420" s="99"/>
      <c r="AE420" s="99"/>
      <c r="AF420" s="99"/>
      <c r="AG420" s="99"/>
      <c r="AH420" s="102"/>
      <c r="AI420" s="102"/>
      <c r="AJ420" s="138"/>
      <c r="AK420" s="446"/>
      <c r="AL420" s="103"/>
      <c r="AM420" s="102"/>
      <c r="AN420" s="102"/>
      <c r="AO420" s="103"/>
      <c r="AP420" s="102"/>
      <c r="AQ420" s="102"/>
      <c r="AR420" s="103"/>
      <c r="AS420" s="138"/>
      <c r="AT420" s="478"/>
    </row>
    <row r="421" spans="1:46" ht="16.3">
      <c r="A421" s="585" t="s">
        <v>1</v>
      </c>
      <c r="B421" s="210">
        <f>SUM(J421+K421+L421+M421+N421+S421+V421+W421+X421+AA421+AI421+AJ421+AI421+AM421+AP421+AQ421+AS421+AT421+AU421+AV421+AN421)+5</f>
        <v>5</v>
      </c>
      <c r="C421" s="215">
        <f>B421</f>
        <v>5</v>
      </c>
      <c r="D421" s="133"/>
      <c r="E421" s="134"/>
      <c r="F421" s="135"/>
      <c r="G421" s="136"/>
      <c r="H421" s="96"/>
      <c r="I421" s="96">
        <v>1</v>
      </c>
      <c r="J421" s="75"/>
      <c r="K421" s="75"/>
      <c r="L421" s="75"/>
      <c r="M421" s="75"/>
      <c r="N421" s="75"/>
      <c r="O421" s="96">
        <v>1</v>
      </c>
      <c r="P421" s="163"/>
      <c r="Q421" s="96">
        <v>1</v>
      </c>
      <c r="R421" s="111"/>
      <c r="S421" s="100"/>
      <c r="T421" s="110"/>
      <c r="U421" s="110">
        <v>1</v>
      </c>
      <c r="V421" s="100"/>
      <c r="W421" s="100"/>
      <c r="X421" s="100"/>
      <c r="Y421" s="110"/>
      <c r="Z421" s="110"/>
      <c r="AA421" s="100"/>
      <c r="AB421" s="109">
        <v>1</v>
      </c>
      <c r="AC421" s="108"/>
      <c r="AD421" s="109"/>
      <c r="AE421" s="109"/>
      <c r="AF421" s="109"/>
      <c r="AG421" s="109"/>
      <c r="AH421" s="100"/>
      <c r="AI421" s="100"/>
      <c r="AJ421" s="142"/>
      <c r="AK421" s="448"/>
      <c r="AL421" s="111"/>
      <c r="AM421" s="100"/>
      <c r="AN421" s="100"/>
      <c r="AO421" s="111"/>
      <c r="AP421" s="100"/>
      <c r="AQ421" s="100"/>
      <c r="AR421" s="111"/>
      <c r="AS421" s="142"/>
      <c r="AT421" s="150"/>
    </row>
    <row r="422" spans="1:46" ht="16.3">
      <c r="A422" s="585" t="s">
        <v>2</v>
      </c>
      <c r="B422" s="210">
        <f>SUM(J422+K422+L422+M422+N422+S422+V422+W422+X422+AA422+AI422+AJ422+AI422+AM422+AP422+AQ422+AS422+AT422+AU422+AV422)+5</f>
        <v>10</v>
      </c>
      <c r="C422" s="215">
        <f t="shared" ref="C422:C426" si="60">B422</f>
        <v>10</v>
      </c>
      <c r="D422" s="133"/>
      <c r="E422" s="134"/>
      <c r="F422" s="135"/>
      <c r="G422" s="136"/>
      <c r="H422" s="96"/>
      <c r="I422" s="96"/>
      <c r="J422" s="75"/>
      <c r="K422" s="75">
        <v>1</v>
      </c>
      <c r="L422" s="75">
        <v>1</v>
      </c>
      <c r="M422" s="75">
        <v>1</v>
      </c>
      <c r="N422" s="75"/>
      <c r="O422" s="96"/>
      <c r="P422" s="163"/>
      <c r="Q422" s="109"/>
      <c r="R422" s="111"/>
      <c r="S422" s="100"/>
      <c r="T422" s="110"/>
      <c r="U422" s="110"/>
      <c r="V422" s="100">
        <v>1</v>
      </c>
      <c r="W422" s="100">
        <v>1</v>
      </c>
      <c r="X422" s="100"/>
      <c r="Y422" s="110"/>
      <c r="Z422" s="110"/>
      <c r="AA422" s="100"/>
      <c r="AB422" s="109"/>
      <c r="AC422" s="108"/>
      <c r="AD422" s="109"/>
      <c r="AE422" s="109"/>
      <c r="AF422" s="109"/>
      <c r="AG422" s="109"/>
      <c r="AH422" s="100"/>
      <c r="AI422" s="100"/>
      <c r="AJ422" s="142"/>
      <c r="AK422" s="448"/>
      <c r="AL422" s="111"/>
      <c r="AM422" s="100"/>
      <c r="AN422" s="100"/>
      <c r="AO422" s="111"/>
      <c r="AP422" s="100"/>
      <c r="AQ422" s="100"/>
      <c r="AR422" s="111"/>
      <c r="AS422" s="142"/>
      <c r="AT422" s="150"/>
    </row>
    <row r="423" spans="1:46" ht="16.3">
      <c r="A423" s="91" t="s">
        <v>363</v>
      </c>
      <c r="B423" s="209">
        <f>SUM(B421+B422)</f>
        <v>15</v>
      </c>
      <c r="C423" s="214">
        <f t="shared" si="60"/>
        <v>15</v>
      </c>
      <c r="D423" s="133"/>
      <c r="E423" s="134"/>
      <c r="F423" s="135"/>
      <c r="G423" s="136"/>
      <c r="H423" s="96"/>
      <c r="I423" s="96"/>
      <c r="J423" s="75"/>
      <c r="K423" s="75"/>
      <c r="L423" s="75"/>
      <c r="M423" s="75"/>
      <c r="N423" s="75"/>
      <c r="O423" s="96"/>
      <c r="P423" s="163"/>
      <c r="Q423" s="109"/>
      <c r="R423" s="111"/>
      <c r="S423" s="100"/>
      <c r="T423" s="110"/>
      <c r="U423" s="110"/>
      <c r="V423" s="100"/>
      <c r="W423" s="100"/>
      <c r="X423" s="100"/>
      <c r="Y423" s="110"/>
      <c r="Z423" s="110"/>
      <c r="AA423" s="100"/>
      <c r="AB423" s="109"/>
      <c r="AC423" s="108"/>
      <c r="AD423" s="109"/>
      <c r="AE423" s="109"/>
      <c r="AF423" s="109"/>
      <c r="AG423" s="109"/>
      <c r="AH423" s="100"/>
      <c r="AI423" s="100"/>
      <c r="AJ423" s="142"/>
      <c r="AK423" s="448"/>
      <c r="AL423" s="111"/>
      <c r="AM423" s="100"/>
      <c r="AN423" s="100"/>
      <c r="AO423" s="111"/>
      <c r="AP423" s="100"/>
      <c r="AQ423" s="100"/>
      <c r="AR423" s="111"/>
      <c r="AS423" s="142"/>
      <c r="AT423" s="150"/>
    </row>
    <row r="424" spans="1:46" ht="16.3">
      <c r="A424" s="585" t="s">
        <v>366</v>
      </c>
      <c r="B424" s="210">
        <f>SUM(J424+K424+L424+M424+N424+S424+V424+W424+X424+AA424+AI424+AJ424+AI424+AM424+AP424+AQ424+AS424+AT424+AU424+AV424)</f>
        <v>0</v>
      </c>
      <c r="C424" s="215">
        <f t="shared" si="60"/>
        <v>0</v>
      </c>
      <c r="D424" s="133"/>
      <c r="E424" s="134"/>
      <c r="F424" s="135"/>
      <c r="G424" s="136"/>
      <c r="H424" s="96"/>
      <c r="I424" s="96">
        <v>1</v>
      </c>
      <c r="J424" s="75"/>
      <c r="K424" s="75"/>
      <c r="L424" s="75"/>
      <c r="M424" s="75"/>
      <c r="N424" s="75"/>
      <c r="O424" s="96"/>
      <c r="P424" s="163"/>
      <c r="Q424" s="109"/>
      <c r="R424" s="111"/>
      <c r="S424" s="100"/>
      <c r="T424" s="110"/>
      <c r="U424" s="110"/>
      <c r="V424" s="100"/>
      <c r="W424" s="100"/>
      <c r="X424" s="100"/>
      <c r="Y424" s="110"/>
      <c r="Z424" s="110"/>
      <c r="AA424" s="100"/>
      <c r="AB424" s="109">
        <v>1</v>
      </c>
      <c r="AC424" s="108"/>
      <c r="AD424" s="109"/>
      <c r="AE424" s="109"/>
      <c r="AF424" s="109"/>
      <c r="AG424" s="109"/>
      <c r="AH424" s="100"/>
      <c r="AI424" s="100"/>
      <c r="AJ424" s="142"/>
      <c r="AK424" s="448"/>
      <c r="AL424" s="111"/>
      <c r="AM424" s="100"/>
      <c r="AN424" s="100"/>
      <c r="AO424" s="111"/>
      <c r="AP424" s="100"/>
      <c r="AQ424" s="100"/>
      <c r="AR424" s="111"/>
      <c r="AS424" s="142"/>
      <c r="AT424" s="150"/>
    </row>
    <row r="425" spans="1:46" ht="16.3">
      <c r="A425" s="91" t="s">
        <v>3</v>
      </c>
      <c r="B425" s="209">
        <f>SUM(J425+K425+L425+M425+N425+S425+V425+W425+X425+AA425+AI425+AJ425+AI425+AM425+AP425+AQ425+AS425+AT425+AU425+AV425)</f>
        <v>0</v>
      </c>
      <c r="C425" s="214">
        <f t="shared" si="60"/>
        <v>0</v>
      </c>
      <c r="D425" s="133"/>
      <c r="E425" s="134"/>
      <c r="F425" s="135"/>
      <c r="G425" s="136"/>
      <c r="H425" s="96"/>
      <c r="I425" s="96"/>
      <c r="J425" s="75"/>
      <c r="K425" s="75"/>
      <c r="L425" s="75"/>
      <c r="M425" s="75"/>
      <c r="N425" s="75"/>
      <c r="O425" s="96"/>
      <c r="P425" s="163"/>
      <c r="Q425" s="109"/>
      <c r="R425" s="111"/>
      <c r="S425" s="100"/>
      <c r="T425" s="110"/>
      <c r="U425" s="110"/>
      <c r="V425" s="100"/>
      <c r="W425" s="100"/>
      <c r="X425" s="100"/>
      <c r="Y425" s="110"/>
      <c r="Z425" s="110"/>
      <c r="AA425" s="100"/>
      <c r="AB425" s="109"/>
      <c r="AC425" s="108"/>
      <c r="AD425" s="109"/>
      <c r="AE425" s="109"/>
      <c r="AF425" s="109"/>
      <c r="AG425" s="109"/>
      <c r="AH425" s="100"/>
      <c r="AI425" s="100"/>
      <c r="AJ425" s="142"/>
      <c r="AK425" s="448"/>
      <c r="AL425" s="111"/>
      <c r="AM425" s="100"/>
      <c r="AN425" s="100"/>
      <c r="AO425" s="111"/>
      <c r="AP425" s="100"/>
      <c r="AQ425" s="100"/>
      <c r="AR425" s="111"/>
      <c r="AS425" s="142"/>
      <c r="AT425" s="150"/>
    </row>
    <row r="426" spans="1:46" ht="17" thickBot="1">
      <c r="A426" s="92" t="s">
        <v>4</v>
      </c>
      <c r="B426" s="212">
        <f>SUM(J426+K426+L426+M426+N426+S426+V426+W426+X426+AA426+AI426+AJ426+AI426+AM426+AP426+AQ426+AS426+AT426+AU426+AV426)</f>
        <v>0</v>
      </c>
      <c r="C426" s="217">
        <f t="shared" si="60"/>
        <v>0</v>
      </c>
      <c r="D426" s="144"/>
      <c r="E426" s="145"/>
      <c r="F426" s="146"/>
      <c r="G426" s="147"/>
      <c r="H426" s="114"/>
      <c r="I426" s="114"/>
      <c r="J426" s="112"/>
      <c r="K426" s="112"/>
      <c r="L426" s="112"/>
      <c r="M426" s="112"/>
      <c r="N426" s="112"/>
      <c r="O426" s="114"/>
      <c r="P426" s="164"/>
      <c r="Q426" s="118"/>
      <c r="R426" s="130"/>
      <c r="S426" s="116"/>
      <c r="T426" s="120"/>
      <c r="U426" s="120"/>
      <c r="V426" s="116"/>
      <c r="W426" s="116"/>
      <c r="X426" s="116"/>
      <c r="Y426" s="120"/>
      <c r="Z426" s="120"/>
      <c r="AA426" s="116"/>
      <c r="AB426" s="118"/>
      <c r="AC426" s="117"/>
      <c r="AD426" s="118"/>
      <c r="AE426" s="118"/>
      <c r="AF426" s="118"/>
      <c r="AG426" s="118"/>
      <c r="AH426" s="116"/>
      <c r="AI426" s="116"/>
      <c r="AJ426" s="149"/>
      <c r="AK426" s="449"/>
      <c r="AL426" s="121"/>
      <c r="AM426" s="116"/>
      <c r="AN426" s="116"/>
      <c r="AO426" s="121"/>
      <c r="AP426" s="116"/>
      <c r="AQ426" s="116"/>
      <c r="AR426" s="121"/>
      <c r="AS426" s="149"/>
      <c r="AT426" s="176"/>
    </row>
    <row r="427" spans="1:46" ht="21.1">
      <c r="A427" s="89" t="s">
        <v>154</v>
      </c>
      <c r="B427" s="209"/>
      <c r="C427" s="214"/>
      <c r="D427" s="133"/>
      <c r="E427" s="134"/>
      <c r="F427" s="135"/>
      <c r="G427" s="136"/>
      <c r="H427" s="96">
        <v>8</v>
      </c>
      <c r="I427" s="96"/>
      <c r="J427" s="75" t="s">
        <v>686</v>
      </c>
      <c r="K427" s="75" t="s">
        <v>339</v>
      </c>
      <c r="L427" s="75" t="s">
        <v>339</v>
      </c>
      <c r="M427" s="75" t="s">
        <v>339</v>
      </c>
      <c r="N427" s="75" t="s">
        <v>339</v>
      </c>
      <c r="O427" s="96" t="s">
        <v>339</v>
      </c>
      <c r="P427" s="163"/>
      <c r="Q427" s="109" t="s">
        <v>339</v>
      </c>
      <c r="R427" s="111"/>
      <c r="S427" s="100" t="s">
        <v>339</v>
      </c>
      <c r="T427" s="110" t="s">
        <v>339</v>
      </c>
      <c r="U427" s="110" t="s">
        <v>374</v>
      </c>
      <c r="V427" s="100">
        <v>8</v>
      </c>
      <c r="W427" s="100">
        <v>8</v>
      </c>
      <c r="X427" s="100">
        <v>8</v>
      </c>
      <c r="Y427" s="110">
        <v>8</v>
      </c>
      <c r="Z427" s="110" t="s">
        <v>961</v>
      </c>
      <c r="AA427" s="100" t="s">
        <v>717</v>
      </c>
      <c r="AB427" s="109">
        <v>8</v>
      </c>
      <c r="AC427" s="108"/>
      <c r="AD427" s="109" t="s">
        <v>374</v>
      </c>
      <c r="AE427" s="109"/>
      <c r="AF427" s="109"/>
      <c r="AG427" s="109"/>
      <c r="AH427" s="100"/>
      <c r="AI427" s="100"/>
      <c r="AJ427" s="142"/>
      <c r="AK427" s="448"/>
      <c r="AL427" s="111"/>
      <c r="AM427" s="100"/>
      <c r="AN427" s="100"/>
      <c r="AO427" s="111"/>
      <c r="AP427" s="100"/>
      <c r="AQ427" s="100"/>
      <c r="AR427" s="111"/>
      <c r="AS427" s="142"/>
      <c r="AT427" s="150"/>
    </row>
    <row r="428" spans="1:46" ht="16.3">
      <c r="A428" s="611" t="s">
        <v>1</v>
      </c>
      <c r="B428" s="210">
        <f>SUM(J428+K428+L428+M428+N428+S428+V428+W428+X428+AA428+AI428+AJ428+AI428+AM428+AP428+AQ428+AS428+AT428+AU428+AV428+AN428)+40</f>
        <v>44</v>
      </c>
      <c r="C428" s="215">
        <f>B428</f>
        <v>44</v>
      </c>
      <c r="D428" s="133"/>
      <c r="E428" s="134"/>
      <c r="F428" s="135"/>
      <c r="G428" s="136"/>
      <c r="H428" s="96">
        <v>1</v>
      </c>
      <c r="I428" s="96"/>
      <c r="J428" s="75">
        <v>1</v>
      </c>
      <c r="K428" s="75"/>
      <c r="L428" s="75"/>
      <c r="M428" s="75"/>
      <c r="N428" s="75"/>
      <c r="O428" s="96"/>
      <c r="P428" s="163"/>
      <c r="Q428" s="109"/>
      <c r="R428" s="111"/>
      <c r="S428" s="100"/>
      <c r="T428" s="110"/>
      <c r="U428" s="110">
        <v>1</v>
      </c>
      <c r="V428" s="100">
        <v>1</v>
      </c>
      <c r="W428" s="100">
        <v>1</v>
      </c>
      <c r="X428" s="100">
        <v>1</v>
      </c>
      <c r="Y428" s="110">
        <v>1</v>
      </c>
      <c r="Z428" s="110">
        <v>1</v>
      </c>
      <c r="AA428" s="100"/>
      <c r="AB428" s="109">
        <v>1</v>
      </c>
      <c r="AC428" s="108"/>
      <c r="AD428" s="109">
        <v>1</v>
      </c>
      <c r="AE428" s="109"/>
      <c r="AF428" s="109"/>
      <c r="AG428" s="109"/>
      <c r="AH428" s="100"/>
      <c r="AI428" s="100"/>
      <c r="AJ428" s="142"/>
      <c r="AK428" s="448"/>
      <c r="AL428" s="111"/>
      <c r="AM428" s="100"/>
      <c r="AN428" s="100"/>
      <c r="AO428" s="111"/>
      <c r="AP428" s="100"/>
      <c r="AQ428" s="100"/>
      <c r="AR428" s="111"/>
      <c r="AS428" s="142"/>
      <c r="AT428" s="150"/>
    </row>
    <row r="429" spans="1:46" ht="16.3">
      <c r="A429" s="611" t="s">
        <v>2</v>
      </c>
      <c r="B429" s="210">
        <f>SUM(J429+K429+L429+M429+N429+S429+V429+W429+X429+AA429+AI429+AJ429+AI429+AM429+AP429+AQ429+AS429+AT429+AU429+AV429)+37</f>
        <v>37</v>
      </c>
      <c r="C429" s="215">
        <f t="shared" ref="C429:C433" si="61">B429</f>
        <v>37</v>
      </c>
      <c r="D429" s="133"/>
      <c r="E429" s="134"/>
      <c r="F429" s="135"/>
      <c r="G429" s="136"/>
      <c r="H429" s="96"/>
      <c r="I429" s="96"/>
      <c r="J429" s="75"/>
      <c r="K429" s="75"/>
      <c r="L429" s="75"/>
      <c r="M429" s="75"/>
      <c r="N429" s="75"/>
      <c r="O429" s="96"/>
      <c r="P429" s="163"/>
      <c r="Q429" s="109"/>
      <c r="R429" s="111"/>
      <c r="S429" s="100"/>
      <c r="T429" s="110"/>
      <c r="U429" s="110"/>
      <c r="V429" s="100"/>
      <c r="W429" s="100"/>
      <c r="X429" s="100"/>
      <c r="Y429" s="110"/>
      <c r="Z429" s="110"/>
      <c r="AA429" s="100"/>
      <c r="AB429" s="109"/>
      <c r="AC429" s="108"/>
      <c r="AD429" s="109"/>
      <c r="AE429" s="109"/>
      <c r="AF429" s="109"/>
      <c r="AG429" s="109"/>
      <c r="AH429" s="100"/>
      <c r="AI429" s="100"/>
      <c r="AJ429" s="142"/>
      <c r="AK429" s="448"/>
      <c r="AL429" s="111"/>
      <c r="AM429" s="100"/>
      <c r="AN429" s="100"/>
      <c r="AO429" s="111"/>
      <c r="AP429" s="100"/>
      <c r="AQ429" s="100"/>
      <c r="AR429" s="111"/>
      <c r="AS429" s="142"/>
      <c r="AT429" s="150"/>
    </row>
    <row r="430" spans="1:46" ht="16.3">
      <c r="A430" s="84" t="s">
        <v>363</v>
      </c>
      <c r="B430" s="209">
        <f>SUM(B428+B429)</f>
        <v>81</v>
      </c>
      <c r="C430" s="214">
        <f t="shared" si="61"/>
        <v>81</v>
      </c>
      <c r="D430" s="133"/>
      <c r="E430" s="134"/>
      <c r="F430" s="135"/>
      <c r="G430" s="136"/>
      <c r="H430" s="96"/>
      <c r="I430" s="96"/>
      <c r="J430" s="75"/>
      <c r="K430" s="75"/>
      <c r="L430" s="75"/>
      <c r="M430" s="75"/>
      <c r="N430" s="75"/>
      <c r="O430" s="96"/>
      <c r="P430" s="163"/>
      <c r="Q430" s="109"/>
      <c r="R430" s="111"/>
      <c r="S430" s="100"/>
      <c r="T430" s="110"/>
      <c r="U430" s="110"/>
      <c r="V430" s="100"/>
      <c r="W430" s="100"/>
      <c r="X430" s="100"/>
      <c r="Y430" s="110"/>
      <c r="Z430" s="110"/>
      <c r="AA430" s="100"/>
      <c r="AB430" s="109"/>
      <c r="AC430" s="108"/>
      <c r="AD430" s="109"/>
      <c r="AE430" s="109"/>
      <c r="AF430" s="109"/>
      <c r="AG430" s="109"/>
      <c r="AH430" s="100"/>
      <c r="AI430" s="100"/>
      <c r="AJ430" s="142"/>
      <c r="AK430" s="448"/>
      <c r="AL430" s="111"/>
      <c r="AM430" s="100"/>
      <c r="AN430" s="100"/>
      <c r="AO430" s="111"/>
      <c r="AP430" s="100"/>
      <c r="AQ430" s="100"/>
      <c r="AR430" s="111"/>
      <c r="AS430" s="142"/>
      <c r="AT430" s="150"/>
    </row>
    <row r="431" spans="1:46" ht="16.3">
      <c r="A431" s="611" t="s">
        <v>362</v>
      </c>
      <c r="B431" s="210">
        <f>SUM(J431+K431+L431+M431+N431+S431+V431+W431+X431+AA431+AI431+AJ431+AI431+AM431+AP431+AQ431+AS431+AT431+AU431+AV431)+4</f>
        <v>5</v>
      </c>
      <c r="C431" s="215">
        <f t="shared" si="61"/>
        <v>5</v>
      </c>
      <c r="D431" s="133"/>
      <c r="E431" s="134"/>
      <c r="F431" s="135"/>
      <c r="G431" s="136"/>
      <c r="H431" s="96"/>
      <c r="I431" s="96"/>
      <c r="J431" s="75">
        <v>1</v>
      </c>
      <c r="K431" s="75"/>
      <c r="L431" s="75"/>
      <c r="M431" s="75"/>
      <c r="N431" s="75"/>
      <c r="O431" s="96"/>
      <c r="P431" s="163"/>
      <c r="Q431" s="109"/>
      <c r="R431" s="111"/>
      <c r="S431" s="100"/>
      <c r="T431" s="110"/>
      <c r="U431" s="110"/>
      <c r="V431" s="100"/>
      <c r="W431" s="100"/>
      <c r="X431" s="100"/>
      <c r="Y431" s="110"/>
      <c r="Z431" s="110"/>
      <c r="AA431" s="100"/>
      <c r="AB431" s="109"/>
      <c r="AC431" s="108"/>
      <c r="AD431" s="109"/>
      <c r="AE431" s="109"/>
      <c r="AF431" s="109"/>
      <c r="AG431" s="109"/>
      <c r="AH431" s="100"/>
      <c r="AI431" s="100"/>
      <c r="AJ431" s="142"/>
      <c r="AK431" s="448"/>
      <c r="AL431" s="111"/>
      <c r="AM431" s="100"/>
      <c r="AN431" s="100"/>
      <c r="AO431" s="111"/>
      <c r="AP431" s="100"/>
      <c r="AQ431" s="100"/>
      <c r="AR431" s="111"/>
      <c r="AS431" s="142"/>
      <c r="AT431" s="150"/>
    </row>
    <row r="432" spans="1:46" ht="16.3">
      <c r="A432" s="91" t="s">
        <v>3</v>
      </c>
      <c r="B432" s="209">
        <f>SUM(J432+K432+L432+M432+N432+S432+V432+W432+X432+AA432+AI432+AJ432+AI432+AM432+AP432+AQ432+AS432+AT432+AU432+AV432)+12</f>
        <v>14</v>
      </c>
      <c r="C432" s="214">
        <f t="shared" si="61"/>
        <v>14</v>
      </c>
      <c r="D432" s="133"/>
      <c r="E432" s="134"/>
      <c r="F432" s="135"/>
      <c r="G432" s="136"/>
      <c r="H432" s="96"/>
      <c r="I432" s="96"/>
      <c r="J432" s="75">
        <v>1</v>
      </c>
      <c r="K432" s="75"/>
      <c r="L432" s="75"/>
      <c r="M432" s="75"/>
      <c r="N432" s="75"/>
      <c r="O432" s="96"/>
      <c r="P432" s="163"/>
      <c r="Q432" s="109"/>
      <c r="R432" s="111"/>
      <c r="S432" s="100"/>
      <c r="T432" s="110"/>
      <c r="U432" s="110"/>
      <c r="V432" s="100">
        <v>1</v>
      </c>
      <c r="W432" s="100"/>
      <c r="X432" s="100"/>
      <c r="Y432" s="110"/>
      <c r="Z432" s="110">
        <v>1</v>
      </c>
      <c r="AA432" s="100"/>
      <c r="AB432" s="109"/>
      <c r="AC432" s="108"/>
      <c r="AD432" s="109"/>
      <c r="AE432" s="109"/>
      <c r="AF432" s="109"/>
      <c r="AG432" s="109"/>
      <c r="AH432" s="100"/>
      <c r="AI432" s="100"/>
      <c r="AJ432" s="142"/>
      <c r="AK432" s="448"/>
      <c r="AL432" s="111"/>
      <c r="AM432" s="100"/>
      <c r="AN432" s="100"/>
      <c r="AO432" s="111"/>
      <c r="AP432" s="100"/>
      <c r="AQ432" s="100"/>
      <c r="AR432" s="111"/>
      <c r="AS432" s="142"/>
      <c r="AT432" s="150"/>
    </row>
    <row r="433" spans="1:46" ht="17" thickBot="1">
      <c r="A433" s="92" t="s">
        <v>4</v>
      </c>
      <c r="B433" s="209">
        <f>SUM(J433+K433+L433+M433+N433+S433+V433+W433+X433+AA433+AI433+AJ433+AI433+AM433+AP433+AQ433+AS433+AT433+AU433+AV433)+60</f>
        <v>70</v>
      </c>
      <c r="C433" s="214">
        <f t="shared" si="61"/>
        <v>70</v>
      </c>
      <c r="D433" s="133"/>
      <c r="E433" s="134"/>
      <c r="F433" s="135"/>
      <c r="G433" s="136"/>
      <c r="H433" s="114"/>
      <c r="I433" s="114"/>
      <c r="J433" s="112">
        <v>5</v>
      </c>
      <c r="K433" s="112"/>
      <c r="L433" s="112"/>
      <c r="M433" s="112"/>
      <c r="N433" s="112"/>
      <c r="O433" s="114"/>
      <c r="P433" s="164"/>
      <c r="Q433" s="118"/>
      <c r="R433" s="130"/>
      <c r="S433" s="100"/>
      <c r="T433" s="110"/>
      <c r="U433" s="110"/>
      <c r="V433" s="100">
        <v>5</v>
      </c>
      <c r="W433" s="100"/>
      <c r="X433" s="100"/>
      <c r="Y433" s="110"/>
      <c r="Z433" s="110">
        <v>5</v>
      </c>
      <c r="AA433" s="100"/>
      <c r="AB433" s="109"/>
      <c r="AC433" s="108"/>
      <c r="AD433" s="109"/>
      <c r="AE433" s="109"/>
      <c r="AF433" s="109"/>
      <c r="AG433" s="109"/>
      <c r="AH433" s="100"/>
      <c r="AI433" s="100"/>
      <c r="AJ433" s="142"/>
      <c r="AK433" s="448"/>
      <c r="AL433" s="111"/>
      <c r="AM433" s="100"/>
      <c r="AN433" s="100"/>
      <c r="AO433" s="111"/>
      <c r="AP433" s="100"/>
      <c r="AQ433" s="100"/>
      <c r="AR433" s="111"/>
      <c r="AS433" s="142"/>
      <c r="AT433" s="150"/>
    </row>
    <row r="434" spans="1:46" ht="21.1">
      <c r="A434" s="89" t="s">
        <v>586</v>
      </c>
      <c r="B434" s="213"/>
      <c r="C434" s="218"/>
      <c r="D434" s="153"/>
      <c r="E434" s="154"/>
      <c r="F434" s="155"/>
      <c r="G434" s="156"/>
      <c r="H434" s="96" t="s">
        <v>432</v>
      </c>
      <c r="I434" s="96"/>
      <c r="J434" s="75"/>
      <c r="K434" s="75" t="s">
        <v>382</v>
      </c>
      <c r="L434" s="75" t="s">
        <v>374</v>
      </c>
      <c r="M434" s="75">
        <v>6</v>
      </c>
      <c r="N434" s="75">
        <v>6</v>
      </c>
      <c r="O434" s="96"/>
      <c r="P434" s="163"/>
      <c r="Q434" s="109"/>
      <c r="R434" s="111"/>
      <c r="S434" s="102" t="s">
        <v>393</v>
      </c>
      <c r="T434" s="101" t="s">
        <v>375</v>
      </c>
      <c r="U434" s="101" t="s">
        <v>382</v>
      </c>
      <c r="V434" s="102" t="s">
        <v>382</v>
      </c>
      <c r="W434" s="102"/>
      <c r="X434" s="102"/>
      <c r="Y434" s="101"/>
      <c r="Z434" s="101"/>
      <c r="AA434" s="102"/>
      <c r="AB434" s="99" t="s">
        <v>375</v>
      </c>
      <c r="AC434" s="98"/>
      <c r="AD434" s="99" t="s">
        <v>375</v>
      </c>
      <c r="AE434" s="99" t="s">
        <v>375</v>
      </c>
      <c r="AF434" s="99" t="s">
        <v>375</v>
      </c>
      <c r="AG434" s="99"/>
      <c r="AH434" s="102"/>
      <c r="AI434" s="102"/>
      <c r="AJ434" s="138"/>
      <c r="AK434" s="446"/>
      <c r="AL434" s="103"/>
      <c r="AM434" s="102"/>
      <c r="AN434" s="102"/>
      <c r="AO434" s="103"/>
      <c r="AP434" s="102"/>
      <c r="AQ434" s="102"/>
      <c r="AR434" s="103"/>
      <c r="AS434" s="138"/>
      <c r="AT434" s="478"/>
    </row>
    <row r="435" spans="1:46" ht="16.3">
      <c r="A435" s="611" t="s">
        <v>1</v>
      </c>
      <c r="B435" s="210">
        <f>SUM(J435+K435+L435+M435+N435+S435+V435+W435+X435+AA435+AI435+AJ435+AI435+AM435+AP435+AQ435+AS435+AT435+AU435+AV435+AN435)</f>
        <v>5</v>
      </c>
      <c r="C435" s="215">
        <f>SUM(J435+K435+L435+M435+N435+S435+W435+X435+V435+AA435+AJ435+AI435+AJ435+AN435+AQ435+AM435+AT435+AU435+AV435+AW435+AP435+AS435)+14</f>
        <v>19</v>
      </c>
      <c r="D435" s="133"/>
      <c r="E435" s="134"/>
      <c r="F435" s="135"/>
      <c r="G435" s="136"/>
      <c r="H435" s="96"/>
      <c r="I435" s="96"/>
      <c r="J435" s="75"/>
      <c r="K435" s="75">
        <v>1</v>
      </c>
      <c r="L435" s="75">
        <v>1</v>
      </c>
      <c r="M435" s="75">
        <v>1</v>
      </c>
      <c r="N435" s="75">
        <v>1</v>
      </c>
      <c r="O435" s="96"/>
      <c r="P435" s="105"/>
      <c r="Q435" s="96"/>
      <c r="R435" s="107"/>
      <c r="S435" s="75"/>
      <c r="T435" s="106"/>
      <c r="U435" s="106">
        <v>1</v>
      </c>
      <c r="V435" s="75">
        <v>1</v>
      </c>
      <c r="W435" s="75"/>
      <c r="X435" s="75"/>
      <c r="Y435" s="106"/>
      <c r="Z435" s="106"/>
      <c r="AA435" s="75"/>
      <c r="AB435" s="96"/>
      <c r="AC435" s="105"/>
      <c r="AD435" s="96"/>
      <c r="AE435" s="96"/>
      <c r="AF435" s="96"/>
      <c r="AG435" s="96"/>
      <c r="AH435" s="75"/>
      <c r="AI435" s="75"/>
      <c r="AJ435" s="141"/>
      <c r="AK435" s="447"/>
      <c r="AL435" s="107"/>
      <c r="AM435" s="75"/>
      <c r="AN435" s="75"/>
      <c r="AO435" s="107"/>
      <c r="AP435" s="75"/>
      <c r="AQ435" s="75"/>
      <c r="AR435" s="107"/>
      <c r="AS435" s="141"/>
      <c r="AT435" s="168"/>
    </row>
    <row r="436" spans="1:46" ht="16.3">
      <c r="A436" s="611" t="s">
        <v>2</v>
      </c>
      <c r="B436" s="210">
        <f>SUM(J436+K436+L436+M436+N436+S436+V436+W436+X436+AA436+AI436+AJ436+AI436+AM436+AP436+AQ436+AS436+AT436+AU436+AV436)</f>
        <v>0</v>
      </c>
      <c r="C436" s="215">
        <f>SUM(J436+K436+L436+M436+N436+S436+W436+X436+V436+AA436+AJ436+AI436+AJ436+AN436+AQ436+AM436+AT436+AU436+AV436+AW436+AP436+AS436)+11</f>
        <v>11</v>
      </c>
      <c r="D436" s="133"/>
      <c r="E436" s="134"/>
      <c r="F436" s="135"/>
      <c r="G436" s="136"/>
      <c r="H436" s="96">
        <v>1</v>
      </c>
      <c r="I436" s="96"/>
      <c r="J436" s="75"/>
      <c r="K436" s="75"/>
      <c r="L436" s="75"/>
      <c r="M436" s="75"/>
      <c r="N436" s="75"/>
      <c r="O436" s="96"/>
      <c r="P436" s="163"/>
      <c r="Q436" s="109"/>
      <c r="R436" s="111"/>
      <c r="S436" s="100"/>
      <c r="T436" s="110">
        <v>1</v>
      </c>
      <c r="U436" s="110"/>
      <c r="V436" s="100"/>
      <c r="W436" s="100"/>
      <c r="X436" s="100"/>
      <c r="Y436" s="110"/>
      <c r="Z436" s="110"/>
      <c r="AA436" s="100"/>
      <c r="AB436" s="109">
        <v>1</v>
      </c>
      <c r="AC436" s="108"/>
      <c r="AD436" s="109">
        <v>1</v>
      </c>
      <c r="AE436" s="109">
        <v>1</v>
      </c>
      <c r="AF436" s="109">
        <v>1</v>
      </c>
      <c r="AG436" s="109"/>
      <c r="AH436" s="100"/>
      <c r="AI436" s="100"/>
      <c r="AJ436" s="142"/>
      <c r="AK436" s="448"/>
      <c r="AL436" s="111"/>
      <c r="AM436" s="100"/>
      <c r="AN436" s="100"/>
      <c r="AO436" s="111"/>
      <c r="AP436" s="100"/>
      <c r="AQ436" s="100"/>
      <c r="AR436" s="111"/>
      <c r="AS436" s="142"/>
      <c r="AT436" s="150"/>
    </row>
    <row r="437" spans="1:46" ht="16.3">
      <c r="A437" s="91" t="s">
        <v>363</v>
      </c>
      <c r="B437" s="209">
        <f>SUM(B435+B436)</f>
        <v>5</v>
      </c>
      <c r="C437" s="214">
        <f>SUM(C435+C436)</f>
        <v>30</v>
      </c>
      <c r="D437" s="133"/>
      <c r="E437" s="134"/>
      <c r="F437" s="135"/>
      <c r="G437" s="136"/>
      <c r="H437" s="96"/>
      <c r="I437" s="96"/>
      <c r="J437" s="75"/>
      <c r="K437" s="75"/>
      <c r="L437" s="75"/>
      <c r="M437" s="75"/>
      <c r="N437" s="75"/>
      <c r="O437" s="96"/>
      <c r="P437" s="163"/>
      <c r="Q437" s="109"/>
      <c r="R437" s="111"/>
      <c r="S437" s="100"/>
      <c r="T437" s="110"/>
      <c r="U437" s="110"/>
      <c r="V437" s="100"/>
      <c r="W437" s="100"/>
      <c r="X437" s="100"/>
      <c r="Y437" s="110"/>
      <c r="Z437" s="110"/>
      <c r="AA437" s="100"/>
      <c r="AB437" s="109"/>
      <c r="AC437" s="108"/>
      <c r="AD437" s="109"/>
      <c r="AE437" s="109"/>
      <c r="AF437" s="109"/>
      <c r="AG437" s="109"/>
      <c r="AH437" s="100"/>
      <c r="AI437" s="100"/>
      <c r="AJ437" s="142"/>
      <c r="AK437" s="448"/>
      <c r="AL437" s="111"/>
      <c r="AM437" s="100"/>
      <c r="AN437" s="100"/>
      <c r="AO437" s="111"/>
      <c r="AP437" s="100"/>
      <c r="AQ437" s="100"/>
      <c r="AR437" s="111"/>
      <c r="AS437" s="142"/>
      <c r="AT437" s="150"/>
    </row>
    <row r="438" spans="1:46" ht="16.3">
      <c r="A438" s="611" t="s">
        <v>362</v>
      </c>
      <c r="B438" s="210">
        <f>SUM(J438+K438+L438+M438+N438+S438+V438+W438+X438+AA438+AI438+AJ438+AI438+AM438+AP438+AQ438+AS438+AT438+AU438+AV438)</f>
        <v>0</v>
      </c>
      <c r="C438" s="215">
        <f>SUM(J438+K438+L438+M438+N438+S438+W438+X438+V438+AA438+AJ438+AI438+AJ438+AN438+AQ438+AM438+AT438+AU438+AV438+AW438+AP438+AS438)+1</f>
        <v>1</v>
      </c>
      <c r="D438" s="133"/>
      <c r="E438" s="134"/>
      <c r="F438" s="135"/>
      <c r="G438" s="136"/>
      <c r="H438" s="96"/>
      <c r="I438" s="96"/>
      <c r="J438" s="75"/>
      <c r="K438" s="75"/>
      <c r="L438" s="75"/>
      <c r="M438" s="75"/>
      <c r="N438" s="75"/>
      <c r="O438" s="96"/>
      <c r="P438" s="163"/>
      <c r="Q438" s="109"/>
      <c r="R438" s="111"/>
      <c r="S438" s="100"/>
      <c r="T438" s="110"/>
      <c r="U438" s="110"/>
      <c r="V438" s="100"/>
      <c r="W438" s="100"/>
      <c r="X438" s="100"/>
      <c r="Y438" s="110"/>
      <c r="Z438" s="110"/>
      <c r="AA438" s="100"/>
      <c r="AB438" s="109"/>
      <c r="AC438" s="108"/>
      <c r="AD438" s="109"/>
      <c r="AE438" s="109"/>
      <c r="AF438" s="109"/>
      <c r="AG438" s="109"/>
      <c r="AH438" s="100"/>
      <c r="AI438" s="100"/>
      <c r="AJ438" s="142"/>
      <c r="AK438" s="448"/>
      <c r="AL438" s="111"/>
      <c r="AM438" s="100"/>
      <c r="AN438" s="100"/>
      <c r="AO438" s="111"/>
      <c r="AP438" s="100"/>
      <c r="AQ438" s="100"/>
      <c r="AR438" s="111"/>
      <c r="AS438" s="142"/>
      <c r="AT438" s="150"/>
    </row>
    <row r="439" spans="1:46" ht="16.3">
      <c r="A439" s="91" t="s">
        <v>3</v>
      </c>
      <c r="B439" s="209">
        <f>SUM(J439+K439+L439+M439+N439+S439+V439+W439+X439+AA439+AI439+AJ439+AI439+AM439+AP439+AQ439+AS439+AT439+AU439+AV439)</f>
        <v>0</v>
      </c>
      <c r="C439" s="214">
        <f>SUM(J439+K439+L439+M439+N439+S439+W439+X439+V439+AA439+AJ439+AI439+AJ439+AN439+AQ439+AM439+AT439+AU439+AV439+AW439+AP439+AS439)+1</f>
        <v>1</v>
      </c>
      <c r="D439" s="133"/>
      <c r="E439" s="134"/>
      <c r="F439" s="135"/>
      <c r="G439" s="136"/>
      <c r="H439" s="96"/>
      <c r="I439" s="96"/>
      <c r="J439" s="75"/>
      <c r="K439" s="75"/>
      <c r="L439" s="75"/>
      <c r="M439" s="75"/>
      <c r="N439" s="75"/>
      <c r="O439" s="96"/>
      <c r="P439" s="163"/>
      <c r="Q439" s="109"/>
      <c r="R439" s="111"/>
      <c r="S439" s="100"/>
      <c r="T439" s="110"/>
      <c r="U439" s="110"/>
      <c r="V439" s="100"/>
      <c r="W439" s="100"/>
      <c r="X439" s="100"/>
      <c r="Y439" s="110"/>
      <c r="Z439" s="110"/>
      <c r="AA439" s="100"/>
      <c r="AB439" s="109"/>
      <c r="AC439" s="108"/>
      <c r="AD439" s="109"/>
      <c r="AE439" s="109"/>
      <c r="AF439" s="109"/>
      <c r="AG439" s="109"/>
      <c r="AH439" s="100"/>
      <c r="AI439" s="100"/>
      <c r="AJ439" s="142"/>
      <c r="AK439" s="448"/>
      <c r="AL439" s="111"/>
      <c r="AM439" s="100"/>
      <c r="AN439" s="100"/>
      <c r="AO439" s="111"/>
      <c r="AP439" s="100"/>
      <c r="AQ439" s="100"/>
      <c r="AR439" s="111"/>
      <c r="AS439" s="142"/>
      <c r="AT439" s="150"/>
    </row>
    <row r="440" spans="1:46" ht="17" thickBot="1">
      <c r="A440" s="92" t="s">
        <v>4</v>
      </c>
      <c r="B440" s="209">
        <f>SUM(J440+K440+L440+M440+N440+S440+V440+W440+X440+AA440+AI440+AJ440+AI440+AM440+AP440+AQ440+AS440+AT440+AU440+AV440)</f>
        <v>0</v>
      </c>
      <c r="C440" s="214">
        <f>SUM(J440+K440+L440+M440+N440+S440+W440+X440+V440+AA440+AJ440+AI440+AJ440+AN440+AQ440+AM440+AT440+AU440+AV440+AW440+AP440+AS440)+5</f>
        <v>5</v>
      </c>
      <c r="D440" s="133"/>
      <c r="E440" s="134"/>
      <c r="F440" s="135"/>
      <c r="G440" s="136"/>
      <c r="H440" s="114"/>
      <c r="I440" s="114"/>
      <c r="J440" s="112"/>
      <c r="K440" s="112"/>
      <c r="L440" s="112"/>
      <c r="M440" s="112"/>
      <c r="N440" s="112"/>
      <c r="O440" s="114"/>
      <c r="P440" s="164"/>
      <c r="Q440" s="118"/>
      <c r="R440" s="130"/>
      <c r="S440" s="100"/>
      <c r="T440" s="110"/>
      <c r="U440" s="110"/>
      <c r="V440" s="100"/>
      <c r="W440" s="100"/>
      <c r="X440" s="100"/>
      <c r="Y440" s="110"/>
      <c r="Z440" s="110"/>
      <c r="AA440" s="100"/>
      <c r="AB440" s="109"/>
      <c r="AC440" s="108"/>
      <c r="AD440" s="109"/>
      <c r="AE440" s="109"/>
      <c r="AF440" s="109"/>
      <c r="AG440" s="109"/>
      <c r="AH440" s="100"/>
      <c r="AI440" s="100"/>
      <c r="AJ440" s="142"/>
      <c r="AK440" s="448"/>
      <c r="AL440" s="111"/>
      <c r="AM440" s="100"/>
      <c r="AN440" s="100"/>
      <c r="AO440" s="111"/>
      <c r="AP440" s="100"/>
      <c r="AQ440" s="100"/>
      <c r="AR440" s="111"/>
      <c r="AS440" s="142"/>
      <c r="AT440" s="150"/>
    </row>
    <row r="441" spans="1:46" ht="21.1">
      <c r="A441" s="89" t="s">
        <v>624</v>
      </c>
      <c r="B441" s="213"/>
      <c r="C441" s="218"/>
      <c r="D441" s="153"/>
      <c r="E441" s="154"/>
      <c r="F441" s="155"/>
      <c r="G441" s="156"/>
      <c r="H441" s="96"/>
      <c r="I441" s="96" t="s">
        <v>629</v>
      </c>
      <c r="J441" s="75"/>
      <c r="K441" s="75"/>
      <c r="L441" s="75"/>
      <c r="M441" s="75"/>
      <c r="N441" s="75"/>
      <c r="O441" s="96" t="s">
        <v>374</v>
      </c>
      <c r="P441" s="163"/>
      <c r="Q441" s="109">
        <v>8</v>
      </c>
      <c r="R441" s="111"/>
      <c r="S441" s="102">
        <v>8</v>
      </c>
      <c r="T441" s="101" t="s">
        <v>374</v>
      </c>
      <c r="U441" s="101" t="s">
        <v>339</v>
      </c>
      <c r="V441" s="102" t="s">
        <v>339</v>
      </c>
      <c r="W441" s="102" t="s">
        <v>339</v>
      </c>
      <c r="X441" s="102" t="s">
        <v>339</v>
      </c>
      <c r="Y441" s="101" t="s">
        <v>339</v>
      </c>
      <c r="Z441" s="101" t="s">
        <v>382</v>
      </c>
      <c r="AA441" s="102" t="s">
        <v>374</v>
      </c>
      <c r="AB441" s="99">
        <v>6</v>
      </c>
      <c r="AC441" s="98"/>
      <c r="AD441" s="99">
        <v>6</v>
      </c>
      <c r="AE441" s="99">
        <v>8</v>
      </c>
      <c r="AF441" s="99">
        <v>8</v>
      </c>
      <c r="AG441" s="99"/>
      <c r="AH441" s="102"/>
      <c r="AI441" s="102"/>
      <c r="AJ441" s="138"/>
      <c r="AK441" s="446"/>
      <c r="AL441" s="103"/>
      <c r="AM441" s="102"/>
      <c r="AN441" s="102"/>
      <c r="AO441" s="103"/>
      <c r="AP441" s="102"/>
      <c r="AQ441" s="102"/>
      <c r="AR441" s="103"/>
      <c r="AS441" s="138"/>
      <c r="AT441" s="478"/>
    </row>
    <row r="442" spans="1:46" ht="16.3">
      <c r="A442" s="611" t="s">
        <v>1</v>
      </c>
      <c r="B442" s="210">
        <f>SUM(J442+K442+L442+M442+N442+S442+V442+W442+X442+AA442+AI442+AJ442+AI442+AM442+AP442+AQ442+AS442+AT442+AU442+AV442+AN442)</f>
        <v>2</v>
      </c>
      <c r="C442" s="215">
        <f>SUM(J442+K442+L442+M442+N442+S442+W442+X442+V442+AA442+AJ442+AI442+AJ442+AN442+AQ442+AM442+AT442+AU442+AV442+AW442+AP442+AS442)</f>
        <v>2</v>
      </c>
      <c r="D442" s="133"/>
      <c r="E442" s="134"/>
      <c r="F442" s="135"/>
      <c r="G442" s="136"/>
      <c r="H442" s="96"/>
      <c r="I442" s="96">
        <v>1</v>
      </c>
      <c r="J442" s="75"/>
      <c r="K442" s="75"/>
      <c r="L442" s="75"/>
      <c r="M442" s="75"/>
      <c r="N442" s="75"/>
      <c r="O442" s="96">
        <v>1</v>
      </c>
      <c r="P442" s="163"/>
      <c r="Q442" s="109">
        <v>1</v>
      </c>
      <c r="R442" s="111"/>
      <c r="S442" s="100">
        <v>1</v>
      </c>
      <c r="T442" s="110">
        <v>1</v>
      </c>
      <c r="U442" s="110"/>
      <c r="V442" s="100"/>
      <c r="W442" s="100"/>
      <c r="X442" s="100"/>
      <c r="Y442" s="110"/>
      <c r="Z442" s="110">
        <v>1</v>
      </c>
      <c r="AA442" s="100">
        <v>1</v>
      </c>
      <c r="AB442" s="109">
        <v>1</v>
      </c>
      <c r="AC442" s="108"/>
      <c r="AD442" s="109">
        <v>1</v>
      </c>
      <c r="AE442" s="109">
        <v>1</v>
      </c>
      <c r="AF442" s="109">
        <v>1</v>
      </c>
      <c r="AG442" s="109"/>
      <c r="AH442" s="100"/>
      <c r="AI442" s="100"/>
      <c r="AJ442" s="142"/>
      <c r="AK442" s="448"/>
      <c r="AL442" s="111"/>
      <c r="AM442" s="100"/>
      <c r="AN442" s="100"/>
      <c r="AO442" s="111"/>
      <c r="AP442" s="100"/>
      <c r="AQ442" s="100"/>
      <c r="AR442" s="111"/>
      <c r="AS442" s="142"/>
      <c r="AT442" s="150"/>
    </row>
    <row r="443" spans="1:46" ht="16.3">
      <c r="A443" s="611" t="s">
        <v>2</v>
      </c>
      <c r="B443" s="210">
        <f>SUM(J443+K443+L443+M443+N443+S443+V443+W443+X443+AA443+AI443+AJ443+AI443+AM443+AP443+AQ443+AS443+AT443+AU443+AV443)</f>
        <v>0</v>
      </c>
      <c r="C443" s="215">
        <f>SUM(J443+K443+L443+M443+N443+S443+W443+X443+V443+AA443+AJ443+AI443+AJ443+AN443+AQ443+AM443+AT443+AU443+AV443+AW443+AP443+AS443)+4</f>
        <v>4</v>
      </c>
      <c r="D443" s="133"/>
      <c r="E443" s="134"/>
      <c r="F443" s="135"/>
      <c r="G443" s="136"/>
      <c r="H443" s="96"/>
      <c r="I443" s="96"/>
      <c r="J443" s="75"/>
      <c r="K443" s="75"/>
      <c r="L443" s="75"/>
      <c r="M443" s="75"/>
      <c r="N443" s="75"/>
      <c r="O443" s="96"/>
      <c r="P443" s="163"/>
      <c r="Q443" s="109"/>
      <c r="R443" s="111"/>
      <c r="S443" s="100"/>
      <c r="T443" s="110"/>
      <c r="U443" s="110"/>
      <c r="V443" s="100"/>
      <c r="W443" s="100"/>
      <c r="X443" s="100"/>
      <c r="Y443" s="110"/>
      <c r="Z443" s="110"/>
      <c r="AA443" s="100"/>
      <c r="AB443" s="109"/>
      <c r="AC443" s="108"/>
      <c r="AD443" s="109"/>
      <c r="AE443" s="109"/>
      <c r="AF443" s="109"/>
      <c r="AG443" s="109"/>
      <c r="AH443" s="100"/>
      <c r="AI443" s="100"/>
      <c r="AJ443" s="142"/>
      <c r="AK443" s="448"/>
      <c r="AL443" s="111"/>
      <c r="AM443" s="100"/>
      <c r="AN443" s="100"/>
      <c r="AO443" s="111"/>
      <c r="AP443" s="100"/>
      <c r="AQ443" s="100"/>
      <c r="AR443" s="111"/>
      <c r="AS443" s="142"/>
      <c r="AT443" s="150"/>
    </row>
    <row r="444" spans="1:46" ht="16.3">
      <c r="A444" s="91" t="s">
        <v>363</v>
      </c>
      <c r="B444" s="209">
        <f>SUM(B442+B443)</f>
        <v>2</v>
      </c>
      <c r="C444" s="214">
        <f>SUM(C442+C443)</f>
        <v>6</v>
      </c>
      <c r="D444" s="133"/>
      <c r="E444" s="134"/>
      <c r="F444" s="135"/>
      <c r="G444" s="136"/>
      <c r="H444" s="96"/>
      <c r="I444" s="96"/>
      <c r="J444" s="75"/>
      <c r="K444" s="75"/>
      <c r="L444" s="75"/>
      <c r="M444" s="75"/>
      <c r="N444" s="75"/>
      <c r="O444" s="96"/>
      <c r="P444" s="163"/>
      <c r="Q444" s="109"/>
      <c r="R444" s="111"/>
      <c r="S444" s="100"/>
      <c r="T444" s="110"/>
      <c r="U444" s="110"/>
      <c r="V444" s="100"/>
      <c r="W444" s="100"/>
      <c r="X444" s="100"/>
      <c r="Y444" s="110"/>
      <c r="Z444" s="110"/>
      <c r="AA444" s="100"/>
      <c r="AB444" s="109"/>
      <c r="AC444" s="108"/>
      <c r="AD444" s="109"/>
      <c r="AE444" s="109"/>
      <c r="AF444" s="109"/>
      <c r="AG444" s="109"/>
      <c r="AH444" s="100"/>
      <c r="AI444" s="100"/>
      <c r="AJ444" s="142"/>
      <c r="AK444" s="448"/>
      <c r="AL444" s="111"/>
      <c r="AM444" s="100"/>
      <c r="AN444" s="100"/>
      <c r="AO444" s="111"/>
      <c r="AP444" s="100"/>
      <c r="AQ444" s="100"/>
      <c r="AR444" s="111"/>
      <c r="AS444" s="142"/>
      <c r="AT444" s="150"/>
    </row>
    <row r="445" spans="1:46" ht="16.3">
      <c r="A445" s="91" t="s">
        <v>3</v>
      </c>
      <c r="B445" s="209">
        <f>SUM(J445+K445+L445+M445+N445+S445+V445+W445+X445+AA445+AI445+AJ445+AI445+AM445+AP445+AQ445+AS445+AT445+AU445+AV445)</f>
        <v>0</v>
      </c>
      <c r="C445" s="214">
        <f>SUM(J445+K445+L445+M445+N445+S445+W445+X445+V445+AA445+AJ445+AI445+AJ445+AN445+AQ445+AM445+AT445+AU445+AV445+AW445+AP445+AS445)</f>
        <v>0</v>
      </c>
      <c r="D445" s="133"/>
      <c r="E445" s="134"/>
      <c r="F445" s="135"/>
      <c r="G445" s="136"/>
      <c r="H445" s="96"/>
      <c r="I445" s="96"/>
      <c r="J445" s="75"/>
      <c r="K445" s="75"/>
      <c r="L445" s="75"/>
      <c r="M445" s="75"/>
      <c r="N445" s="75"/>
      <c r="O445" s="96">
        <v>1</v>
      </c>
      <c r="P445" s="163"/>
      <c r="Q445" s="109"/>
      <c r="R445" s="111"/>
      <c r="S445" s="100"/>
      <c r="T445" s="110">
        <v>1</v>
      </c>
      <c r="U445" s="110"/>
      <c r="V445" s="100"/>
      <c r="W445" s="100"/>
      <c r="X445" s="100"/>
      <c r="Y445" s="110"/>
      <c r="Z445" s="110"/>
      <c r="AA445" s="100"/>
      <c r="AB445" s="109"/>
      <c r="AC445" s="108"/>
      <c r="AD445" s="109"/>
      <c r="AE445" s="109">
        <v>1</v>
      </c>
      <c r="AF445" s="109"/>
      <c r="AG445" s="109"/>
      <c r="AH445" s="100"/>
      <c r="AI445" s="100"/>
      <c r="AJ445" s="142"/>
      <c r="AK445" s="448"/>
      <c r="AL445" s="111"/>
      <c r="AM445" s="100"/>
      <c r="AN445" s="100"/>
      <c r="AO445" s="111"/>
      <c r="AP445" s="100"/>
      <c r="AQ445" s="100"/>
      <c r="AR445" s="111"/>
      <c r="AS445" s="142"/>
      <c r="AT445" s="150"/>
    </row>
    <row r="446" spans="1:46" ht="17" thickBot="1">
      <c r="A446" s="92" t="s">
        <v>4</v>
      </c>
      <c r="B446" s="212">
        <f>SUM(J446+K446+L446+M446+N446+S446+V446+W446+X446+AA446+AI446+AJ446+AI446+AM446+AP446+AQ446+AS446+AT446+AU446+AV446)</f>
        <v>0</v>
      </c>
      <c r="C446" s="217">
        <f>SUM(J446+K446+L446+M446+N446+S446+W446+X446+V446+AA446+AJ446+AI446+AJ446+AN446+AQ446+AM446+AT446+AU446+AV446+AW446+AP446+AS446)</f>
        <v>0</v>
      </c>
      <c r="D446" s="144"/>
      <c r="E446" s="145"/>
      <c r="F446" s="146"/>
      <c r="G446" s="147"/>
      <c r="H446" s="114"/>
      <c r="I446" s="114"/>
      <c r="J446" s="112"/>
      <c r="K446" s="112"/>
      <c r="L446" s="112"/>
      <c r="M446" s="112"/>
      <c r="N446" s="112"/>
      <c r="O446" s="114">
        <v>5</v>
      </c>
      <c r="P446" s="164"/>
      <c r="Q446" s="118"/>
      <c r="R446" s="130"/>
      <c r="S446" s="100"/>
      <c r="T446" s="110">
        <v>5</v>
      </c>
      <c r="U446" s="110"/>
      <c r="V446" s="100"/>
      <c r="W446" s="100"/>
      <c r="X446" s="100"/>
      <c r="Y446" s="110"/>
      <c r="Z446" s="110"/>
      <c r="AA446" s="100"/>
      <c r="AB446" s="109"/>
      <c r="AC446" s="108"/>
      <c r="AD446" s="109"/>
      <c r="AE446" s="109">
        <v>5</v>
      </c>
      <c r="AF446" s="109"/>
      <c r="AG446" s="109"/>
      <c r="AH446" s="100"/>
      <c r="AI446" s="100"/>
      <c r="AJ446" s="142"/>
      <c r="AK446" s="448"/>
      <c r="AL446" s="111"/>
      <c r="AM446" s="100"/>
      <c r="AN446" s="100"/>
      <c r="AO446" s="111"/>
      <c r="AP446" s="100"/>
      <c r="AQ446" s="100"/>
      <c r="AR446" s="111"/>
      <c r="AS446" s="142"/>
      <c r="AT446" s="150"/>
    </row>
    <row r="447" spans="1:46" ht="21.1">
      <c r="A447" s="93" t="s">
        <v>8</v>
      </c>
      <c r="B447" s="210"/>
      <c r="C447" s="215"/>
      <c r="D447" s="124"/>
      <c r="E447" s="124"/>
      <c r="F447" s="125"/>
      <c r="G447" s="102"/>
      <c r="H447" s="99"/>
      <c r="I447" s="99"/>
      <c r="J447" s="102"/>
      <c r="K447" s="102"/>
      <c r="L447" s="102"/>
      <c r="M447" s="102"/>
      <c r="N447" s="102"/>
      <c r="O447" s="99"/>
      <c r="P447" s="98"/>
      <c r="Q447" s="99"/>
      <c r="R447" s="103"/>
      <c r="S447" s="102"/>
      <c r="T447" s="101"/>
      <c r="U447" s="101"/>
      <c r="V447" s="102"/>
      <c r="W447" s="102"/>
      <c r="X447" s="102"/>
      <c r="Y447" s="101"/>
      <c r="Z447" s="101"/>
      <c r="AA447" s="102"/>
      <c r="AB447" s="99"/>
      <c r="AC447" s="98"/>
      <c r="AD447" s="99"/>
      <c r="AE447" s="99"/>
      <c r="AF447" s="99"/>
      <c r="AG447" s="99"/>
      <c r="AH447" s="102"/>
      <c r="AI447" s="102"/>
      <c r="AJ447" s="138"/>
      <c r="AK447" s="446"/>
      <c r="AL447" s="103"/>
      <c r="AM447" s="102"/>
      <c r="AN447" s="102"/>
      <c r="AO447" s="103"/>
      <c r="AP447" s="102"/>
      <c r="AQ447" s="102"/>
      <c r="AR447" s="103"/>
      <c r="AS447" s="138"/>
      <c r="AT447" s="478"/>
    </row>
    <row r="448" spans="1:46" ht="16.3">
      <c r="A448" s="94" t="s">
        <v>3</v>
      </c>
      <c r="B448" s="209"/>
      <c r="C448" s="214"/>
      <c r="D448" s="96"/>
      <c r="E448" s="96"/>
      <c r="F448" s="97"/>
      <c r="G448" s="100"/>
      <c r="H448" s="109"/>
      <c r="I448" s="109"/>
      <c r="J448" s="100"/>
      <c r="K448" s="100"/>
      <c r="L448" s="100"/>
      <c r="M448" s="100"/>
      <c r="N448" s="100"/>
      <c r="O448" s="109"/>
      <c r="P448" s="108"/>
      <c r="Q448" s="109"/>
      <c r="R448" s="111"/>
      <c r="S448" s="100"/>
      <c r="T448" s="110"/>
      <c r="U448" s="110"/>
      <c r="V448" s="100"/>
      <c r="W448" s="100"/>
      <c r="X448" s="100"/>
      <c r="Y448" s="110"/>
      <c r="Z448" s="110"/>
      <c r="AA448" s="100"/>
      <c r="AB448" s="109"/>
      <c r="AC448" s="108"/>
      <c r="AD448" s="109"/>
      <c r="AE448" s="109"/>
      <c r="AF448" s="109"/>
      <c r="AG448" s="109"/>
      <c r="AH448" s="100"/>
      <c r="AI448" s="100"/>
      <c r="AJ448" s="142"/>
      <c r="AK448" s="448"/>
      <c r="AL448" s="111"/>
      <c r="AM448" s="100"/>
      <c r="AN448" s="100"/>
      <c r="AO448" s="111"/>
      <c r="AP448" s="100"/>
      <c r="AQ448" s="100"/>
      <c r="AR448" s="111"/>
      <c r="AS448" s="142"/>
      <c r="AT448" s="150"/>
    </row>
    <row r="449" spans="1:46" ht="17" thickBot="1">
      <c r="A449" s="95" t="s">
        <v>4</v>
      </c>
      <c r="B449" s="212"/>
      <c r="C449" s="217"/>
      <c r="D449" s="114"/>
      <c r="E449" s="114"/>
      <c r="F449" s="115"/>
      <c r="G449" s="116"/>
      <c r="H449" s="118"/>
      <c r="I449" s="118"/>
      <c r="J449" s="116"/>
      <c r="K449" s="116"/>
      <c r="L449" s="116"/>
      <c r="M449" s="116"/>
      <c r="N449" s="112"/>
      <c r="O449" s="118"/>
      <c r="P449" s="117"/>
      <c r="Q449" s="118"/>
      <c r="R449" s="121"/>
      <c r="S449" s="116"/>
      <c r="T449" s="120"/>
      <c r="U449" s="120"/>
      <c r="V449" s="116"/>
      <c r="W449" s="100"/>
      <c r="X449" s="100"/>
      <c r="Y449" s="110"/>
      <c r="Z449" s="110"/>
      <c r="AA449" s="116"/>
      <c r="AB449" s="118"/>
      <c r="AC449" s="117"/>
      <c r="AD449" s="118"/>
      <c r="AE449" s="118"/>
      <c r="AF449" s="118"/>
      <c r="AG449" s="118"/>
      <c r="AH449" s="116"/>
      <c r="AI449" s="116"/>
      <c r="AJ449" s="149"/>
      <c r="AK449" s="449"/>
      <c r="AL449" s="121"/>
      <c r="AM449" s="116"/>
      <c r="AN449" s="116"/>
      <c r="AO449" s="121"/>
      <c r="AP449" s="116"/>
      <c r="AQ449" s="116"/>
      <c r="AR449" s="121"/>
      <c r="AS449" s="149"/>
      <c r="AT449" s="176"/>
    </row>
    <row r="450" spans="1:46">
      <c r="A450" s="363"/>
      <c r="B450" s="862" t="s">
        <v>352</v>
      </c>
      <c r="C450" s="863"/>
      <c r="D450" s="864" t="s">
        <v>350</v>
      </c>
      <c r="E450" s="865"/>
      <c r="F450" s="866" t="s">
        <v>351</v>
      </c>
      <c r="G450" s="867"/>
      <c r="H450" s="384"/>
      <c r="I450" s="378"/>
      <c r="J450" s="378"/>
      <c r="K450" s="378"/>
      <c r="L450" s="378"/>
      <c r="M450" s="378"/>
      <c r="N450" s="378"/>
      <c r="O450" s="378"/>
      <c r="P450" s="378"/>
      <c r="Q450" s="378"/>
      <c r="R450" s="378"/>
      <c r="S450" s="378"/>
      <c r="T450" s="378"/>
      <c r="U450" s="378"/>
      <c r="V450" s="378"/>
      <c r="W450" s="378"/>
      <c r="X450" s="377"/>
      <c r="Y450" s="789"/>
      <c r="Z450" s="789"/>
      <c r="AA450" s="377"/>
      <c r="AB450" s="378"/>
      <c r="AC450" s="377"/>
      <c r="AD450" s="377"/>
      <c r="AE450" s="378"/>
      <c r="AF450" s="378"/>
      <c r="AG450" s="378"/>
      <c r="AH450" s="378"/>
      <c r="AI450" s="378"/>
      <c r="AJ450" s="378"/>
      <c r="AK450" s="378"/>
      <c r="AL450" s="378"/>
      <c r="AM450" s="378"/>
      <c r="AN450" s="378"/>
      <c r="AO450" s="378"/>
      <c r="AP450" s="378"/>
      <c r="AQ450" s="378"/>
      <c r="AR450" s="378"/>
      <c r="AS450" s="379"/>
      <c r="AT450" s="380"/>
    </row>
    <row r="451" spans="1:46" ht="21.75" thickBot="1">
      <c r="A451" s="364" t="s">
        <v>973</v>
      </c>
      <c r="B451" s="66" t="s">
        <v>355</v>
      </c>
      <c r="C451" s="64" t="s">
        <v>349</v>
      </c>
      <c r="D451" s="66" t="s">
        <v>355</v>
      </c>
      <c r="E451" s="61" t="s">
        <v>349</v>
      </c>
      <c r="F451" s="66" t="s">
        <v>355</v>
      </c>
      <c r="G451" s="70" t="s">
        <v>349</v>
      </c>
      <c r="H451" s="385"/>
      <c r="I451" s="386"/>
      <c r="J451" s="386"/>
      <c r="K451" s="386"/>
      <c r="L451" s="386"/>
      <c r="M451" s="386"/>
      <c r="N451" s="386"/>
      <c r="O451" s="386"/>
      <c r="P451" s="386"/>
      <c r="Q451" s="381"/>
      <c r="R451" s="381"/>
      <c r="S451" s="381"/>
      <c r="T451" s="381"/>
      <c r="U451" s="381"/>
      <c r="V451" s="381"/>
      <c r="W451" s="381"/>
      <c r="X451" s="784"/>
      <c r="Y451" s="790"/>
      <c r="Z451" s="790"/>
      <c r="AA451" s="784"/>
      <c r="AB451" s="381"/>
      <c r="AC451" s="381"/>
      <c r="AD451" s="381"/>
      <c r="AE451" s="381"/>
      <c r="AF451" s="381"/>
      <c r="AG451" s="381"/>
      <c r="AH451" s="381"/>
      <c r="AI451" s="381"/>
      <c r="AJ451" s="381"/>
      <c r="AK451" s="382"/>
      <c r="AL451" s="382"/>
      <c r="AM451" s="382"/>
      <c r="AN451" s="382"/>
      <c r="AO451" s="382"/>
      <c r="AP451" s="382"/>
      <c r="AQ451" s="382"/>
      <c r="AR451" s="382"/>
      <c r="AS451" s="382"/>
      <c r="AT451" s="383"/>
    </row>
    <row r="452" spans="1:46">
      <c r="A452" s="301" t="s">
        <v>476</v>
      </c>
      <c r="B452" s="365">
        <f>SUM(J452+K452+L452+M452+N452+S452+V452+W452+X452+AA452+AI452+AJ452+AM452+AN452+AP452+AQ452+AS452+AT452+AU452+AV257)+108</f>
        <v>118</v>
      </c>
      <c r="C452" s="317">
        <f>B452</f>
        <v>118</v>
      </c>
      <c r="D452" s="369">
        <f>SUM(T452+U452+Y452+Z452+AK452+AL452+AO452+AR452)+8</f>
        <v>12</v>
      </c>
      <c r="E452" s="355">
        <f>D452</f>
        <v>12</v>
      </c>
      <c r="F452" s="369">
        <v>20</v>
      </c>
      <c r="G452" s="358">
        <v>20</v>
      </c>
      <c r="H452" s="491">
        <v>1</v>
      </c>
      <c r="I452" s="491">
        <v>1</v>
      </c>
      <c r="J452" s="305">
        <v>1</v>
      </c>
      <c r="K452" s="305">
        <v>1</v>
      </c>
      <c r="L452" s="303">
        <v>1</v>
      </c>
      <c r="M452" s="362">
        <v>1</v>
      </c>
      <c r="N452" s="305">
        <v>1</v>
      </c>
      <c r="O452" s="491">
        <v>1</v>
      </c>
      <c r="P452" s="530"/>
      <c r="Q452" s="491">
        <v>1</v>
      </c>
      <c r="R452" s="474"/>
      <c r="S452" s="305">
        <v>1</v>
      </c>
      <c r="T452" s="344">
        <v>1</v>
      </c>
      <c r="U452" s="344">
        <v>1</v>
      </c>
      <c r="V452" s="306">
        <v>1</v>
      </c>
      <c r="W452" s="306">
        <v>1</v>
      </c>
      <c r="X452" s="781">
        <v>1</v>
      </c>
      <c r="Y452" s="344">
        <v>1</v>
      </c>
      <c r="Z452" s="344">
        <v>1</v>
      </c>
      <c r="AA452" s="306">
        <v>1</v>
      </c>
      <c r="AB452" s="812">
        <v>1</v>
      </c>
      <c r="AC452" s="820"/>
      <c r="AD452" s="812">
        <v>1</v>
      </c>
      <c r="AE452" s="815">
        <v>1</v>
      </c>
      <c r="AF452" s="815">
        <v>1</v>
      </c>
      <c r="AG452" s="815"/>
      <c r="AH452" s="815"/>
      <c r="AI452" s="306"/>
      <c r="AJ452" s="428"/>
      <c r="AK452" s="803"/>
      <c r="AL452" s="443"/>
      <c r="AM452" s="306"/>
      <c r="AN452" s="464"/>
      <c r="AO452" s="443"/>
      <c r="AP452" s="306"/>
      <c r="AQ452" s="464"/>
      <c r="AR452" s="443"/>
      <c r="AS452" s="306"/>
      <c r="AT452" s="362"/>
    </row>
    <row r="453" spans="1:46">
      <c r="A453" s="304" t="s">
        <v>477</v>
      </c>
      <c r="B453" s="366">
        <f>SUM(J453+K453+L453+M453+N453+S453+V453+W453+X453+AA453+AI453+AJ453+AM453+AN453+AP453+AQ453+AS453+AT453+AU453+AV258)+45</f>
        <v>46</v>
      </c>
      <c r="C453" s="318">
        <f t="shared" ref="C453:C455" si="62">B453</f>
        <v>46</v>
      </c>
      <c r="D453" s="370">
        <f>SUM(T453+U453+Y453+Z453+AK453+AL453+AO453+AR453)+3</f>
        <v>4</v>
      </c>
      <c r="E453" s="356">
        <f t="shared" ref="E453:E455" si="63">D453</f>
        <v>4</v>
      </c>
      <c r="F453" s="370">
        <v>14</v>
      </c>
      <c r="G453" s="359">
        <v>14</v>
      </c>
      <c r="H453" s="491">
        <v>1</v>
      </c>
      <c r="I453" s="491">
        <v>1</v>
      </c>
      <c r="J453" s="305">
        <v>0</v>
      </c>
      <c r="K453" s="305">
        <v>0</v>
      </c>
      <c r="L453" s="306">
        <v>0</v>
      </c>
      <c r="M453" s="362">
        <v>0</v>
      </c>
      <c r="N453" s="305">
        <v>0</v>
      </c>
      <c r="O453" s="491">
        <v>1</v>
      </c>
      <c r="P453" s="530"/>
      <c r="Q453" s="491">
        <v>1</v>
      </c>
      <c r="R453" s="474"/>
      <c r="S453" s="305">
        <v>1</v>
      </c>
      <c r="T453" s="344">
        <v>1</v>
      </c>
      <c r="U453" s="344">
        <v>0</v>
      </c>
      <c r="V453" s="306">
        <v>0</v>
      </c>
      <c r="W453" s="306">
        <v>0</v>
      </c>
      <c r="X453" s="782">
        <v>0</v>
      </c>
      <c r="Y453" s="344">
        <v>0</v>
      </c>
      <c r="Z453" s="344">
        <v>0</v>
      </c>
      <c r="AA453" s="306">
        <v>0</v>
      </c>
      <c r="AB453" s="812">
        <v>1</v>
      </c>
      <c r="AC453" s="820"/>
      <c r="AD453" s="812">
        <v>0</v>
      </c>
      <c r="AE453" s="815">
        <v>1</v>
      </c>
      <c r="AF453" s="815">
        <v>0</v>
      </c>
      <c r="AG453" s="815"/>
      <c r="AH453" s="815"/>
      <c r="AI453" s="306"/>
      <c r="AJ453" s="428"/>
      <c r="AK453" s="803"/>
      <c r="AL453" s="443"/>
      <c r="AM453" s="306"/>
      <c r="AN453" s="464"/>
      <c r="AO453" s="443"/>
      <c r="AP453" s="306"/>
      <c r="AQ453" s="464"/>
      <c r="AR453" s="443"/>
      <c r="AS453" s="306"/>
      <c r="AT453" s="362"/>
    </row>
    <row r="454" spans="1:46">
      <c r="A454" s="304" t="s">
        <v>478</v>
      </c>
      <c r="B454" s="366">
        <f>SUM(J454+K454+L454+M454+N454+S454+V454+W454+X454+AA454+AI454+AJ454+AM454+AN454+AP454+AQ454+AS454+AT454+AU454+AV265)+1</f>
        <v>1</v>
      </c>
      <c r="C454" s="318">
        <f t="shared" si="62"/>
        <v>1</v>
      </c>
      <c r="D454" s="370">
        <f>SUM(T454+U454+Y454+Z454+AK454+AL454+AO454+AR454)</f>
        <v>0</v>
      </c>
      <c r="E454" s="356">
        <f t="shared" si="63"/>
        <v>0</v>
      </c>
      <c r="F454" s="370">
        <v>0</v>
      </c>
      <c r="G454" s="359">
        <v>0</v>
      </c>
      <c r="H454" s="491">
        <v>0</v>
      </c>
      <c r="I454" s="491">
        <v>0</v>
      </c>
      <c r="J454" s="305">
        <v>0</v>
      </c>
      <c r="K454" s="305">
        <v>0</v>
      </c>
      <c r="L454" s="306">
        <v>0</v>
      </c>
      <c r="M454" s="362">
        <v>0</v>
      </c>
      <c r="N454" s="305">
        <v>0</v>
      </c>
      <c r="O454" s="491">
        <v>0</v>
      </c>
      <c r="P454" s="530"/>
      <c r="Q454" s="491">
        <v>0</v>
      </c>
      <c r="R454" s="474"/>
      <c r="S454" s="305">
        <v>0</v>
      </c>
      <c r="T454" s="344">
        <v>0</v>
      </c>
      <c r="U454" s="344">
        <v>0</v>
      </c>
      <c r="V454" s="306">
        <v>0</v>
      </c>
      <c r="W454" s="306">
        <v>0</v>
      </c>
      <c r="X454" s="782">
        <v>0</v>
      </c>
      <c r="Y454" s="344">
        <v>0</v>
      </c>
      <c r="Z454" s="344">
        <v>0</v>
      </c>
      <c r="AA454" s="306">
        <v>0</v>
      </c>
      <c r="AB454" s="812">
        <v>0</v>
      </c>
      <c r="AC454" s="820"/>
      <c r="AD454" s="812">
        <v>0</v>
      </c>
      <c r="AE454" s="815">
        <v>0</v>
      </c>
      <c r="AF454" s="815">
        <v>0</v>
      </c>
      <c r="AG454" s="815"/>
      <c r="AH454" s="815"/>
      <c r="AI454" s="306"/>
      <c r="AJ454" s="428"/>
      <c r="AK454" s="803"/>
      <c r="AL454" s="443"/>
      <c r="AM454" s="306"/>
      <c r="AN454" s="464"/>
      <c r="AO454" s="443"/>
      <c r="AP454" s="306"/>
      <c r="AQ454" s="464"/>
      <c r="AR454" s="443"/>
      <c r="AS454" s="306"/>
      <c r="AT454" s="362"/>
    </row>
    <row r="455" spans="1:46" ht="14.95" thickBot="1">
      <c r="A455" s="304" t="s">
        <v>479</v>
      </c>
      <c r="B455" s="367">
        <f>SUM(J455+K455+L455+M455+N455+S455+V455+W455+X455+AA455+AI455+AJ455+AM455+AN455+AP455+AQ455+AS455+AT455+AU455+AV266)+62</f>
        <v>71</v>
      </c>
      <c r="C455" s="354">
        <f t="shared" si="62"/>
        <v>71</v>
      </c>
      <c r="D455" s="371">
        <f>SUM(T455+U455+Y455+Z455+AK455+AL455+AO455+AR455)+5</f>
        <v>8</v>
      </c>
      <c r="E455" s="357">
        <f t="shared" si="63"/>
        <v>8</v>
      </c>
      <c r="F455" s="371">
        <v>6</v>
      </c>
      <c r="G455" s="360">
        <v>6</v>
      </c>
      <c r="H455" s="491">
        <v>0</v>
      </c>
      <c r="I455" s="491">
        <v>0</v>
      </c>
      <c r="J455" s="305">
        <v>1</v>
      </c>
      <c r="K455" s="305">
        <v>1</v>
      </c>
      <c r="L455" s="306">
        <v>1</v>
      </c>
      <c r="M455" s="362">
        <v>1</v>
      </c>
      <c r="N455" s="305">
        <v>1</v>
      </c>
      <c r="O455" s="491">
        <v>0</v>
      </c>
      <c r="P455" s="530"/>
      <c r="Q455" s="491">
        <v>0</v>
      </c>
      <c r="R455" s="474"/>
      <c r="S455" s="305">
        <v>0</v>
      </c>
      <c r="T455" s="344">
        <v>0</v>
      </c>
      <c r="U455" s="344">
        <v>1</v>
      </c>
      <c r="V455" s="306">
        <v>1</v>
      </c>
      <c r="W455" s="306">
        <v>1</v>
      </c>
      <c r="X455" s="782">
        <v>1</v>
      </c>
      <c r="Y455" s="344">
        <v>1</v>
      </c>
      <c r="Z455" s="344">
        <v>1</v>
      </c>
      <c r="AA455" s="306">
        <v>1</v>
      </c>
      <c r="AB455" s="812">
        <v>0</v>
      </c>
      <c r="AC455" s="820"/>
      <c r="AD455" s="812">
        <v>1</v>
      </c>
      <c r="AE455" s="815">
        <v>0</v>
      </c>
      <c r="AF455" s="815">
        <v>1</v>
      </c>
      <c r="AG455" s="815"/>
      <c r="AH455" s="815"/>
      <c r="AI455" s="306"/>
      <c r="AJ455" s="428"/>
      <c r="AK455" s="803"/>
      <c r="AL455" s="443"/>
      <c r="AM455" s="306"/>
      <c r="AN455" s="464"/>
      <c r="AO455" s="443"/>
      <c r="AP455" s="306"/>
      <c r="AQ455" s="464"/>
      <c r="AR455" s="443"/>
      <c r="AS455" s="306"/>
      <c r="AT455" s="362"/>
    </row>
    <row r="456" spans="1:46" ht="14.95" thickBot="1">
      <c r="A456" s="307" t="s">
        <v>480</v>
      </c>
      <c r="B456" s="368">
        <f t="shared" ref="B456:C456" si="64">SUM(B453+B454*0.5)/B452*100</f>
        <v>39.406779661016948</v>
      </c>
      <c r="C456" s="350">
        <f t="shared" si="64"/>
        <v>39.406779661016948</v>
      </c>
      <c r="D456" s="372">
        <f>SUM(D453+D454*0.5)/D452*100</f>
        <v>33.333333333333329</v>
      </c>
      <c r="E456" s="375">
        <f t="shared" ref="E456:G456" si="65">SUM(E453+E454*0.5)/E452*100</f>
        <v>33.333333333333329</v>
      </c>
      <c r="F456" s="372">
        <f t="shared" si="65"/>
        <v>70</v>
      </c>
      <c r="G456" s="376">
        <f t="shared" si="65"/>
        <v>70</v>
      </c>
      <c r="H456" s="492"/>
      <c r="I456" s="492"/>
      <c r="J456" s="340"/>
      <c r="K456" s="340"/>
      <c r="L456" s="309"/>
      <c r="M456" s="547"/>
      <c r="N456" s="340"/>
      <c r="O456" s="583"/>
      <c r="P456" s="584"/>
      <c r="Q456" s="583"/>
      <c r="R456" s="475"/>
      <c r="S456" s="340"/>
      <c r="T456" s="403"/>
      <c r="U456" s="403"/>
      <c r="V456" s="311"/>
      <c r="W456" s="311"/>
      <c r="X456" s="783"/>
      <c r="Y456" s="403"/>
      <c r="Z456" s="403"/>
      <c r="AA456" s="309"/>
      <c r="AB456" s="813"/>
      <c r="AC456" s="821"/>
      <c r="AD456" s="813"/>
      <c r="AE456" s="816"/>
      <c r="AF456" s="816"/>
      <c r="AG456" s="816"/>
      <c r="AH456" s="816"/>
      <c r="AI456" s="309"/>
      <c r="AJ456" s="429"/>
      <c r="AK456" s="803"/>
      <c r="AL456" s="443"/>
      <c r="AM456" s="309"/>
      <c r="AN456" s="464"/>
      <c r="AO456" s="443"/>
      <c r="AP456" s="309"/>
      <c r="AQ456" s="464"/>
      <c r="AR456" s="443"/>
      <c r="AS456" s="309"/>
      <c r="AT456" s="362"/>
    </row>
    <row r="457" spans="1:46" ht="21.1">
      <c r="A457" s="25" t="s">
        <v>10</v>
      </c>
      <c r="B457" s="28"/>
      <c r="C457" s="28"/>
      <c r="D457" s="28"/>
      <c r="E457" s="28"/>
      <c r="F457" s="28"/>
      <c r="G457" s="45"/>
      <c r="H457" s="45"/>
      <c r="I457" s="45"/>
      <c r="J457" s="45"/>
      <c r="K457" s="45"/>
      <c r="L457" s="45"/>
      <c r="M457" s="45"/>
      <c r="N457" s="28"/>
      <c r="O457" s="28"/>
      <c r="P457" s="34"/>
      <c r="Q457" s="28"/>
      <c r="R457" s="34"/>
      <c r="S457" s="30"/>
      <c r="T457" s="30"/>
      <c r="U457" s="31"/>
      <c r="V457" s="31"/>
      <c r="W457" s="31"/>
      <c r="X457" s="31"/>
      <c r="Y457" s="31"/>
      <c r="Z457" s="31"/>
      <c r="AA457" s="31"/>
      <c r="AB457" s="31"/>
      <c r="AC457" s="33"/>
      <c r="AD457" s="31"/>
      <c r="AE457" s="31"/>
      <c r="AF457" s="31"/>
      <c r="AG457" s="31"/>
      <c r="AH457" s="31"/>
      <c r="AI457" s="31"/>
      <c r="AJ457" s="31"/>
      <c r="AK457" s="33"/>
      <c r="AL457" s="33"/>
      <c r="AM457" s="31"/>
      <c r="AN457" s="31"/>
      <c r="AO457" s="33"/>
      <c r="AP457" s="31"/>
      <c r="AQ457" s="31"/>
      <c r="AR457" s="33"/>
      <c r="AS457" s="804"/>
      <c r="AT457" s="804"/>
    </row>
    <row r="458" spans="1:46">
      <c r="A458" s="26" t="s">
        <v>1</v>
      </c>
      <c r="B458" s="28"/>
      <c r="C458" s="28"/>
      <c r="D458" s="28"/>
      <c r="E458" s="28"/>
      <c r="F458" s="28"/>
      <c r="G458" s="28"/>
      <c r="H458" s="28">
        <f>IF(SUMIF($A$4:$A449,$A458,H$4:H449)=0,"",SUMIF($A$4:$A449,$A458,H$4:H449))</f>
        <v>15</v>
      </c>
      <c r="I458" s="28">
        <f>IF(SUMIF($A$4:$A449,$A458,I$4:I449)=0,"",SUMIF($A$4:$A449,$A458,I$4:I449))</f>
        <v>15</v>
      </c>
      <c r="J458" s="28">
        <f>IF(SUMIF($A$4:$A449,$A458,J$4:J449)=0,"",SUMIF($A$4:$A449,$A458,J$4:J449))</f>
        <v>15</v>
      </c>
      <c r="K458" s="28">
        <f>IF(SUMIF($A$4:$A449,$A458,K$4:K449)=0,"",SUMIF($A$4:$A449,$A458,K$4:K449))</f>
        <v>15</v>
      </c>
      <c r="L458" s="28">
        <f>IF(SUMIF($A$4:$A449,$A458,L$4:L449)=0,"",SUMIF($A$4:$A449,$A458,L$4:L449))</f>
        <v>15</v>
      </c>
      <c r="M458" s="28">
        <f>IF(SUMIF($A$4:$A449,$A458,M$4:M449)=0,"",SUMIF($A$4:$A449,$A458,M$4:M449))</f>
        <v>15</v>
      </c>
      <c r="N458" s="28">
        <f>IF(SUMIF($A$4:$A449,$A458,N$4:N449)=0,"",SUMIF($A$4:$A449,$A458,N$4:N449))</f>
        <v>15</v>
      </c>
      <c r="O458" s="28">
        <f>IF(SUMIF($A$4:$A449,$A458,O$4:O449)=0,"",SUMIF($A$4:$A449,$A458,O$4:O449))</f>
        <v>15</v>
      </c>
      <c r="P458" s="34"/>
      <c r="Q458" s="28">
        <f>IF(SUMIF($A$4:$A449,$A458,Q$4:Q449)=0,"",SUMIF($A$4:$A449,$A458,Q$4:Q449))</f>
        <v>15</v>
      </c>
      <c r="R458" s="34" t="str">
        <f>IF(SUMIF($A$4:$A449,$A458,R$4:R449)=0,"",SUMIF($A$4:$A449,$A458,R$4:R449))</f>
        <v/>
      </c>
      <c r="S458" s="28">
        <f>IF(SUMIF($A$4:$A449,$A458,S$4:S449)=0,"",SUMIF($A$4:$A449,$A458,S$4:S449))</f>
        <v>15</v>
      </c>
      <c r="T458" s="28">
        <f>IF(SUMIF($A$4:$A449,$A458,T$4:T449)=0,"",SUMIF($A$4:$A449,$A458,T$4:T449))</f>
        <v>15</v>
      </c>
      <c r="U458" s="28">
        <f>IF(SUMIF($A$4:$A449,$A458,U$4:U449)=0,"",SUMIF($A$4:$A449,$A458,U$4:U449))</f>
        <v>15</v>
      </c>
      <c r="V458" s="28">
        <f>IF(SUMIF($A$4:$A449,$A458,V$4:V449)=0,"",SUMIF($A$4:$A449,$A458,V$4:V449))</f>
        <v>15</v>
      </c>
      <c r="W458" s="28">
        <f>IF(SUMIF($A$4:$A449,$A458,W$4:W449)=0,"",SUMIF($A$4:$A449,$A458,W$4:W449))</f>
        <v>15</v>
      </c>
      <c r="X458" s="28">
        <f>IF(SUMIF($A$4:$A449,$A458,X$4:X449)=0,"",SUMIF($A$4:$A449,$A458,X$4:X449))</f>
        <v>15</v>
      </c>
      <c r="Y458" s="28">
        <f>IF(SUMIF($A$4:$A449,$A458,Y$4:Y449)=0,"",SUMIF($A$4:$A449,$A458,Y$4:Y449))</f>
        <v>15</v>
      </c>
      <c r="Z458" s="28">
        <f>IF(SUMIF($A$4:$A449,$A458,Z$4:Z449)=0,"",SUMIF($A$4:$A449,$A458,Z$4:Z449))</f>
        <v>15</v>
      </c>
      <c r="AA458" s="28">
        <f>IF(SUMIF($A$4:$A449,$A458,AA$4:AA449)=0,"",SUMIF($A$4:$A449,$A458,AA$4:AA449))</f>
        <v>15</v>
      </c>
      <c r="AB458" s="28">
        <f>IF(SUMIF($A$4:$A449,$A458,AB$4:AB449)=0,"",SUMIF($A$4:$A449,$A458,AB$4:AB449))</f>
        <v>15</v>
      </c>
      <c r="AC458" s="34" t="str">
        <f>IF(SUMIF($A$4:$A449,$A458,AC$4:AC449)=0,"",SUMIF($A$4:$A449,$A458,AC$4:AC449))</f>
        <v/>
      </c>
      <c r="AD458" s="28">
        <f>IF(SUMIF($A$4:$A449,$A458,AD$4:AD449)=0,"",SUMIF($A$4:$A449,$A458,AD$4:AD449))</f>
        <v>15</v>
      </c>
      <c r="AE458" s="28">
        <f>IF(SUMIF($A$4:$A449,$A458,AE$4:AE449)=0,"",SUMIF($A$4:$A449,$A458,AE$4:AE449))</f>
        <v>15</v>
      </c>
      <c r="AF458" s="28">
        <f>IF(SUMIF($A$4:$A449,$A458,AF$4:AF449)=0,"",SUMIF($A$4:$A449,$A458,AF$4:AF449))</f>
        <v>15</v>
      </c>
      <c r="AG458" s="28" t="str">
        <f>IF(SUMIF($A$4:$A449,$A458,AG$4:AG449)=0,"",SUMIF($A$4:$A449,$A458,AG$4:AG449))</f>
        <v/>
      </c>
      <c r="AH458" s="28" t="str">
        <f>IF(SUMIF($A$4:$A449,$A458,AH$4:AH449)=0,"",SUMIF($A$4:$A449,$A458,AH$4:AH449))</f>
        <v/>
      </c>
      <c r="AI458" s="28" t="str">
        <f>IF(SUMIF($A$4:$A449,$A458,AI$4:AI449)=0,"",SUMIF($A$4:$A449,$A458,AI$4:AI449))</f>
        <v/>
      </c>
      <c r="AJ458" s="28" t="str">
        <f>IF(SUMIF($A$4:$A449,$A458,AJ$4:AJ449)=0,"",SUMIF($A$4:$A449,$A458,AJ$4:AJ449))</f>
        <v/>
      </c>
      <c r="AK458" s="34" t="str">
        <f>IF(SUMIF($A$4:$A449,$A458,AK$4:AK449)=0,"",SUMIF($A$4:$A449,$A458,AK$4:AK449))</f>
        <v/>
      </c>
      <c r="AL458" s="34" t="str">
        <f>IF(SUMIF($A$4:$A449,$A458,AL$4:AL449)=0,"",SUMIF($A$4:$A449,$A458,AL$4:AL449))</f>
        <v/>
      </c>
      <c r="AM458" s="28" t="str">
        <f>IF(SUMIF($A$4:$A449,$A458,AM$4:AM449)=0,"",SUMIF($A$4:$A449,$A458,AM$4:AM449))</f>
        <v/>
      </c>
      <c r="AN458" s="28" t="str">
        <f>IF(SUMIF($A$4:$A449,$A458,AN$4:AN449)=0,"",SUMIF($A$4:$A449,$A458,AN$4:AN449))</f>
        <v/>
      </c>
      <c r="AO458" s="34" t="str">
        <f>IF(SUMIF($A$4:$A449,$A458,AO$4:AO449)=0,"",SUMIF($A$4:$A449,$A458,AO$4:AO449))</f>
        <v/>
      </c>
      <c r="AP458" s="28" t="str">
        <f>IF(SUMIF($A$4:$A449,$A458,AP$4:AP449)=0,"",SUMIF($A$4:$A449,$A458,AP$4:AP449))</f>
        <v/>
      </c>
      <c r="AQ458" s="28" t="str">
        <f>IF(SUMIF($A$4:$A449,$A458,AQ$4:AQ449)=0,"",SUMIF($A$4:$A449,$A458,AQ$4:AQ449))</f>
        <v/>
      </c>
      <c r="AR458" s="34" t="str">
        <f>IF(SUMIF($A$4:$A449,$A458,AR$4:AR449)=0,"",SUMIF($A$4:$A449,$A458,AR$4:AR449))</f>
        <v/>
      </c>
      <c r="AS458" s="805" t="str">
        <f>IF(SUMIF($A$4:$A449,$A458,AS$4:AS449)=0,"",SUMIF($A$4:$A449,$A458,AS$4:AS449))</f>
        <v/>
      </c>
      <c r="AT458" s="805" t="str">
        <f>IF(SUMIF($A$4:$A449,$A458,AT$4:AT449)=0,"",SUMIF($A$4:$A449,$A458,AT$4:AT449))</f>
        <v/>
      </c>
    </row>
    <row r="459" spans="1:46">
      <c r="A459" s="26" t="s">
        <v>2</v>
      </c>
      <c r="B459" s="28"/>
      <c r="C459" s="28"/>
      <c r="D459" s="28"/>
      <c r="E459" s="28"/>
      <c r="F459" s="28"/>
      <c r="G459" s="28"/>
      <c r="H459" s="28">
        <f>IF(SUMIF($A$4:$A457,$A459,H$4:H457)=0,"",SUMIF($A$4:$A457,$A459,H$4:H457))</f>
        <v>8</v>
      </c>
      <c r="I459" s="28">
        <f>IF(SUMIF($A$4:$A457,$A459,I$4:I457)=0,"",SUMIF($A$4:$A457,$A459,I$4:I457))</f>
        <v>8</v>
      </c>
      <c r="J459" s="28">
        <f>IF(SUMIF($A$4:$A457,$A459,J$4:J457)=0,"",SUMIF($A$4:$A457,$A459,J$4:J457))</f>
        <v>6</v>
      </c>
      <c r="K459" s="28">
        <f>IF(SUMIF($A$4:$A457,$A459,K$4:K457)=0,"",SUMIF($A$4:$A457,$A459,K$4:K457))</f>
        <v>6</v>
      </c>
      <c r="L459" s="28">
        <f>IF(SUMIF($A$4:$A457,$A459,L$4:L457)=0,"",SUMIF($A$4:$A457,$A459,L$4:L457))</f>
        <v>8</v>
      </c>
      <c r="M459" s="28">
        <f>IF(SUMIF($A$4:$A457,$A459,M$4:M457)=0,"",SUMIF($A$4:$A457,$A459,M$4:M457))</f>
        <v>8</v>
      </c>
      <c r="N459" s="28">
        <f>IF(SUMIF($A$4:$A457,$A459,N$4:N457)=0,"",SUMIF($A$4:$A457,$A459,N$4:N457))</f>
        <v>7</v>
      </c>
      <c r="O459" s="28">
        <f>IF(SUMIF($A$4:$A457,$A459,O$4:O457)=0,"",SUMIF($A$4:$A457,$A459,O$4:O457))</f>
        <v>8</v>
      </c>
      <c r="P459" s="34"/>
      <c r="Q459" s="28">
        <f>IF(SUMIF($A$4:$A457,$A459,Q$4:Q457)=0,"",SUMIF($A$4:$A457,$A459,Q$4:Q457))</f>
        <v>6</v>
      </c>
      <c r="R459" s="34" t="str">
        <f>IF(SUMIF($A$4:$A457,$A459,R$4:R457)=0,"",SUMIF($A$4:$A457,$A459,R$4:R457))</f>
        <v/>
      </c>
      <c r="S459" s="28">
        <f>IF(SUMIF($A$4:$A457,$A459,S$4:S457)=0,"",SUMIF($A$4:$A457,$A459,S$4:S457))</f>
        <v>4</v>
      </c>
      <c r="T459" s="28">
        <f>IF(SUMIF($A$4:$A457,$A459,T$4:T457)=0,"",SUMIF($A$4:$A457,$A459,T$4:T457))</f>
        <v>8</v>
      </c>
      <c r="U459" s="28">
        <f>IF(SUMIF($A$4:$A457,$A459,U$4:U457)=0,"",SUMIF($A$4:$A457,$A459,U$4:U457))</f>
        <v>8</v>
      </c>
      <c r="V459" s="28">
        <f>IF(SUMIF($A$4:$A457,$A459,V$4:V457)=0,"",SUMIF($A$4:$A457,$A459,V$4:V457))</f>
        <v>8</v>
      </c>
      <c r="W459" s="28">
        <f>IF(SUMIF($A$4:$A457,$A459,W$4:W457)=0,"",SUMIF($A$4:$A457,$A459,W$4:W457))</f>
        <v>8</v>
      </c>
      <c r="X459" s="28">
        <f>IF(SUMIF($A$4:$A457,$A459,X$4:X457)=0,"",SUMIF($A$4:$A457,$A459,X$4:X457))</f>
        <v>7</v>
      </c>
      <c r="Y459" s="28">
        <f>IF(SUMIF($A$4:$A457,$A459,Y$4:Y457)=0,"",SUMIF($A$4:$A457,$A459,Y$4:Y457))</f>
        <v>6</v>
      </c>
      <c r="Z459" s="28">
        <f>IF(SUMIF($A$4:$A457,$A459,Z$4:Z457)=0,"",SUMIF($A$4:$A457,$A459,Z$4:Z457))</f>
        <v>8</v>
      </c>
      <c r="AA459" s="28">
        <f>IF(SUMIF($A$4:$A457,$A459,AA$4:AA457)=0,"",SUMIF($A$4:$A457,$A459,AA$4:AA457))</f>
        <v>6</v>
      </c>
      <c r="AB459" s="28">
        <f>IF(SUMIF($A$4:$A457,$A459,AB$4:AB457)=0,"",SUMIF($A$4:$A457,$A459,AB$4:AB457))</f>
        <v>5</v>
      </c>
      <c r="AC459" s="34" t="str">
        <f>IF(SUMIF($A$4:$A457,$A459,AC$4:AC457)=0,"",SUMIF($A$4:$A457,$A459,AC$4:AC457))</f>
        <v/>
      </c>
      <c r="AD459" s="28">
        <f>IF(SUMIF($A$4:$A457,$A459,AD$4:AD457)=0,"",SUMIF($A$4:$A457,$A459,AD$4:AD457))</f>
        <v>8</v>
      </c>
      <c r="AE459" s="28">
        <f>IF(SUMIF($A$4:$A457,$A459,AE$4:AE457)=0,"",SUMIF($A$4:$A457,$A459,AE$4:AE457))</f>
        <v>8</v>
      </c>
      <c r="AF459" s="28">
        <f>IF(SUMIF($A$4:$A457,$A459,AF$4:AF457)=0,"",SUMIF($A$4:$A457,$A459,AF$4:AF457))</f>
        <v>7</v>
      </c>
      <c r="AG459" s="28" t="str">
        <f>IF(SUMIF($A$4:$A457,$A459,AG$4:AG457)=0,"",SUMIF($A$4:$A457,$A459,AG$4:AG457))</f>
        <v/>
      </c>
      <c r="AH459" s="28" t="str">
        <f>IF(SUMIF($A$4:$A457,$A459,AH$4:AH457)=0,"",SUMIF($A$4:$A457,$A459,AH$4:AH457))</f>
        <v/>
      </c>
      <c r="AI459" s="28" t="str">
        <f>IF(SUMIF($A$4:$A457,$A459,AI$4:AI457)=0,"",SUMIF($A$4:$A457,$A459,AI$4:AI457))</f>
        <v/>
      </c>
      <c r="AJ459" s="28" t="str">
        <f>IF(SUMIF($A$4:$A457,$A459,AJ$4:AJ457)=0,"",SUMIF($A$4:$A457,$A459,AJ$4:AJ457))</f>
        <v/>
      </c>
      <c r="AK459" s="34" t="str">
        <f>IF(SUMIF($A$4:$A457,$A459,AK$4:AK457)=0,"",SUMIF($A$4:$A457,$A459,AK$4:AK457))</f>
        <v/>
      </c>
      <c r="AL459" s="34" t="str">
        <f>IF(SUMIF($A$4:$A457,$A459,AL$4:AL457)=0,"",SUMIF($A$4:$A457,$A459,AL$4:AL457))</f>
        <v/>
      </c>
      <c r="AM459" s="28" t="str">
        <f>IF(SUMIF($A$4:$A457,$A459,AM$4:AM457)=0,"",SUMIF($A$4:$A457,$A459,AM$4:AM457))</f>
        <v/>
      </c>
      <c r="AN459" s="28" t="str">
        <f>IF(SUMIF($A$4:$A457,$A459,AN$4:AN457)=0,"",SUMIF($A$4:$A457,$A459,AN$4:AN457))</f>
        <v/>
      </c>
      <c r="AO459" s="34" t="str">
        <f>IF(SUMIF($A$4:$A457,$A459,AO$4:AO457)=0,"",SUMIF($A$4:$A457,$A459,AO$4:AO457))</f>
        <v/>
      </c>
      <c r="AP459" s="28" t="str">
        <f>IF(SUMIF($A$4:$A457,$A459,AP$4:AP457)=0,"",SUMIF($A$4:$A457,$A459,AP$4:AP457))</f>
        <v/>
      </c>
      <c r="AQ459" s="28" t="str">
        <f>IF(SUMIF($A$4:$A457,$A459,AQ$4:AQ457)=0,"",SUMIF($A$4:$A457,$A459,AQ$4:AQ457))</f>
        <v/>
      </c>
      <c r="AR459" s="34" t="str">
        <f>IF(SUMIF($A$4:$A457,$A459,AR$4:AR457)=0,"",SUMIF($A$4:$A457,$A459,AR$4:AR457))</f>
        <v/>
      </c>
      <c r="AS459" s="805" t="str">
        <f>IF(SUMIF($A$4:$A457,$A459,AS$4:AS457)=0,"",SUMIF($A$4:$A457,$A459,AS$4:AS457))</f>
        <v/>
      </c>
      <c r="AT459" s="805" t="str">
        <f>IF(SUMIF($A$4:$A457,$A459,AT$4:AT457)=0,"",SUMIF($A$4:$A457,$A459,AT$4:AT457))</f>
        <v/>
      </c>
    </row>
    <row r="460" spans="1:46">
      <c r="A460" s="26" t="s">
        <v>3</v>
      </c>
      <c r="B460" s="28"/>
      <c r="C460" s="28"/>
      <c r="D460" s="28"/>
      <c r="E460" s="28"/>
      <c r="F460" s="28"/>
      <c r="G460" s="28"/>
      <c r="H460" s="28">
        <f>IF(SUMIF($A$4:$A458,$A460,H$4:H458)=0,"",SUMIF($A$4:$A458,$A460,H$4:H458))</f>
        <v>4</v>
      </c>
      <c r="I460" s="28">
        <f>IF(SUMIF($A$4:$A458,$A460,I$4:I458)=0,"",SUMIF($A$4:$A458,$A460,I$4:I458))</f>
        <v>4</v>
      </c>
      <c r="J460" s="28">
        <f>IF(SUMIF($A$4:$A458,$A460,J$4:J458)=0,"",SUMIF($A$4:$A458,$A460,J$4:J458))</f>
        <v>1</v>
      </c>
      <c r="K460" s="28">
        <f>IF(SUMIF($A$4:$A458,$A460,K$4:K458)=0,"",SUMIF($A$4:$A458,$A460,K$4:K458))</f>
        <v>5</v>
      </c>
      <c r="L460" s="28">
        <f>IF(SUMIF($A$4:$A458,$A460,L$4:L458)=0,"",SUMIF($A$4:$A458,$A460,L$4:L458))</f>
        <v>3</v>
      </c>
      <c r="M460" s="28">
        <f>IF(SUMIF($A$4:$A458,$A460,M$4:M458)=0,"",SUMIF($A$4:$A458,$A460,M$4:M458))</f>
        <v>5</v>
      </c>
      <c r="N460" s="28">
        <f>IF(SUMIF($A$4:$A458,$A460,N$4:N458)=0,"",SUMIF($A$4:$A458,$A460,N$4:N458))</f>
        <v>2</v>
      </c>
      <c r="O460" s="28">
        <f>IF(SUMIF($A$4:$A458,$A460,O$4:O458)=0,"",SUMIF($A$4:$A458,$A460,O$4:O458))</f>
        <v>4</v>
      </c>
      <c r="P460" s="34"/>
      <c r="Q460" s="28">
        <f>IF(SUMIF($A$4:$A458,$A460,Q$4:Q458)=0,"",SUMIF($A$4:$A458,$A460,Q$4:Q458))</f>
        <v>3</v>
      </c>
      <c r="R460" s="34" t="str">
        <f>IF(SUMIF($A$4:$A458,$A460,R$4:R458)=0,"",SUMIF($A$4:$A458,$A460,R$4:R458))</f>
        <v/>
      </c>
      <c r="S460" s="28">
        <f>IF(SUMIF($A$4:$A458,$A460,S$4:S458)=0,"",SUMIF($A$4:$A458,$A460,S$4:S458))</f>
        <v>4</v>
      </c>
      <c r="T460" s="28">
        <f>IF(SUMIF($A$4:$A458,$A460,T$4:T458)=0,"",SUMIF($A$4:$A458,$A460,T$4:T458))</f>
        <v>4</v>
      </c>
      <c r="U460" s="28" t="str">
        <f>IF(SUMIF($A$4:$A458,$A460,U$4:U458)=0,"",SUMIF($A$4:$A458,$A460,U$4:U458))</f>
        <v/>
      </c>
      <c r="V460" s="28">
        <f>IF(SUMIF($A$4:$A458,$A460,V$4:V458)=0,"",SUMIF($A$4:$A458,$A460,V$4:V458))</f>
        <v>2</v>
      </c>
      <c r="W460" s="28">
        <f>IF(SUMIF($A$4:$A458,$A460,W$4:W458)=0,"",SUMIF($A$4:$A458,$A460,W$4:W458))</f>
        <v>3</v>
      </c>
      <c r="X460" s="28">
        <f>IF(SUMIF($A$4:$A458,$A460,X$4:X458)=0,"",SUMIF($A$4:$A458,$A460,X$4:X458))</f>
        <v>3</v>
      </c>
      <c r="Y460" s="28">
        <f>IF(SUMIF($A$4:$A458,$A460,Y$4:Y458)=0,"",SUMIF($A$4:$A458,$A460,Y$4:Y458))</f>
        <v>2</v>
      </c>
      <c r="Z460" s="28">
        <f>IF(SUMIF($A$4:$A458,$A460,Z$4:Z458)=0,"",SUMIF($A$4:$A458,$A460,Z$4:Z458))</f>
        <v>2</v>
      </c>
      <c r="AA460" s="28">
        <f>IF(SUMIF($A$4:$A458,$A460,AA$4:AA458)=0,"",SUMIF($A$4:$A458,$A460,AA$4:AA458))</f>
        <v>4</v>
      </c>
      <c r="AB460" s="28">
        <f>IF(SUMIF($A$4:$A458,$A460,AB$4:AB458)=0,"",SUMIF($A$4:$A458,$A460,AB$4:AB458))</f>
        <v>1</v>
      </c>
      <c r="AC460" s="34" t="str">
        <f>IF(SUMIF($A$4:$A458,$A460,AC$4:AC458)=0,"",SUMIF($A$4:$A458,$A460,AC$4:AC458))</f>
        <v/>
      </c>
      <c r="AD460" s="28">
        <f>IF(SUMIF($A$4:$A458,$A460,AD$4:AD458)=0,"",SUMIF($A$4:$A458,$A460,AD$4:AD458))</f>
        <v>2</v>
      </c>
      <c r="AE460" s="28">
        <f>IF(SUMIF($A$4:$A458,$A460,AE$4:AE458)=0,"",SUMIF($A$4:$A458,$A460,AE$4:AE458))</f>
        <v>7</v>
      </c>
      <c r="AF460" s="28">
        <f>IF(SUMIF($A$4:$A458,$A460,AF$4:AF458)=0,"",SUMIF($A$4:$A458,$A460,AF$4:AF458))</f>
        <v>4</v>
      </c>
      <c r="AG460" s="28" t="str">
        <f>IF(SUMIF($A$4:$A458,$A460,AG$4:AG458)=0,"",SUMIF($A$4:$A458,$A460,AG$4:AG458))</f>
        <v/>
      </c>
      <c r="AH460" s="28" t="str">
        <f>IF(SUMIF($A$4:$A458,$A460,AH$4:AH458)=0,"",SUMIF($A$4:$A458,$A460,AH$4:AH458))</f>
        <v/>
      </c>
      <c r="AI460" s="28" t="str">
        <f>IF(SUMIF($A$4:$A458,$A460,AI$4:AI458)=0,"",SUMIF($A$4:$A458,$A460,AI$4:AI458))</f>
        <v/>
      </c>
      <c r="AJ460" s="28" t="str">
        <f>IF(SUMIF($A$4:$A458,$A460,AJ$4:AJ458)=0,"",SUMIF($A$4:$A458,$A460,AJ$4:AJ458))</f>
        <v/>
      </c>
      <c r="AK460" s="34" t="str">
        <f>IF(SUMIF($A$4:$A458,$A460,AK$4:AK458)=0,"",SUMIF($A$4:$A458,$A460,AK$4:AK458))</f>
        <v/>
      </c>
      <c r="AL460" s="34" t="str">
        <f>IF(SUMIF($A$4:$A458,$A460,AL$4:AL458)=0,"",SUMIF($A$4:$A458,$A460,AL$4:AL458))</f>
        <v/>
      </c>
      <c r="AM460" s="28" t="str">
        <f>IF(SUMIF($A$4:$A458,$A460,AM$4:AM458)=0,"",SUMIF($A$4:$A458,$A460,AM$4:AM458))</f>
        <v/>
      </c>
      <c r="AN460" s="28" t="str">
        <f>IF(SUMIF($A$4:$A458,$A460,AN$4:AN458)=0,"",SUMIF($A$4:$A458,$A460,AN$4:AN458))</f>
        <v/>
      </c>
      <c r="AO460" s="34" t="str">
        <f>IF(SUMIF($A$4:$A458,$A460,AO$4:AO458)=0,"",SUMIF($A$4:$A458,$A460,AO$4:AO458))</f>
        <v/>
      </c>
      <c r="AP460" s="28" t="str">
        <f>IF(SUMIF($A$4:$A458,$A460,AP$4:AP458)=0,"",SUMIF($A$4:$A458,$A460,AP$4:AP458))</f>
        <v/>
      </c>
      <c r="AQ460" s="28" t="str">
        <f>IF(SUMIF($A$4:$A458,$A460,AQ$4:AQ458)=0,"",SUMIF($A$4:$A458,$A460,AQ$4:AQ458))</f>
        <v/>
      </c>
      <c r="AR460" s="34" t="str">
        <f>IF(SUMIF($A$4:$A458,$A460,AR$4:AR458)=0,"",SUMIF($A$4:$A458,$A460,AR$4:AR458))</f>
        <v/>
      </c>
      <c r="AS460" s="805" t="str">
        <f>IF(SUMIF($A$4:$A458,$A460,AS$4:AS458)=0,"",SUMIF($A$4:$A458,$A460,AS$4:AS458))</f>
        <v/>
      </c>
      <c r="AT460" s="805" t="str">
        <f>IF(SUMIF($A$4:$A458,$A460,AT$4:AT458)=0,"",SUMIF($A$4:$A458,$A460,AT$4:AT458))</f>
        <v/>
      </c>
    </row>
    <row r="461" spans="1:46" ht="14.95" thickBot="1">
      <c r="A461" s="27" t="s">
        <v>4</v>
      </c>
      <c r="B461" s="36"/>
      <c r="C461" s="36"/>
      <c r="D461" s="36"/>
      <c r="E461" s="36"/>
      <c r="F461" s="36"/>
      <c r="G461" s="36"/>
      <c r="H461" s="36">
        <f>IF(SUMIF($A$4:$A459,$A461,H$4:H459)=0,"",SUMIF($A$4:$A459,$A461,H$4:H459))</f>
        <v>29</v>
      </c>
      <c r="I461" s="36">
        <f>IF(SUMIF($A$4:$A459,$A461,I$4:I459)=0,"",SUMIF($A$4:$A459,$A461,I$4:I459))</f>
        <v>24</v>
      </c>
      <c r="J461" s="36">
        <f>IF(SUMIF($A$4:$A459,$A461,J$4:J459)=0,"",SUMIF($A$4:$A459,$A461,J$4:J459))</f>
        <v>10</v>
      </c>
      <c r="K461" s="36">
        <f>IF(SUMIF($A$4:$A459,$A461,K$4:K459)=0,"",SUMIF($A$4:$A459,$A461,K$4:K459))</f>
        <v>35</v>
      </c>
      <c r="L461" s="36">
        <f>IF(SUMIF($A$4:$A459,$A461,L$4:L459)=0,"",SUMIF($A$4:$A459,$A461,L$4:L459))</f>
        <v>17</v>
      </c>
      <c r="M461" s="36">
        <f>IF(SUMIF($A$4:$A459,$A461,M$4:M459)=0,"",SUMIF($A$4:$A459,$A461,M$4:M459))</f>
        <v>34</v>
      </c>
      <c r="N461" s="36">
        <f>IF(SUMIF($A$4:$A459,$A461,N$4:N459)=0,"",SUMIF($A$4:$A459,$A461,N$4:N459))</f>
        <v>12</v>
      </c>
      <c r="O461" s="36">
        <f>IF(SUMIF($A$4:$A459,$A461,O$4:O459)=0,"",SUMIF($A$4:$A459,$A461,O$4:O459))</f>
        <v>29</v>
      </c>
      <c r="P461" s="37"/>
      <c r="Q461" s="36">
        <f>IF(SUMIF($A$4:$A459,$A461,Q$4:Q459)=0,"",SUMIF($A$4:$A459,$A461,Q$4:Q459))</f>
        <v>19</v>
      </c>
      <c r="R461" s="37" t="str">
        <f>IF(SUMIF($A$4:$A459,$A461,R$4:R459)=0,"",SUMIF($A$4:$A459,$A461,R$4:R459))</f>
        <v/>
      </c>
      <c r="S461" s="36">
        <f>IF(SUMIF($A$4:$A459,$A461,S$4:S459)=0,"",SUMIF($A$4:$A459,$A461,S$4:S459))</f>
        <v>26</v>
      </c>
      <c r="T461" s="36">
        <f>IF(SUMIF($A$4:$A459,$A461,T$4:T459)=0,"",SUMIF($A$4:$A459,$A461,T$4:T459))</f>
        <v>34</v>
      </c>
      <c r="U461" s="36">
        <f>IF(SUMIF($A$4:$A459,$A461,U$4:U459)=0,"",SUMIF($A$4:$A459,$A461,U$4:U459))</f>
        <v>3</v>
      </c>
      <c r="V461" s="36">
        <f>IF(SUMIF($A$4:$A459,$A461,V$4:V459)=0,"",SUMIF($A$4:$A459,$A461,V$4:V459))</f>
        <v>14</v>
      </c>
      <c r="W461" s="36">
        <f>IF(SUMIF($A$4:$A459,$A461,W$4:W459)=0,"",SUMIF($A$4:$A459,$A461,W$4:W459))</f>
        <v>21</v>
      </c>
      <c r="X461" s="36">
        <f>IF(SUMIF($A$4:$A459,$A461,X$4:X459)=0,"",SUMIF($A$4:$A459,$A461,X$4:X459))</f>
        <v>19</v>
      </c>
      <c r="Y461" s="36">
        <f>IF(SUMIF($A$4:$A459,$A461,Y$4:Y459)=0,"",SUMIF($A$4:$A459,$A461,Y$4:Y459))</f>
        <v>24</v>
      </c>
      <c r="Z461" s="36">
        <f>IF(SUMIF($A$4:$A459,$A461,Z$4:Z459)=0,"",SUMIF($A$4:$A459,$A461,Z$4:Z459))</f>
        <v>14</v>
      </c>
      <c r="AA461" s="36">
        <f>IF(SUMIF($A$4:$A459,$A461,AA$4:AA459)=0,"",SUMIF($A$4:$A459,$A461,AA$4:AA459))</f>
        <v>26</v>
      </c>
      <c r="AB461" s="36">
        <f>IF(SUMIF($A$4:$A459,$A461,AB$4:AB459)=0,"",SUMIF($A$4:$A459,$A461,AB$4:AB459))</f>
        <v>16</v>
      </c>
      <c r="AC461" s="37" t="str">
        <f>IF(SUMIF($A$4:$A459,$A461,AC$4:AC459)=0,"",SUMIF($A$4:$A459,$A461,AC$4:AC459))</f>
        <v/>
      </c>
      <c r="AD461" s="36">
        <f>IF(SUMIF($A$4:$A459,$A461,AD$4:AD459)=0,"",SUMIF($A$4:$A459,$A461,AD$4:AD459))</f>
        <v>14</v>
      </c>
      <c r="AE461" s="36">
        <f>IF(SUMIF($A$4:$A459,$A461,AE$4:AE459)=0,"",SUMIF($A$4:$A459,$A461,AE$4:AE459))</f>
        <v>43</v>
      </c>
      <c r="AF461" s="36">
        <f>IF(SUMIF($A$4:$A459,$A461,AF$4:AF459)=0,"",SUMIF($A$4:$A459,$A461,AF$4:AF459))</f>
        <v>26</v>
      </c>
      <c r="AG461" s="36" t="str">
        <f>IF(SUMIF($A$4:$A459,$A461,AG$4:AG459)=0,"",SUMIF($A$4:$A459,$A461,AG$4:AG459))</f>
        <v/>
      </c>
      <c r="AH461" s="36" t="str">
        <f>IF(SUMIF($A$4:$A459,$A461,AH$4:AH459)=0,"",SUMIF($A$4:$A459,$A461,AH$4:AH459))</f>
        <v/>
      </c>
      <c r="AI461" s="36" t="str">
        <f>IF(SUMIF($A$4:$A459,$A461,AI$4:AI459)=0,"",SUMIF($A$4:$A459,$A461,AI$4:AI459))</f>
        <v/>
      </c>
      <c r="AJ461" s="36" t="str">
        <f>IF(SUMIF($A$4:$A459,$A461,AJ$4:AJ459)=0,"",SUMIF($A$4:$A459,$A461,AJ$4:AJ459))</f>
        <v/>
      </c>
      <c r="AK461" s="37" t="str">
        <f>IF(SUMIF($A$4:$A459,$A461,AK$4:AK459)=0,"",SUMIF($A$4:$A459,$A461,AK$4:AK459))</f>
        <v/>
      </c>
      <c r="AL461" s="37" t="str">
        <f>IF(SUMIF($A$4:$A459,$A461,AL$4:AL459)=0,"",SUMIF($A$4:$A459,$A461,AL$4:AL459))</f>
        <v/>
      </c>
      <c r="AM461" s="36" t="str">
        <f>IF(SUMIF($A$4:$A459,$A461,AM$4:AM459)=0,"",SUMIF($A$4:$A459,$A461,AM$4:AM459))</f>
        <v/>
      </c>
      <c r="AN461" s="36" t="str">
        <f>IF(SUMIF($A$4:$A459,$A461,AN$4:AN459)=0,"",SUMIF($A$4:$A459,$A461,AN$4:AN459))</f>
        <v/>
      </c>
      <c r="AO461" s="37" t="str">
        <f>IF(SUMIF($A$4:$A459,$A461,AO$4:AO459)=0,"",SUMIF($A$4:$A459,$A461,AO$4:AO459))</f>
        <v/>
      </c>
      <c r="AP461" s="36" t="str">
        <f>IF(SUMIF($A$4:$A459,$A461,AP$4:AP459)=0,"",SUMIF($A$4:$A459,$A461,AP$4:AP459))</f>
        <v/>
      </c>
      <c r="AQ461" s="36" t="str">
        <f>IF(SUMIF($A$4:$A459,$A461,AQ$4:AQ459)=0,"",SUMIF($A$4:$A459,$A461,AQ$4:AQ459))</f>
        <v/>
      </c>
      <c r="AR461" s="37" t="str">
        <f>IF(SUMIF($A$4:$A459,$A461,AR$4:AR459)=0,"",SUMIF($A$4:$A459,$A461,AR$4:AR459))</f>
        <v/>
      </c>
      <c r="AS461" s="806" t="str">
        <f>IF(SUMIF($A$4:$A459,$A461,AS$4:AS459)=0,"",SUMIF($A$4:$A459,$A461,AS$4:AS459))</f>
        <v/>
      </c>
      <c r="AT461" s="806" t="str">
        <f>IF(SUMIF($A$4:$A459,$A461,AT$4:AT459)=0,"",SUMIF($A$4:$A459,$A461,AT$4:AT459))</f>
        <v/>
      </c>
    </row>
    <row r="462" spans="1:46">
      <c r="A462" s="3" t="s">
        <v>879</v>
      </c>
      <c r="U462" s="15" t="s">
        <v>809</v>
      </c>
      <c r="AK462" s="15"/>
    </row>
    <row r="463" spans="1:46">
      <c r="A463" s="3" t="s">
        <v>972</v>
      </c>
    </row>
    <row r="464" spans="1:46" ht="16.3">
      <c r="A464" s="528" t="s">
        <v>7</v>
      </c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</row>
    <row r="467" spans="1:4">
      <c r="A467" s="2"/>
    </row>
    <row r="468" spans="1:4">
      <c r="A468" s="2"/>
    </row>
    <row r="469" spans="1:4">
      <c r="A469" s="2"/>
    </row>
    <row r="470" spans="1:4">
      <c r="A470" s="2"/>
    </row>
    <row r="471" spans="1:4">
      <c r="A471" s="2"/>
    </row>
    <row r="472" spans="1:4">
      <c r="A472" s="2"/>
    </row>
    <row r="473" spans="1:4">
      <c r="A473" s="2"/>
    </row>
    <row r="474" spans="1:4">
      <c r="A474" s="2"/>
    </row>
    <row r="475" spans="1:4">
      <c r="A475" s="2"/>
    </row>
    <row r="476" spans="1:4">
      <c r="A476" s="2"/>
    </row>
    <row r="477" spans="1:4">
      <c r="A477" s="3" t="s">
        <v>0</v>
      </c>
    </row>
  </sheetData>
  <mergeCells count="8">
    <mergeCell ref="B450:C450"/>
    <mergeCell ref="D450:E450"/>
    <mergeCell ref="F450:G450"/>
    <mergeCell ref="A1:A3"/>
    <mergeCell ref="B1:G1"/>
    <mergeCell ref="B2:C2"/>
    <mergeCell ref="D2:E2"/>
    <mergeCell ref="F2:G2"/>
  </mergeCells>
  <conditionalFormatting sqref="B436:C438 B435">
    <cfRule type="top10" dxfId="0" priority="1" percent="1" rank="10"/>
  </conditionalFormatting>
  <pageMargins left="0.7" right="0.7" top="0.75" bottom="0.75" header="0.3" footer="0.3"/>
  <pageSetup paperSize="9" orientation="portrait" r:id="rId1"/>
  <ignoredErrors>
    <ignoredError sqref="B385:C446 B151:C182 B231 B270:C271 B107:C144 B148 B340:C358 B322:C338 D452:D455 B360:C383 B7:C81 B278:C309 B319 B275 B234:C268 B313 B188:C227 B83:C105 C8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524"/>
  <sheetViews>
    <sheetView workbookViewId="0">
      <pane xSplit="7" ySplit="3" topLeftCell="W4" activePane="bottomRight" state="frozen"/>
      <selection pane="topRight" activeCell="H1" sqref="H1"/>
      <selection pane="bottomLeft" activeCell="A4" sqref="A4"/>
      <selection pane="bottomRight" activeCell="AF13" sqref="AF13"/>
    </sheetView>
  </sheetViews>
  <sheetFormatPr defaultColWidth="8.875" defaultRowHeight="14.3"/>
  <cols>
    <col min="1" max="1" width="42.375" bestFit="1" customWidth="1"/>
    <col min="2" max="7" width="5.625" customWidth="1"/>
    <col min="8" max="39" width="9.875" customWidth="1"/>
  </cols>
  <sheetData>
    <row r="1" spans="1:48" ht="17" thickBot="1">
      <c r="A1" s="901" t="s">
        <v>513</v>
      </c>
      <c r="B1" s="904" t="s">
        <v>347</v>
      </c>
      <c r="C1" s="905"/>
      <c r="D1" s="905"/>
      <c r="E1" s="905"/>
      <c r="F1" s="905"/>
      <c r="G1" s="906"/>
      <c r="H1" s="22" t="s">
        <v>529</v>
      </c>
      <c r="I1" s="22" t="s">
        <v>530</v>
      </c>
      <c r="J1" s="22" t="s">
        <v>531</v>
      </c>
      <c r="K1" s="22" t="s">
        <v>532</v>
      </c>
      <c r="L1" s="22" t="s">
        <v>533</v>
      </c>
      <c r="M1" s="22" t="s">
        <v>534</v>
      </c>
      <c r="N1" s="22" t="s">
        <v>535</v>
      </c>
      <c r="O1" s="22" t="s">
        <v>436</v>
      </c>
      <c r="P1" s="22" t="s">
        <v>9</v>
      </c>
      <c r="Q1" s="22" t="s">
        <v>536</v>
      </c>
      <c r="R1" s="22" t="s">
        <v>9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9</v>
      </c>
      <c r="AC1" s="22" t="s">
        <v>542</v>
      </c>
      <c r="AD1" s="22" t="s">
        <v>543</v>
      </c>
      <c r="AE1" s="22" t="s">
        <v>544</v>
      </c>
      <c r="AF1" s="22" t="s">
        <v>545</v>
      </c>
      <c r="AG1" s="22" t="s">
        <v>9</v>
      </c>
      <c r="AH1" s="22" t="s">
        <v>9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902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41153</v>
      </c>
      <c r="I2" s="42">
        <v>43709</v>
      </c>
      <c r="J2" s="4">
        <v>46266</v>
      </c>
      <c r="K2" s="4">
        <v>38261</v>
      </c>
      <c r="L2" s="5">
        <v>41183</v>
      </c>
      <c r="M2" s="5">
        <v>43739</v>
      </c>
      <c r="N2" s="5">
        <v>45931</v>
      </c>
      <c r="O2" s="42">
        <v>37196</v>
      </c>
      <c r="P2" s="56">
        <v>39753</v>
      </c>
      <c r="Q2" s="41">
        <v>42675</v>
      </c>
      <c r="R2" s="56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9832</v>
      </c>
      <c r="X2" s="5">
        <v>37622</v>
      </c>
      <c r="Y2" s="38">
        <v>40544</v>
      </c>
      <c r="Z2" s="38">
        <v>43101</v>
      </c>
      <c r="AA2" s="4">
        <v>45292</v>
      </c>
      <c r="AB2" s="56">
        <v>11324</v>
      </c>
      <c r="AC2" s="41">
        <v>39114</v>
      </c>
      <c r="AD2" s="41">
        <v>41306</v>
      </c>
      <c r="AE2" s="41">
        <v>44228</v>
      </c>
      <c r="AF2" s="41">
        <v>46784</v>
      </c>
      <c r="AG2" s="56">
        <v>39508</v>
      </c>
      <c r="AH2" s="56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903"/>
      <c r="B3" s="68" t="s">
        <v>356</v>
      </c>
      <c r="C3" s="64" t="s">
        <v>349</v>
      </c>
      <c r="D3" s="68" t="s">
        <v>356</v>
      </c>
      <c r="E3" s="61" t="s">
        <v>349</v>
      </c>
      <c r="F3" s="68" t="s">
        <v>356</v>
      </c>
      <c r="G3" s="70" t="s">
        <v>349</v>
      </c>
      <c r="H3" s="74" t="s">
        <v>593</v>
      </c>
      <c r="I3" s="23" t="s">
        <v>652</v>
      </c>
      <c r="J3" s="546" t="s">
        <v>687</v>
      </c>
      <c r="K3" s="80" t="s">
        <v>403</v>
      </c>
      <c r="L3" s="24" t="s">
        <v>388</v>
      </c>
      <c r="M3" s="577" t="s">
        <v>722</v>
      </c>
      <c r="N3" s="24" t="s">
        <v>728</v>
      </c>
      <c r="O3" s="577" t="s">
        <v>694</v>
      </c>
      <c r="P3" s="7"/>
      <c r="Q3" s="21" t="s">
        <v>388</v>
      </c>
      <c r="R3" s="413"/>
      <c r="S3" s="10" t="s">
        <v>390</v>
      </c>
      <c r="T3" s="10" t="s">
        <v>852</v>
      </c>
      <c r="U3" s="286" t="s">
        <v>882</v>
      </c>
      <c r="V3" s="21" t="s">
        <v>893</v>
      </c>
      <c r="W3" s="10" t="s">
        <v>392</v>
      </c>
      <c r="X3" s="10" t="s">
        <v>694</v>
      </c>
      <c r="Y3" s="9" t="s">
        <v>939</v>
      </c>
      <c r="Z3" s="11" t="s">
        <v>849</v>
      </c>
      <c r="AA3" s="21" t="s">
        <v>652</v>
      </c>
      <c r="AB3" s="413"/>
      <c r="AC3" s="11" t="s">
        <v>396</v>
      </c>
      <c r="AD3" s="21" t="s">
        <v>639</v>
      </c>
      <c r="AE3" s="11" t="s">
        <v>403</v>
      </c>
      <c r="AF3" s="9" t="s">
        <v>728</v>
      </c>
      <c r="AG3" s="9"/>
      <c r="AH3" s="9"/>
      <c r="AI3" s="6"/>
      <c r="AJ3" s="10"/>
      <c r="AK3" s="55"/>
      <c r="AL3" s="54"/>
      <c r="AM3" s="23"/>
      <c r="AN3" s="10"/>
      <c r="AO3" s="55"/>
      <c r="AP3" s="9"/>
      <c r="AQ3" s="9"/>
      <c r="AR3" s="465"/>
      <c r="AS3" s="10"/>
      <c r="AT3" s="9"/>
      <c r="AV3" s="465"/>
    </row>
    <row r="4" spans="1:48" ht="21.1">
      <c r="A4" s="89" t="s">
        <v>36</v>
      </c>
      <c r="B4" s="219"/>
      <c r="C4" s="214"/>
      <c r="D4" s="133"/>
      <c r="E4" s="134"/>
      <c r="F4" s="135"/>
      <c r="G4" s="136"/>
      <c r="H4" s="96"/>
      <c r="I4" s="96" t="s">
        <v>379</v>
      </c>
      <c r="J4" s="122">
        <v>15</v>
      </c>
      <c r="K4" s="128">
        <v>15</v>
      </c>
      <c r="L4" s="75">
        <v>15</v>
      </c>
      <c r="M4" s="75">
        <v>15</v>
      </c>
      <c r="N4" s="75" t="s">
        <v>771</v>
      </c>
      <c r="O4" s="96" t="s">
        <v>339</v>
      </c>
      <c r="P4" s="163"/>
      <c r="Q4" s="99" t="s">
        <v>339</v>
      </c>
      <c r="R4" s="98"/>
      <c r="S4" s="100" t="s">
        <v>339</v>
      </c>
      <c r="T4" s="110" t="s">
        <v>339</v>
      </c>
      <c r="U4" s="110" t="s">
        <v>339</v>
      </c>
      <c r="V4" s="102" t="s">
        <v>339</v>
      </c>
      <c r="W4" s="102" t="s">
        <v>339</v>
      </c>
      <c r="X4" s="102" t="s">
        <v>339</v>
      </c>
      <c r="Y4" s="101" t="s">
        <v>379</v>
      </c>
      <c r="Z4" s="101" t="s">
        <v>379</v>
      </c>
      <c r="AA4" s="102" t="s">
        <v>379</v>
      </c>
      <c r="AB4" s="98"/>
      <c r="AC4" s="99"/>
      <c r="AD4" s="99"/>
      <c r="AE4" s="99"/>
      <c r="AF4" s="99"/>
      <c r="AG4" s="98"/>
      <c r="AH4" s="98"/>
      <c r="AI4" s="102"/>
      <c r="AJ4" s="102"/>
      <c r="AK4" s="101"/>
      <c r="AL4" s="101"/>
      <c r="AM4" s="102"/>
      <c r="AN4" s="102"/>
      <c r="AO4" s="102"/>
      <c r="AP4" s="102"/>
      <c r="AQ4" s="102"/>
      <c r="AR4" s="102"/>
      <c r="AS4" s="102"/>
      <c r="AT4" s="102"/>
      <c r="AU4" s="466"/>
      <c r="AV4" s="102"/>
    </row>
    <row r="5" spans="1:48" ht="16.3">
      <c r="A5" s="611" t="s">
        <v>1</v>
      </c>
      <c r="B5" s="221">
        <f>SUM(J5+K5+L5+M5+N5+S5+V5+W5+X5+AA5+AI5+AJ5+AI5+AM5+AP5+AQ5+AS5+AT5+AU5+AV5+AN5)+68</f>
        <v>74</v>
      </c>
      <c r="C5" s="215">
        <f>B5</f>
        <v>74</v>
      </c>
      <c r="D5" s="133"/>
      <c r="E5" s="134"/>
      <c r="F5" s="135"/>
      <c r="G5" s="136"/>
      <c r="H5" s="96"/>
      <c r="I5" s="96">
        <v>1</v>
      </c>
      <c r="J5" s="128">
        <v>1</v>
      </c>
      <c r="K5" s="104">
        <v>1</v>
      </c>
      <c r="L5" s="75">
        <v>1</v>
      </c>
      <c r="M5" s="75">
        <v>1</v>
      </c>
      <c r="N5" s="75">
        <v>1</v>
      </c>
      <c r="O5" s="96"/>
      <c r="P5" s="105"/>
      <c r="Q5" s="96"/>
      <c r="R5" s="105"/>
      <c r="S5" s="75"/>
      <c r="T5" s="106"/>
      <c r="U5" s="106"/>
      <c r="V5" s="75"/>
      <c r="W5" s="75"/>
      <c r="X5" s="75"/>
      <c r="Y5" s="106">
        <v>1</v>
      </c>
      <c r="Z5" s="106">
        <v>1</v>
      </c>
      <c r="AA5" s="75">
        <v>1</v>
      </c>
      <c r="AB5" s="105"/>
      <c r="AC5" s="96"/>
      <c r="AD5" s="96"/>
      <c r="AE5" s="96"/>
      <c r="AF5" s="96"/>
      <c r="AG5" s="105"/>
      <c r="AH5" s="105"/>
      <c r="AI5" s="75"/>
      <c r="AJ5" s="75"/>
      <c r="AK5" s="106"/>
      <c r="AL5" s="106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8" ht="16.3">
      <c r="A6" s="611" t="s">
        <v>2</v>
      </c>
      <c r="B6" s="221">
        <f>SUM(J6+K6+L6+M6+N6+S6+V6+W6+X6+AA6+AI6+AJ6+AI6+AM6+AP6+AQ6+AS6+AT6+AU6+AV6)+6</f>
        <v>6</v>
      </c>
      <c r="C6" s="215">
        <f t="shared" ref="C6:C10" si="0">B6</f>
        <v>6</v>
      </c>
      <c r="D6" s="133"/>
      <c r="E6" s="134"/>
      <c r="F6" s="135"/>
      <c r="G6" s="136"/>
      <c r="H6" s="96"/>
      <c r="I6" s="96"/>
      <c r="J6" s="128"/>
      <c r="K6" s="104"/>
      <c r="L6" s="75"/>
      <c r="M6" s="75"/>
      <c r="N6" s="75"/>
      <c r="O6" s="96"/>
      <c r="P6" s="163"/>
      <c r="Q6" s="109"/>
      <c r="R6" s="108"/>
      <c r="S6" s="100"/>
      <c r="T6" s="110"/>
      <c r="U6" s="110"/>
      <c r="V6" s="100"/>
      <c r="W6" s="100"/>
      <c r="X6" s="100"/>
      <c r="Y6" s="110"/>
      <c r="Z6" s="110"/>
      <c r="AA6" s="100"/>
      <c r="AB6" s="108"/>
      <c r="AC6" s="109"/>
      <c r="AD6" s="109"/>
      <c r="AE6" s="109"/>
      <c r="AF6" s="109"/>
      <c r="AG6" s="108"/>
      <c r="AH6" s="108"/>
      <c r="AI6" s="100"/>
      <c r="AJ6" s="100"/>
      <c r="AK6" s="110"/>
      <c r="AL6" s="110"/>
      <c r="AM6" s="100"/>
      <c r="AN6" s="100"/>
      <c r="AO6" s="100"/>
      <c r="AP6" s="100"/>
      <c r="AQ6" s="100"/>
      <c r="AR6" s="100"/>
      <c r="AS6" s="100"/>
      <c r="AT6" s="100"/>
      <c r="AU6" s="100"/>
      <c r="AV6" s="100"/>
    </row>
    <row r="7" spans="1:48" ht="16.3">
      <c r="A7" s="91" t="s">
        <v>363</v>
      </c>
      <c r="B7" s="219">
        <f>SUM(B5+B6)</f>
        <v>80</v>
      </c>
      <c r="C7" s="214">
        <f t="shared" si="0"/>
        <v>80</v>
      </c>
      <c r="D7" s="133"/>
      <c r="E7" s="134"/>
      <c r="F7" s="135"/>
      <c r="G7" s="136"/>
      <c r="H7" s="96"/>
      <c r="I7" s="96"/>
      <c r="J7" s="128"/>
      <c r="K7" s="104"/>
      <c r="L7" s="75"/>
      <c r="M7" s="75"/>
      <c r="N7" s="75"/>
      <c r="O7" s="96"/>
      <c r="P7" s="163"/>
      <c r="Q7" s="109"/>
      <c r="R7" s="108"/>
      <c r="S7" s="100"/>
      <c r="T7" s="110"/>
      <c r="U7" s="110"/>
      <c r="V7" s="100"/>
      <c r="W7" s="100"/>
      <c r="X7" s="100"/>
      <c r="Y7" s="110"/>
      <c r="Z7" s="110"/>
      <c r="AA7" s="100"/>
      <c r="AB7" s="108"/>
      <c r="AC7" s="109"/>
      <c r="AD7" s="109"/>
      <c r="AE7" s="109"/>
      <c r="AF7" s="109"/>
      <c r="AG7" s="108"/>
      <c r="AH7" s="108"/>
      <c r="AI7" s="100"/>
      <c r="AJ7" s="100"/>
      <c r="AK7" s="110"/>
      <c r="AL7" s="110"/>
      <c r="AM7" s="100"/>
      <c r="AN7" s="100"/>
      <c r="AO7" s="100"/>
      <c r="AP7" s="100"/>
      <c r="AQ7" s="100"/>
      <c r="AR7" s="100"/>
      <c r="AS7" s="100"/>
      <c r="AT7" s="100"/>
      <c r="AU7" s="100"/>
      <c r="AV7" s="100"/>
    </row>
    <row r="8" spans="1:48" ht="16.3">
      <c r="A8" s="611" t="s">
        <v>362</v>
      </c>
      <c r="B8" s="221">
        <f>SUM(J8+K8+L8+M8+N8+S8+V8+W8+X8+AA8+AI8+AJ8+AI8+AM8+AP8+AQ8+AS8+AT8+AU8+AV8)+4</f>
        <v>4</v>
      </c>
      <c r="C8" s="215">
        <f t="shared" si="0"/>
        <v>4</v>
      </c>
      <c r="D8" s="133"/>
      <c r="E8" s="134"/>
      <c r="F8" s="135"/>
      <c r="G8" s="136"/>
      <c r="H8" s="96"/>
      <c r="I8" s="96"/>
      <c r="J8" s="128"/>
      <c r="K8" s="104"/>
      <c r="L8" s="75"/>
      <c r="M8" s="75"/>
      <c r="N8" s="75"/>
      <c r="O8" s="96"/>
      <c r="P8" s="163"/>
      <c r="Q8" s="109"/>
      <c r="R8" s="108"/>
      <c r="S8" s="100"/>
      <c r="T8" s="110"/>
      <c r="U8" s="110"/>
      <c r="V8" s="100"/>
      <c r="W8" s="100"/>
      <c r="X8" s="100"/>
      <c r="Y8" s="110"/>
      <c r="Z8" s="110"/>
      <c r="AA8" s="100"/>
      <c r="AB8" s="108"/>
      <c r="AC8" s="109"/>
      <c r="AD8" s="109"/>
      <c r="AE8" s="109"/>
      <c r="AF8" s="109"/>
      <c r="AG8" s="108"/>
      <c r="AH8" s="108"/>
      <c r="AI8" s="100"/>
      <c r="AJ8" s="100"/>
      <c r="AK8" s="110"/>
      <c r="AL8" s="110"/>
      <c r="AM8" s="100"/>
      <c r="AN8" s="100"/>
      <c r="AO8" s="100"/>
      <c r="AP8" s="100"/>
      <c r="AQ8" s="100"/>
      <c r="AR8" s="100"/>
      <c r="AS8" s="100"/>
      <c r="AT8" s="100"/>
      <c r="AU8" s="100"/>
      <c r="AV8" s="100"/>
    </row>
    <row r="9" spans="1:48" ht="16.3">
      <c r="A9" s="91" t="s">
        <v>3</v>
      </c>
      <c r="B9" s="219">
        <f>SUM(J9+K9+L9+M9+N9+S9+V9+W9+X9+AA9+AI9+AJ9+AI9+AM9+AP9+AQ9+AS9+AT9+AU9+AV9)+22</f>
        <v>26</v>
      </c>
      <c r="C9" s="214">
        <f t="shared" si="0"/>
        <v>26</v>
      </c>
      <c r="D9" s="133"/>
      <c r="E9" s="134"/>
      <c r="F9" s="135"/>
      <c r="G9" s="136"/>
      <c r="H9" s="96"/>
      <c r="I9" s="96"/>
      <c r="J9" s="128">
        <v>1</v>
      </c>
      <c r="K9" s="104"/>
      <c r="L9" s="75">
        <v>1</v>
      </c>
      <c r="M9" s="75"/>
      <c r="N9" s="75">
        <v>2</v>
      </c>
      <c r="O9" s="96"/>
      <c r="P9" s="163"/>
      <c r="Q9" s="109"/>
      <c r="R9" s="108"/>
      <c r="S9" s="100"/>
      <c r="T9" s="110"/>
      <c r="U9" s="110"/>
      <c r="V9" s="100"/>
      <c r="W9" s="100"/>
      <c r="X9" s="100"/>
      <c r="Y9" s="110"/>
      <c r="Z9" s="110">
        <v>1</v>
      </c>
      <c r="AA9" s="100"/>
      <c r="AB9" s="108"/>
      <c r="AC9" s="109"/>
      <c r="AD9" s="109"/>
      <c r="AE9" s="109"/>
      <c r="AF9" s="109"/>
      <c r="AG9" s="108"/>
      <c r="AH9" s="108"/>
      <c r="AI9" s="100"/>
      <c r="AJ9" s="100"/>
      <c r="AK9" s="110"/>
      <c r="AL9" s="110"/>
      <c r="AM9" s="100"/>
      <c r="AN9" s="100"/>
      <c r="AO9" s="100"/>
      <c r="AP9" s="100"/>
      <c r="AQ9" s="100"/>
      <c r="AR9" s="100"/>
      <c r="AS9" s="100"/>
      <c r="AT9" s="100"/>
      <c r="AU9" s="100"/>
      <c r="AV9" s="100"/>
    </row>
    <row r="10" spans="1:48" ht="17" thickBot="1">
      <c r="A10" s="92" t="s">
        <v>4</v>
      </c>
      <c r="B10" s="220">
        <f>SUM(J10+K10+L10+M10+N10+S10+V10+W10+X10+AA10+AI10+AJ10+AI10+AM10+AP10+AQ10+AS10+AT10+AU10+AV10)+110</f>
        <v>130</v>
      </c>
      <c r="C10" s="217">
        <f t="shared" si="0"/>
        <v>130</v>
      </c>
      <c r="D10" s="144"/>
      <c r="E10" s="145"/>
      <c r="F10" s="146"/>
      <c r="G10" s="147"/>
      <c r="H10" s="114"/>
      <c r="I10" s="114"/>
      <c r="J10" s="129">
        <v>5</v>
      </c>
      <c r="K10" s="113"/>
      <c r="L10" s="112">
        <v>5</v>
      </c>
      <c r="M10" s="112"/>
      <c r="N10" s="112">
        <v>10</v>
      </c>
      <c r="O10" s="114"/>
      <c r="P10" s="164"/>
      <c r="Q10" s="118"/>
      <c r="R10" s="117"/>
      <c r="S10" s="116"/>
      <c r="T10" s="120"/>
      <c r="U10" s="119"/>
      <c r="V10" s="116"/>
      <c r="W10" s="116"/>
      <c r="X10" s="116"/>
      <c r="Y10" s="120"/>
      <c r="Z10" s="120">
        <v>5</v>
      </c>
      <c r="AA10" s="116"/>
      <c r="AB10" s="117"/>
      <c r="AC10" s="118"/>
      <c r="AD10" s="118"/>
      <c r="AE10" s="118"/>
      <c r="AF10" s="118"/>
      <c r="AG10" s="117"/>
      <c r="AH10" s="117"/>
      <c r="AI10" s="116"/>
      <c r="AJ10" s="116"/>
      <c r="AK10" s="120"/>
      <c r="AL10" s="120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</row>
    <row r="11" spans="1:48" ht="21.1">
      <c r="A11" s="89" t="s">
        <v>305</v>
      </c>
      <c r="B11" s="219"/>
      <c r="C11" s="214"/>
      <c r="D11" s="133"/>
      <c r="E11" s="134"/>
      <c r="F11" s="135"/>
      <c r="G11" s="136"/>
      <c r="H11" s="96"/>
      <c r="I11" s="96"/>
      <c r="J11" s="128"/>
      <c r="K11" s="104"/>
      <c r="L11" s="75"/>
      <c r="M11" s="75"/>
      <c r="N11" s="75"/>
      <c r="O11" s="96"/>
      <c r="P11" s="163"/>
      <c r="Q11" s="109" t="s">
        <v>375</v>
      </c>
      <c r="R11" s="108"/>
      <c r="S11" s="100"/>
      <c r="T11" s="110"/>
      <c r="U11" s="110"/>
      <c r="V11" s="100"/>
      <c r="W11" s="100"/>
      <c r="X11" s="100"/>
      <c r="Y11" s="110"/>
      <c r="Z11" s="110"/>
      <c r="AA11" s="100"/>
      <c r="AB11" s="108"/>
      <c r="AC11" s="109"/>
      <c r="AD11" s="109"/>
      <c r="AE11" s="109"/>
      <c r="AF11" s="109"/>
      <c r="AG11" s="108"/>
      <c r="AH11" s="108"/>
      <c r="AI11" s="100"/>
      <c r="AJ11" s="100"/>
      <c r="AK11" s="110"/>
      <c r="AL11" s="11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</row>
    <row r="12" spans="1:48" ht="16.3">
      <c r="A12" s="611" t="s">
        <v>1</v>
      </c>
      <c r="B12" s="221">
        <f>SUM(J12+K12+L12+M12+N12+S12+V12+W12+X12+AA12+AI12+AJ12+AI12+AM12+AP12+AQ12+AS12+AT12+AU12+AV12+AN12)</f>
        <v>0</v>
      </c>
      <c r="C12" s="215">
        <f>B12</f>
        <v>0</v>
      </c>
      <c r="D12" s="133"/>
      <c r="E12" s="134"/>
      <c r="F12" s="135"/>
      <c r="G12" s="136"/>
      <c r="H12" s="96"/>
      <c r="I12" s="96"/>
      <c r="J12" s="128"/>
      <c r="K12" s="104"/>
      <c r="L12" s="75"/>
      <c r="M12" s="75"/>
      <c r="N12" s="75"/>
      <c r="O12" s="96"/>
      <c r="P12" s="163"/>
      <c r="Q12" s="109"/>
      <c r="R12" s="108"/>
      <c r="S12" s="100"/>
      <c r="T12" s="110"/>
      <c r="U12" s="110"/>
      <c r="V12" s="100"/>
      <c r="W12" s="100"/>
      <c r="X12" s="100"/>
      <c r="Y12" s="110"/>
      <c r="Z12" s="110"/>
      <c r="AA12" s="100"/>
      <c r="AB12" s="108"/>
      <c r="AC12" s="109"/>
      <c r="AD12" s="109"/>
      <c r="AE12" s="109"/>
      <c r="AF12" s="109"/>
      <c r="AG12" s="108"/>
      <c r="AH12" s="108"/>
      <c r="AI12" s="100"/>
      <c r="AJ12" s="100"/>
      <c r="AK12" s="110"/>
      <c r="AL12" s="11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</row>
    <row r="13" spans="1:48" ht="16.3">
      <c r="A13" s="611" t="s">
        <v>2</v>
      </c>
      <c r="B13" s="221">
        <f>SUM(J13+K13+L13+M13+N13+S13+V13+W13+X13+AA13+AI13+AJ13+AI13+AM13+AP13+AQ13+AS13+AT13+AU13+AV13)</f>
        <v>0</v>
      </c>
      <c r="C13" s="215">
        <f t="shared" ref="C13:C16" si="1">B13</f>
        <v>0</v>
      </c>
      <c r="D13" s="133"/>
      <c r="E13" s="134"/>
      <c r="F13" s="135"/>
      <c r="G13" s="136"/>
      <c r="H13" s="96"/>
      <c r="I13" s="96"/>
      <c r="J13" s="128"/>
      <c r="K13" s="104"/>
      <c r="L13" s="75"/>
      <c r="M13" s="75"/>
      <c r="N13" s="75"/>
      <c r="O13" s="96"/>
      <c r="P13" s="163"/>
      <c r="Q13" s="109">
        <v>1</v>
      </c>
      <c r="R13" s="108"/>
      <c r="S13" s="100"/>
      <c r="T13" s="110"/>
      <c r="U13" s="110"/>
      <c r="V13" s="100"/>
      <c r="W13" s="100"/>
      <c r="X13" s="100"/>
      <c r="Y13" s="110"/>
      <c r="Z13" s="110"/>
      <c r="AA13" s="100"/>
      <c r="AB13" s="108"/>
      <c r="AC13" s="109"/>
      <c r="AD13" s="109"/>
      <c r="AE13" s="109"/>
      <c r="AF13" s="109"/>
      <c r="AG13" s="108"/>
      <c r="AH13" s="108"/>
      <c r="AI13" s="100"/>
      <c r="AJ13" s="100"/>
      <c r="AK13" s="110"/>
      <c r="AL13" s="11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</row>
    <row r="14" spans="1:48" ht="16.3">
      <c r="A14" s="91" t="s">
        <v>363</v>
      </c>
      <c r="B14" s="219">
        <f>SUM(B12+B13)</f>
        <v>0</v>
      </c>
      <c r="C14" s="214">
        <f t="shared" si="1"/>
        <v>0</v>
      </c>
      <c r="D14" s="133"/>
      <c r="E14" s="134"/>
      <c r="F14" s="135"/>
      <c r="G14" s="136"/>
      <c r="H14" s="96"/>
      <c r="I14" s="96"/>
      <c r="J14" s="128"/>
      <c r="K14" s="104"/>
      <c r="L14" s="75"/>
      <c r="M14" s="75"/>
      <c r="N14" s="75"/>
      <c r="O14" s="96"/>
      <c r="P14" s="163"/>
      <c r="Q14" s="109"/>
      <c r="R14" s="108"/>
      <c r="S14" s="100"/>
      <c r="T14" s="110"/>
      <c r="U14" s="110"/>
      <c r="V14" s="100"/>
      <c r="W14" s="100"/>
      <c r="X14" s="100"/>
      <c r="Y14" s="110"/>
      <c r="Z14" s="110"/>
      <c r="AA14" s="100"/>
      <c r="AB14" s="108"/>
      <c r="AC14" s="109"/>
      <c r="AD14" s="109"/>
      <c r="AE14" s="109"/>
      <c r="AF14" s="109"/>
      <c r="AG14" s="108"/>
      <c r="AH14" s="108"/>
      <c r="AI14" s="100"/>
      <c r="AJ14" s="100"/>
      <c r="AK14" s="110"/>
      <c r="AL14" s="11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</row>
    <row r="15" spans="1:48" ht="16.3">
      <c r="A15" s="91" t="s">
        <v>3</v>
      </c>
      <c r="B15" s="219">
        <f>SUM(J15+K15+L15+M15+N15+S15+V15+W15+X15+AA15+AI15+AJ15+AI15+AM15+AP15+AQ15+AS15+AT15+AU15+AV15)</f>
        <v>0</v>
      </c>
      <c r="C15" s="214">
        <f t="shared" si="1"/>
        <v>0</v>
      </c>
      <c r="D15" s="133"/>
      <c r="E15" s="134"/>
      <c r="F15" s="135"/>
      <c r="G15" s="136"/>
      <c r="H15" s="96"/>
      <c r="I15" s="96"/>
      <c r="J15" s="128"/>
      <c r="K15" s="104"/>
      <c r="L15" s="75"/>
      <c r="M15" s="75"/>
      <c r="N15" s="75"/>
      <c r="O15" s="96"/>
      <c r="P15" s="163"/>
      <c r="Q15" s="109"/>
      <c r="R15" s="108"/>
      <c r="S15" s="100"/>
      <c r="T15" s="110"/>
      <c r="U15" s="110"/>
      <c r="V15" s="100"/>
      <c r="W15" s="100"/>
      <c r="X15" s="100"/>
      <c r="Y15" s="110"/>
      <c r="Z15" s="110"/>
      <c r="AA15" s="100"/>
      <c r="AB15" s="108"/>
      <c r="AC15" s="109"/>
      <c r="AD15" s="109"/>
      <c r="AE15" s="109"/>
      <c r="AF15" s="109"/>
      <c r="AG15" s="108"/>
      <c r="AH15" s="108"/>
      <c r="AI15" s="100"/>
      <c r="AJ15" s="100"/>
      <c r="AK15" s="110"/>
      <c r="AL15" s="11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</row>
    <row r="16" spans="1:48" ht="17" thickBot="1">
      <c r="A16" s="92" t="s">
        <v>4</v>
      </c>
      <c r="B16" s="220">
        <f>SUM(J16+K16+L16+M16+N16+S16+V16+W16+X16+AA16+AI16+AJ16+AI16+AM16+AP16+AQ16+AS16+AT16+AU16+AV16)</f>
        <v>0</v>
      </c>
      <c r="C16" s="217">
        <f t="shared" si="1"/>
        <v>0</v>
      </c>
      <c r="D16" s="144"/>
      <c r="E16" s="145"/>
      <c r="F16" s="146"/>
      <c r="G16" s="147"/>
      <c r="H16" s="114"/>
      <c r="I16" s="114"/>
      <c r="J16" s="129"/>
      <c r="K16" s="113"/>
      <c r="L16" s="112"/>
      <c r="M16" s="112"/>
      <c r="N16" s="112"/>
      <c r="O16" s="114"/>
      <c r="P16" s="164"/>
      <c r="Q16" s="118"/>
      <c r="R16" s="117"/>
      <c r="S16" s="116"/>
      <c r="T16" s="120"/>
      <c r="U16" s="120"/>
      <c r="V16" s="116"/>
      <c r="W16" s="116"/>
      <c r="X16" s="116"/>
      <c r="Y16" s="120"/>
      <c r="Z16" s="120"/>
      <c r="AA16" s="116"/>
      <c r="AB16" s="117"/>
      <c r="AC16" s="118"/>
      <c r="AD16" s="118"/>
      <c r="AE16" s="118"/>
      <c r="AF16" s="118"/>
      <c r="AG16" s="117"/>
      <c r="AH16" s="117"/>
      <c r="AI16" s="116"/>
      <c r="AJ16" s="116"/>
      <c r="AK16" s="120"/>
      <c r="AL16" s="120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</row>
    <row r="17" spans="1:48" ht="21.1">
      <c r="A17" s="89" t="s">
        <v>307</v>
      </c>
      <c r="B17" s="219"/>
      <c r="C17" s="214"/>
      <c r="D17" s="133"/>
      <c r="E17" s="134"/>
      <c r="F17" s="135"/>
      <c r="G17" s="136"/>
      <c r="H17" s="96"/>
      <c r="I17" s="96"/>
      <c r="J17" s="128"/>
      <c r="K17" s="104"/>
      <c r="L17" s="75"/>
      <c r="M17" s="75"/>
      <c r="N17" s="75"/>
      <c r="O17" s="96" t="s">
        <v>432</v>
      </c>
      <c r="P17" s="163"/>
      <c r="Q17" s="109" t="s">
        <v>375</v>
      </c>
      <c r="R17" s="108"/>
      <c r="S17" s="100"/>
      <c r="T17" s="110"/>
      <c r="U17" s="110"/>
      <c r="V17" s="100"/>
      <c r="W17" s="100"/>
      <c r="X17" s="100"/>
      <c r="Y17" s="110"/>
      <c r="Z17" s="110"/>
      <c r="AA17" s="100"/>
      <c r="AB17" s="108"/>
      <c r="AC17" s="109">
        <v>15</v>
      </c>
      <c r="AD17" s="109">
        <v>15</v>
      </c>
      <c r="AE17" s="109">
        <v>15</v>
      </c>
      <c r="AF17" s="109"/>
      <c r="AG17" s="108"/>
      <c r="AH17" s="108"/>
      <c r="AI17" s="100"/>
      <c r="AJ17" s="100"/>
      <c r="AK17" s="110"/>
      <c r="AL17" s="11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</row>
    <row r="18" spans="1:48" ht="16.3">
      <c r="A18" s="611" t="s">
        <v>1</v>
      </c>
      <c r="B18" s="221">
        <f>SUM(J18+K18+L18+M18+N18+S18+V18+W18+X18+AA18+AI18+AJ18+AI18+AM18+AP18+AQ18+AS18+AT18+AU18+AV18+AN18)</f>
        <v>0</v>
      </c>
      <c r="C18" s="215">
        <f>B18</f>
        <v>0</v>
      </c>
      <c r="D18" s="133"/>
      <c r="E18" s="134"/>
      <c r="F18" s="135"/>
      <c r="G18" s="136"/>
      <c r="H18" s="96"/>
      <c r="I18" s="96"/>
      <c r="J18" s="128"/>
      <c r="K18" s="104"/>
      <c r="L18" s="75"/>
      <c r="M18" s="75"/>
      <c r="N18" s="75"/>
      <c r="O18" s="96"/>
      <c r="P18" s="163"/>
      <c r="Q18" s="109"/>
      <c r="R18" s="108"/>
      <c r="S18" s="100"/>
      <c r="T18" s="110"/>
      <c r="U18" s="110"/>
      <c r="V18" s="100"/>
      <c r="W18" s="100"/>
      <c r="X18" s="100"/>
      <c r="Y18" s="110"/>
      <c r="Z18" s="110"/>
      <c r="AA18" s="100"/>
      <c r="AB18" s="108"/>
      <c r="AC18" s="109">
        <v>1</v>
      </c>
      <c r="AD18" s="109">
        <v>1</v>
      </c>
      <c r="AE18" s="109">
        <v>1</v>
      </c>
      <c r="AF18" s="109"/>
      <c r="AG18" s="108"/>
      <c r="AH18" s="108"/>
      <c r="AI18" s="100"/>
      <c r="AJ18" s="100"/>
      <c r="AK18" s="110"/>
      <c r="AL18" s="11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</row>
    <row r="19" spans="1:48" ht="16.3">
      <c r="A19" s="611" t="s">
        <v>2</v>
      </c>
      <c r="B19" s="221">
        <f>SUM(J19+K19+L19+M19+N19+S19+V19+W19+X19+AA19+AI19+AJ19+AI19+AM19+AP19+AQ19+AS19+AT19+AU19+AV19)</f>
        <v>0</v>
      </c>
      <c r="C19" s="215">
        <f t="shared" ref="C19:C25" si="2">B19</f>
        <v>0</v>
      </c>
      <c r="D19" s="133"/>
      <c r="E19" s="134"/>
      <c r="F19" s="135"/>
      <c r="G19" s="136"/>
      <c r="H19" s="96"/>
      <c r="I19" s="96"/>
      <c r="J19" s="128"/>
      <c r="K19" s="104"/>
      <c r="L19" s="75"/>
      <c r="M19" s="75"/>
      <c r="N19" s="75"/>
      <c r="O19" s="96">
        <v>1</v>
      </c>
      <c r="P19" s="163"/>
      <c r="Q19" s="109">
        <v>1</v>
      </c>
      <c r="R19" s="108"/>
      <c r="S19" s="100"/>
      <c r="T19" s="110"/>
      <c r="U19" s="110"/>
      <c r="V19" s="100"/>
      <c r="W19" s="100"/>
      <c r="X19" s="100"/>
      <c r="Y19" s="110"/>
      <c r="Z19" s="110"/>
      <c r="AA19" s="100"/>
      <c r="AB19" s="108"/>
      <c r="AC19" s="109"/>
      <c r="AD19" s="109"/>
      <c r="AE19" s="109"/>
      <c r="AF19" s="109"/>
      <c r="AG19" s="108"/>
      <c r="AH19" s="108"/>
      <c r="AI19" s="100"/>
      <c r="AJ19" s="100"/>
      <c r="AK19" s="110"/>
      <c r="AL19" s="11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</row>
    <row r="20" spans="1:48" ht="16.3">
      <c r="A20" s="91" t="s">
        <v>363</v>
      </c>
      <c r="B20" s="219">
        <f>SUM(B18+B19)</f>
        <v>0</v>
      </c>
      <c r="C20" s="214">
        <f t="shared" si="2"/>
        <v>0</v>
      </c>
      <c r="D20" s="133"/>
      <c r="E20" s="134"/>
      <c r="F20" s="135"/>
      <c r="G20" s="136"/>
      <c r="H20" s="96"/>
      <c r="I20" s="96"/>
      <c r="J20" s="128"/>
      <c r="K20" s="104"/>
      <c r="L20" s="75"/>
      <c r="M20" s="75"/>
      <c r="N20" s="75"/>
      <c r="O20" s="96"/>
      <c r="P20" s="163"/>
      <c r="Q20" s="109"/>
      <c r="R20" s="108"/>
      <c r="S20" s="100"/>
      <c r="T20" s="110"/>
      <c r="U20" s="110"/>
      <c r="V20" s="100"/>
      <c r="W20" s="100"/>
      <c r="X20" s="100"/>
      <c r="Y20" s="110"/>
      <c r="Z20" s="110"/>
      <c r="AA20" s="100"/>
      <c r="AB20" s="108"/>
      <c r="AC20" s="109"/>
      <c r="AD20" s="109"/>
      <c r="AE20" s="109"/>
      <c r="AF20" s="109"/>
      <c r="AG20" s="108"/>
      <c r="AH20" s="108"/>
      <c r="AI20" s="100"/>
      <c r="AJ20" s="100"/>
      <c r="AK20" s="110"/>
      <c r="AL20" s="11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</row>
    <row r="21" spans="1:48" ht="16.3">
      <c r="A21" s="611" t="s">
        <v>5</v>
      </c>
      <c r="B21" s="219">
        <f>SUM(J21+K21+L21+M21+N21+S21+V21+W21+X21+AA21+AI21+AJ21+AI21+AM21+AP21+AQ21+AS21+AT21+AU21+AV21)</f>
        <v>0</v>
      </c>
      <c r="C21" s="214">
        <f t="shared" si="2"/>
        <v>0</v>
      </c>
      <c r="D21" s="133"/>
      <c r="E21" s="134"/>
      <c r="F21" s="135"/>
      <c r="G21" s="136"/>
      <c r="H21" s="96"/>
      <c r="I21" s="96"/>
      <c r="J21" s="128"/>
      <c r="K21" s="104"/>
      <c r="L21" s="75"/>
      <c r="M21" s="75"/>
      <c r="N21" s="75"/>
      <c r="O21" s="96"/>
      <c r="P21" s="163"/>
      <c r="Q21" s="109"/>
      <c r="R21" s="108"/>
      <c r="S21" s="100"/>
      <c r="T21" s="110"/>
      <c r="U21" s="110"/>
      <c r="V21" s="100"/>
      <c r="W21" s="100"/>
      <c r="X21" s="100"/>
      <c r="Y21" s="110"/>
      <c r="Z21" s="110"/>
      <c r="AA21" s="100"/>
      <c r="AB21" s="108"/>
      <c r="AC21" s="109"/>
      <c r="AD21" s="109"/>
      <c r="AE21" s="109">
        <v>0</v>
      </c>
      <c r="AF21" s="109"/>
      <c r="AG21" s="108"/>
      <c r="AH21" s="108"/>
      <c r="AI21" s="100"/>
      <c r="AJ21" s="100"/>
      <c r="AK21" s="110"/>
      <c r="AL21" s="11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</row>
    <row r="22" spans="1:48" ht="16.3">
      <c r="A22" s="611" t="s">
        <v>6</v>
      </c>
      <c r="B22" s="219">
        <f>SUM(J22+K22+L22+M22+N22+S22+V22+W22+X22+AA22+AI22+AJ22+AI22+AM22+AP22+AQ22+AS22+AT22+AU22+AV22)</f>
        <v>0</v>
      </c>
      <c r="C22" s="214">
        <f t="shared" si="2"/>
        <v>0</v>
      </c>
      <c r="D22" s="133"/>
      <c r="E22" s="134"/>
      <c r="F22" s="135"/>
      <c r="G22" s="136"/>
      <c r="H22" s="96"/>
      <c r="I22" s="96"/>
      <c r="J22" s="128"/>
      <c r="K22" s="104"/>
      <c r="L22" s="75"/>
      <c r="M22" s="75"/>
      <c r="N22" s="75"/>
      <c r="O22" s="96"/>
      <c r="P22" s="163"/>
      <c r="Q22" s="109"/>
      <c r="R22" s="108"/>
      <c r="S22" s="100"/>
      <c r="T22" s="110"/>
      <c r="U22" s="110"/>
      <c r="V22" s="100"/>
      <c r="W22" s="100"/>
      <c r="X22" s="100"/>
      <c r="Y22" s="110"/>
      <c r="Z22" s="110"/>
      <c r="AA22" s="100"/>
      <c r="AB22" s="108"/>
      <c r="AC22" s="109"/>
      <c r="AD22" s="109"/>
      <c r="AE22" s="109">
        <v>2</v>
      </c>
      <c r="AF22" s="109"/>
      <c r="AG22" s="108"/>
      <c r="AH22" s="108"/>
      <c r="AI22" s="100"/>
      <c r="AJ22" s="100"/>
      <c r="AK22" s="110"/>
      <c r="AL22" s="11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</row>
    <row r="23" spans="1:48" ht="16.3">
      <c r="A23" s="611" t="s">
        <v>368</v>
      </c>
      <c r="B23" s="219">
        <v>0</v>
      </c>
      <c r="C23" s="214">
        <v>0</v>
      </c>
      <c r="D23" s="133"/>
      <c r="E23" s="134"/>
      <c r="F23" s="135"/>
      <c r="G23" s="136"/>
      <c r="H23" s="96"/>
      <c r="I23" s="96"/>
      <c r="J23" s="128"/>
      <c r="K23" s="104"/>
      <c r="L23" s="75"/>
      <c r="M23" s="75"/>
      <c r="N23" s="75"/>
      <c r="O23" s="96"/>
      <c r="P23" s="163"/>
      <c r="Q23" s="109"/>
      <c r="R23" s="108"/>
      <c r="S23" s="100"/>
      <c r="T23" s="110"/>
      <c r="U23" s="110"/>
      <c r="V23" s="100"/>
      <c r="W23" s="100"/>
      <c r="X23" s="100"/>
      <c r="Y23" s="110"/>
      <c r="Z23" s="110"/>
      <c r="AA23" s="100"/>
      <c r="AB23" s="108"/>
      <c r="AC23" s="109"/>
      <c r="AD23" s="109"/>
      <c r="AE23" s="109">
        <v>0</v>
      </c>
      <c r="AF23" s="109"/>
      <c r="AG23" s="108"/>
      <c r="AH23" s="108"/>
      <c r="AI23" s="100"/>
      <c r="AJ23" s="100"/>
      <c r="AK23" s="110"/>
      <c r="AL23" s="11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</row>
    <row r="24" spans="1:48" ht="16.3">
      <c r="A24" s="91" t="s">
        <v>3</v>
      </c>
      <c r="B24" s="219">
        <f>SUM(J24+K24+L24+M24+N24+S24+V24+W24+X24+AA24+AI24+AJ24+AI24+AM24+AP24+AQ24+AS24+AT24+AU24+AV24)</f>
        <v>0</v>
      </c>
      <c r="C24" s="214">
        <f t="shared" si="2"/>
        <v>0</v>
      </c>
      <c r="D24" s="133"/>
      <c r="E24" s="134"/>
      <c r="F24" s="135"/>
      <c r="G24" s="136"/>
      <c r="H24" s="96"/>
      <c r="I24" s="96"/>
      <c r="J24" s="128"/>
      <c r="K24" s="104"/>
      <c r="L24" s="75"/>
      <c r="M24" s="75"/>
      <c r="N24" s="75"/>
      <c r="O24" s="96"/>
      <c r="P24" s="163"/>
      <c r="Q24" s="109"/>
      <c r="R24" s="108"/>
      <c r="S24" s="100"/>
      <c r="T24" s="110"/>
      <c r="U24" s="110"/>
      <c r="V24" s="100"/>
      <c r="W24" s="100"/>
      <c r="X24" s="100"/>
      <c r="Y24" s="110"/>
      <c r="Z24" s="110"/>
      <c r="AA24" s="100"/>
      <c r="AB24" s="108"/>
      <c r="AC24" s="109">
        <v>1</v>
      </c>
      <c r="AD24" s="109"/>
      <c r="AE24" s="109">
        <v>2</v>
      </c>
      <c r="AF24" s="109"/>
      <c r="AG24" s="108"/>
      <c r="AH24" s="108"/>
      <c r="AI24" s="100"/>
      <c r="AJ24" s="100"/>
      <c r="AK24" s="110"/>
      <c r="AL24" s="11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</row>
    <row r="25" spans="1:48" ht="17" thickBot="1">
      <c r="A25" s="92" t="s">
        <v>4</v>
      </c>
      <c r="B25" s="220">
        <f>SUM(J25+K25+L25+M25+N25+S25+V25+W25+X25+AA25+AI25+AJ25+AI25+AM25+AP25+AQ25+AS25+AT25+AU25+AV25)</f>
        <v>0</v>
      </c>
      <c r="C25" s="217">
        <f t="shared" si="2"/>
        <v>0</v>
      </c>
      <c r="D25" s="144"/>
      <c r="E25" s="145"/>
      <c r="F25" s="146"/>
      <c r="G25" s="147"/>
      <c r="H25" s="114"/>
      <c r="I25" s="114"/>
      <c r="J25" s="129"/>
      <c r="K25" s="113"/>
      <c r="L25" s="112"/>
      <c r="M25" s="112"/>
      <c r="N25" s="112"/>
      <c r="O25" s="114"/>
      <c r="P25" s="164"/>
      <c r="Q25" s="118"/>
      <c r="R25" s="117"/>
      <c r="S25" s="116"/>
      <c r="T25" s="120"/>
      <c r="U25" s="120"/>
      <c r="V25" s="116"/>
      <c r="W25" s="116"/>
      <c r="X25" s="116"/>
      <c r="Y25" s="120"/>
      <c r="Z25" s="120"/>
      <c r="AA25" s="116"/>
      <c r="AB25" s="117"/>
      <c r="AC25" s="118">
        <v>5</v>
      </c>
      <c r="AD25" s="118"/>
      <c r="AE25" s="118">
        <v>10</v>
      </c>
      <c r="AF25" s="118"/>
      <c r="AG25" s="117"/>
      <c r="AH25" s="117"/>
      <c r="AI25" s="116"/>
      <c r="AJ25" s="116"/>
      <c r="AK25" s="120"/>
      <c r="AL25" s="120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</row>
    <row r="26" spans="1:48" ht="21.1">
      <c r="A26" s="89" t="s">
        <v>404</v>
      </c>
      <c r="B26" s="219"/>
      <c r="C26" s="214"/>
      <c r="D26" s="133"/>
      <c r="E26" s="134"/>
      <c r="F26" s="135"/>
      <c r="G26" s="136"/>
      <c r="H26" s="96" t="s">
        <v>394</v>
      </c>
      <c r="I26" s="96" t="s">
        <v>394</v>
      </c>
      <c r="J26" s="128" t="s">
        <v>394</v>
      </c>
      <c r="K26" s="104" t="s">
        <v>394</v>
      </c>
      <c r="L26" s="75">
        <v>14</v>
      </c>
      <c r="M26" s="75">
        <v>14</v>
      </c>
      <c r="N26" s="75">
        <v>14</v>
      </c>
      <c r="O26" s="96"/>
      <c r="P26" s="163"/>
      <c r="Q26" s="109" t="s">
        <v>394</v>
      </c>
      <c r="R26" s="108"/>
      <c r="S26" s="100" t="s">
        <v>383</v>
      </c>
      <c r="T26" s="110" t="s">
        <v>339</v>
      </c>
      <c r="U26" s="110" t="s">
        <v>339</v>
      </c>
      <c r="V26" s="100" t="s">
        <v>375</v>
      </c>
      <c r="W26" s="100">
        <v>14</v>
      </c>
      <c r="X26" s="100">
        <v>14</v>
      </c>
      <c r="Y26" s="110"/>
      <c r="Z26" s="110"/>
      <c r="AA26" s="100"/>
      <c r="AB26" s="108"/>
      <c r="AC26" s="109"/>
      <c r="AD26" s="109"/>
      <c r="AE26" s="109"/>
      <c r="AF26" s="109">
        <v>14</v>
      </c>
      <c r="AG26" s="108"/>
      <c r="AH26" s="108"/>
      <c r="AI26" s="100"/>
      <c r="AJ26" s="100"/>
      <c r="AK26" s="110"/>
      <c r="AL26" s="11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</row>
    <row r="27" spans="1:48" ht="16.3">
      <c r="A27" s="611" t="s">
        <v>1</v>
      </c>
      <c r="B27" s="221">
        <f>SUM(J27+K27+L27+M27+N27+S27+V27+W27+X27+AA27+AI27+AJ27+AI27+AM27+AP27+AQ27+AS27+AT27+AU27+AV27+AN27)+11</f>
        <v>17</v>
      </c>
      <c r="C27" s="215">
        <f>B27</f>
        <v>17</v>
      </c>
      <c r="D27" s="133"/>
      <c r="E27" s="134"/>
      <c r="F27" s="135"/>
      <c r="G27" s="136"/>
      <c r="H27" s="96"/>
      <c r="I27" s="96"/>
      <c r="J27" s="128"/>
      <c r="K27" s="104"/>
      <c r="L27" s="75">
        <v>1</v>
      </c>
      <c r="M27" s="75">
        <v>1</v>
      </c>
      <c r="N27" s="75">
        <v>1</v>
      </c>
      <c r="O27" s="96"/>
      <c r="P27" s="163"/>
      <c r="Q27" s="109"/>
      <c r="R27" s="108"/>
      <c r="S27" s="100">
        <v>1</v>
      </c>
      <c r="T27" s="110"/>
      <c r="U27" s="110"/>
      <c r="V27" s="100"/>
      <c r="W27" s="100">
        <v>1</v>
      </c>
      <c r="X27" s="100">
        <v>1</v>
      </c>
      <c r="Y27" s="110"/>
      <c r="Z27" s="110"/>
      <c r="AA27" s="100"/>
      <c r="AB27" s="108"/>
      <c r="AC27" s="109"/>
      <c r="AD27" s="109"/>
      <c r="AE27" s="109"/>
      <c r="AF27" s="109">
        <v>1</v>
      </c>
      <c r="AG27" s="108"/>
      <c r="AH27" s="108"/>
      <c r="AI27" s="100"/>
      <c r="AJ27" s="100"/>
      <c r="AK27" s="110"/>
      <c r="AL27" s="11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</row>
    <row r="28" spans="1:48" ht="16.3">
      <c r="A28" s="611" t="s">
        <v>2</v>
      </c>
      <c r="B28" s="221">
        <f>SUM(J28+K28+L28+M28+N28+S28+V28+W28+X28+AA28+AI28+AJ28+AI28+AM28+AP28+AQ28+AS28+AT28+AU28+AV28)</f>
        <v>1</v>
      </c>
      <c r="C28" s="215">
        <f t="shared" ref="C28:C32" si="3">B28</f>
        <v>1</v>
      </c>
      <c r="D28" s="133"/>
      <c r="E28" s="134"/>
      <c r="F28" s="135"/>
      <c r="G28" s="136"/>
      <c r="H28" s="96"/>
      <c r="I28" s="96"/>
      <c r="J28" s="128"/>
      <c r="K28" s="104"/>
      <c r="L28" s="75"/>
      <c r="M28" s="75"/>
      <c r="N28" s="75"/>
      <c r="O28" s="96"/>
      <c r="P28" s="163"/>
      <c r="Q28" s="109"/>
      <c r="R28" s="108"/>
      <c r="S28" s="100"/>
      <c r="T28" s="110"/>
      <c r="U28" s="110"/>
      <c r="V28" s="100">
        <v>1</v>
      </c>
      <c r="W28" s="100"/>
      <c r="X28" s="100"/>
      <c r="Y28" s="110"/>
      <c r="Z28" s="110"/>
      <c r="AA28" s="100"/>
      <c r="AB28" s="108"/>
      <c r="AC28" s="109"/>
      <c r="AD28" s="109"/>
      <c r="AE28" s="109"/>
      <c r="AF28" s="109"/>
      <c r="AG28" s="108"/>
      <c r="AH28" s="108"/>
      <c r="AI28" s="100"/>
      <c r="AJ28" s="100"/>
      <c r="AK28" s="110"/>
      <c r="AL28" s="11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</row>
    <row r="29" spans="1:48" ht="16.3">
      <c r="A29" s="91" t="s">
        <v>363</v>
      </c>
      <c r="B29" s="219">
        <f>SUM(B27+B28)</f>
        <v>18</v>
      </c>
      <c r="C29" s="214">
        <f t="shared" si="3"/>
        <v>18</v>
      </c>
      <c r="D29" s="133"/>
      <c r="E29" s="134"/>
      <c r="F29" s="135"/>
      <c r="G29" s="136"/>
      <c r="H29" s="96"/>
      <c r="I29" s="96"/>
      <c r="J29" s="128"/>
      <c r="K29" s="104"/>
      <c r="L29" s="75"/>
      <c r="M29" s="75"/>
      <c r="N29" s="75"/>
      <c r="O29" s="96"/>
      <c r="P29" s="163"/>
      <c r="Q29" s="109"/>
      <c r="R29" s="108"/>
      <c r="S29" s="100"/>
      <c r="T29" s="110"/>
      <c r="U29" s="110"/>
      <c r="V29" s="100"/>
      <c r="W29" s="100"/>
      <c r="X29" s="100"/>
      <c r="Y29" s="110"/>
      <c r="Z29" s="110"/>
      <c r="AA29" s="100"/>
      <c r="AB29" s="108"/>
      <c r="AC29" s="109"/>
      <c r="AD29" s="109"/>
      <c r="AE29" s="109"/>
      <c r="AF29" s="109"/>
      <c r="AG29" s="108"/>
      <c r="AH29" s="108"/>
      <c r="AI29" s="100"/>
      <c r="AJ29" s="100"/>
      <c r="AK29" s="110"/>
      <c r="AL29" s="11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</row>
    <row r="30" spans="1:48" ht="16.3">
      <c r="A30" s="611" t="s">
        <v>362</v>
      </c>
      <c r="B30" s="221">
        <f>SUM(J30+K30+L30+M30+N30+S30+V30+W30+X30+AA30+AI30+AJ30+AI30+AM30+AP30+AQ30+AS30+AT30+AU30+AV30)+1</f>
        <v>1</v>
      </c>
      <c r="C30" s="215">
        <f t="shared" si="3"/>
        <v>1</v>
      </c>
      <c r="D30" s="133"/>
      <c r="E30" s="134"/>
      <c r="F30" s="135"/>
      <c r="G30" s="136"/>
      <c r="H30" s="96"/>
      <c r="I30" s="96"/>
      <c r="J30" s="128"/>
      <c r="K30" s="104"/>
      <c r="L30" s="75"/>
      <c r="M30" s="75"/>
      <c r="N30" s="75"/>
      <c r="O30" s="96"/>
      <c r="P30" s="163"/>
      <c r="Q30" s="109"/>
      <c r="R30" s="108"/>
      <c r="S30" s="100"/>
      <c r="T30" s="110"/>
      <c r="U30" s="110"/>
      <c r="V30" s="100"/>
      <c r="W30" s="100"/>
      <c r="X30" s="100"/>
      <c r="Y30" s="110"/>
      <c r="Z30" s="110"/>
      <c r="AA30" s="100"/>
      <c r="AB30" s="108"/>
      <c r="AC30" s="109"/>
      <c r="AD30" s="109"/>
      <c r="AE30" s="109"/>
      <c r="AF30" s="109"/>
      <c r="AG30" s="108"/>
      <c r="AH30" s="108"/>
      <c r="AI30" s="100"/>
      <c r="AJ30" s="100"/>
      <c r="AK30" s="110"/>
      <c r="AL30" s="11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</row>
    <row r="31" spans="1:48" ht="16.3">
      <c r="A31" s="91" t="s">
        <v>3</v>
      </c>
      <c r="B31" s="219">
        <f>SUM(J31+K31+L31+M31+N31+S31+V31+W31+X31+AA31+AI31+AJ31+AI31+AM31+AP31+AQ31+AS31+AT31+AU31+AV31)+5</f>
        <v>7</v>
      </c>
      <c r="C31" s="214">
        <f t="shared" si="3"/>
        <v>7</v>
      </c>
      <c r="D31" s="133"/>
      <c r="E31" s="134"/>
      <c r="F31" s="135"/>
      <c r="G31" s="136"/>
      <c r="H31" s="96"/>
      <c r="I31" s="96"/>
      <c r="J31" s="128"/>
      <c r="K31" s="104"/>
      <c r="L31" s="75"/>
      <c r="M31" s="75"/>
      <c r="N31" s="75">
        <v>1</v>
      </c>
      <c r="O31" s="96"/>
      <c r="P31" s="163"/>
      <c r="Q31" s="109"/>
      <c r="R31" s="108"/>
      <c r="S31" s="100"/>
      <c r="T31" s="110"/>
      <c r="U31" s="110"/>
      <c r="V31" s="100">
        <v>1</v>
      </c>
      <c r="W31" s="100"/>
      <c r="X31" s="100"/>
      <c r="Y31" s="110"/>
      <c r="Z31" s="110"/>
      <c r="AA31" s="100"/>
      <c r="AB31" s="108"/>
      <c r="AC31" s="109"/>
      <c r="AD31" s="109"/>
      <c r="AE31" s="109"/>
      <c r="AF31" s="109"/>
      <c r="AG31" s="108"/>
      <c r="AH31" s="108"/>
      <c r="AI31" s="100"/>
      <c r="AJ31" s="100"/>
      <c r="AK31" s="110"/>
      <c r="AL31" s="11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</row>
    <row r="32" spans="1:48" ht="17" thickBot="1">
      <c r="A32" s="92" t="s">
        <v>4</v>
      </c>
      <c r="B32" s="220">
        <f>SUM(J32+K32+L32+M32+N32+S32+V32+W32+X32+AA32+AI32+AJ32+AI32+AM32+AP32+AQ32+AS32+AT32+AU32+AV32)+25</f>
        <v>35</v>
      </c>
      <c r="C32" s="217">
        <f t="shared" si="3"/>
        <v>35</v>
      </c>
      <c r="D32" s="144"/>
      <c r="E32" s="145"/>
      <c r="F32" s="146"/>
      <c r="G32" s="147"/>
      <c r="H32" s="114"/>
      <c r="I32" s="114"/>
      <c r="J32" s="129"/>
      <c r="K32" s="113"/>
      <c r="L32" s="112"/>
      <c r="M32" s="112"/>
      <c r="N32" s="112">
        <v>5</v>
      </c>
      <c r="O32" s="114"/>
      <c r="P32" s="164"/>
      <c r="Q32" s="118"/>
      <c r="R32" s="117"/>
      <c r="S32" s="116"/>
      <c r="T32" s="120"/>
      <c r="U32" s="120"/>
      <c r="V32" s="116">
        <v>5</v>
      </c>
      <c r="W32" s="116"/>
      <c r="X32" s="116"/>
      <c r="Y32" s="120"/>
      <c r="Z32" s="120"/>
      <c r="AA32" s="116"/>
      <c r="AB32" s="117"/>
      <c r="AC32" s="118"/>
      <c r="AD32" s="118"/>
      <c r="AE32" s="118"/>
      <c r="AF32" s="118"/>
      <c r="AG32" s="117"/>
      <c r="AH32" s="117"/>
      <c r="AI32" s="116"/>
      <c r="AJ32" s="116"/>
      <c r="AK32" s="120"/>
      <c r="AL32" s="120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</row>
    <row r="33" spans="1:48" ht="21.1">
      <c r="A33" s="89" t="s">
        <v>208</v>
      </c>
      <c r="B33" s="219"/>
      <c r="C33" s="214"/>
      <c r="D33" s="133"/>
      <c r="E33" s="134"/>
      <c r="F33" s="135"/>
      <c r="G33" s="136"/>
      <c r="H33" s="96">
        <v>11</v>
      </c>
      <c r="I33" s="96" t="s">
        <v>375</v>
      </c>
      <c r="J33" s="128" t="s">
        <v>375</v>
      </c>
      <c r="K33" s="104" t="s">
        <v>375</v>
      </c>
      <c r="L33" s="75"/>
      <c r="M33" s="75" t="s">
        <v>375</v>
      </c>
      <c r="N33" s="75"/>
      <c r="O33" s="96">
        <v>15</v>
      </c>
      <c r="P33" s="163"/>
      <c r="Q33" s="109" t="s">
        <v>379</v>
      </c>
      <c r="R33" s="108"/>
      <c r="S33" s="100">
        <v>15</v>
      </c>
      <c r="T33" s="110">
        <v>15</v>
      </c>
      <c r="U33" s="110"/>
      <c r="V33" s="100"/>
      <c r="W33" s="100"/>
      <c r="X33" s="100"/>
      <c r="Y33" s="110"/>
      <c r="Z33" s="110"/>
      <c r="AA33" s="100"/>
      <c r="AB33" s="108"/>
      <c r="AC33" s="109" t="s">
        <v>383</v>
      </c>
      <c r="AD33" s="109" t="s">
        <v>383</v>
      </c>
      <c r="AE33" s="109" t="s">
        <v>375</v>
      </c>
      <c r="AF33" s="109">
        <v>15</v>
      </c>
      <c r="AG33" s="108"/>
      <c r="AH33" s="108"/>
      <c r="AI33" s="100"/>
      <c r="AJ33" s="100"/>
      <c r="AK33" s="110"/>
      <c r="AL33" s="11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</row>
    <row r="34" spans="1:48" ht="16.3">
      <c r="A34" s="611" t="s">
        <v>1</v>
      </c>
      <c r="B34" s="221">
        <f>SUM(J34+K34+L34+M34+N34+S34+V34+W34+X34+AA34+AI34+AJ34+AI34+AM34+AP34+AQ34+AS34+AT34+AU34+AV34+AN34)+4</f>
        <v>5</v>
      </c>
      <c r="C34" s="215">
        <f>B34</f>
        <v>5</v>
      </c>
      <c r="D34" s="133"/>
      <c r="E34" s="134"/>
      <c r="F34" s="135"/>
      <c r="G34" s="136"/>
      <c r="H34" s="96">
        <v>1</v>
      </c>
      <c r="I34" s="96"/>
      <c r="J34" s="128"/>
      <c r="K34" s="104"/>
      <c r="L34" s="75"/>
      <c r="M34" s="75"/>
      <c r="N34" s="75"/>
      <c r="O34" s="96">
        <v>1</v>
      </c>
      <c r="P34" s="163"/>
      <c r="Q34" s="109">
        <v>1</v>
      </c>
      <c r="R34" s="108"/>
      <c r="S34" s="100">
        <v>1</v>
      </c>
      <c r="T34" s="110">
        <v>1</v>
      </c>
      <c r="U34" s="110"/>
      <c r="V34" s="100"/>
      <c r="W34" s="100"/>
      <c r="X34" s="100"/>
      <c r="Y34" s="110"/>
      <c r="Z34" s="110"/>
      <c r="AA34" s="100"/>
      <c r="AB34" s="108"/>
      <c r="AC34" s="109">
        <v>1</v>
      </c>
      <c r="AD34" s="109">
        <v>1</v>
      </c>
      <c r="AE34" s="109"/>
      <c r="AF34" s="109">
        <v>1</v>
      </c>
      <c r="AG34" s="108"/>
      <c r="AH34" s="108"/>
      <c r="AI34" s="100"/>
      <c r="AJ34" s="100"/>
      <c r="AK34" s="110"/>
      <c r="AL34" s="11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</row>
    <row r="35" spans="1:48" ht="16.3">
      <c r="A35" s="611" t="s">
        <v>2</v>
      </c>
      <c r="B35" s="221">
        <f>SUM(J35+K35+L35+M35+N35+S35+V35+W35+X35+AA35+AI35+AJ35+AI35+AM35+AP35+AQ35+AS35+AT35+AU35+AV35)+2</f>
        <v>5</v>
      </c>
      <c r="C35" s="215">
        <f t="shared" ref="C35:C40" si="4">B35</f>
        <v>5</v>
      </c>
      <c r="D35" s="133"/>
      <c r="E35" s="134"/>
      <c r="F35" s="135"/>
      <c r="G35" s="136"/>
      <c r="H35" s="96"/>
      <c r="I35" s="96">
        <v>1</v>
      </c>
      <c r="J35" s="128">
        <v>1</v>
      </c>
      <c r="K35" s="104">
        <v>1</v>
      </c>
      <c r="L35" s="75"/>
      <c r="M35" s="75">
        <v>1</v>
      </c>
      <c r="N35" s="75"/>
      <c r="O35" s="96"/>
      <c r="P35" s="163"/>
      <c r="Q35" s="109"/>
      <c r="R35" s="108"/>
      <c r="S35" s="100"/>
      <c r="T35" s="110"/>
      <c r="U35" s="110"/>
      <c r="V35" s="100"/>
      <c r="W35" s="100"/>
      <c r="X35" s="100"/>
      <c r="Y35" s="110"/>
      <c r="Z35" s="110"/>
      <c r="AA35" s="100"/>
      <c r="AB35" s="108"/>
      <c r="AC35" s="109"/>
      <c r="AD35" s="109"/>
      <c r="AE35" s="109">
        <v>1</v>
      </c>
      <c r="AF35" s="109"/>
      <c r="AG35" s="108"/>
      <c r="AH35" s="108"/>
      <c r="AI35" s="100"/>
      <c r="AJ35" s="100"/>
      <c r="AK35" s="110"/>
      <c r="AL35" s="11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</row>
    <row r="36" spans="1:48" ht="16.3">
      <c r="A36" s="91" t="s">
        <v>363</v>
      </c>
      <c r="B36" s="219">
        <f>SUM(B34+B35)</f>
        <v>10</v>
      </c>
      <c r="C36" s="214">
        <f t="shared" si="4"/>
        <v>10</v>
      </c>
      <c r="D36" s="133"/>
      <c r="E36" s="134"/>
      <c r="F36" s="135"/>
      <c r="G36" s="136"/>
      <c r="H36" s="96"/>
      <c r="I36" s="96"/>
      <c r="J36" s="128"/>
      <c r="K36" s="104"/>
      <c r="L36" s="75"/>
      <c r="M36" s="75"/>
      <c r="N36" s="75"/>
      <c r="O36" s="96"/>
      <c r="P36" s="163"/>
      <c r="Q36" s="109"/>
      <c r="R36" s="108"/>
      <c r="S36" s="100"/>
      <c r="T36" s="110"/>
      <c r="U36" s="110"/>
      <c r="V36" s="100"/>
      <c r="W36" s="100"/>
      <c r="X36" s="100"/>
      <c r="Y36" s="110"/>
      <c r="Z36" s="110"/>
      <c r="AA36" s="100"/>
      <c r="AB36" s="108"/>
      <c r="AC36" s="109"/>
      <c r="AD36" s="109"/>
      <c r="AE36" s="109"/>
      <c r="AF36" s="109"/>
      <c r="AG36" s="108"/>
      <c r="AH36" s="108"/>
      <c r="AI36" s="100"/>
      <c r="AJ36" s="100"/>
      <c r="AK36" s="110"/>
      <c r="AL36" s="11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</row>
    <row r="37" spans="1:48" ht="16.3">
      <c r="A37" s="611" t="s">
        <v>362</v>
      </c>
      <c r="B37" s="221">
        <f>SUM(J37+K37+L37+M37+N37+S37+V37+W37+X37+AA37+AI37+AJ37+AI37+AM37+AP37+AQ37+AS37+AT37+AU37+AV37)+1</f>
        <v>1</v>
      </c>
      <c r="C37" s="215">
        <f t="shared" ref="C37:C38" si="5">B37</f>
        <v>1</v>
      </c>
      <c r="D37" s="133"/>
      <c r="E37" s="134"/>
      <c r="F37" s="135"/>
      <c r="G37" s="136"/>
      <c r="H37" s="96"/>
      <c r="I37" s="96"/>
      <c r="J37" s="128"/>
      <c r="K37" s="104"/>
      <c r="L37" s="75"/>
      <c r="M37" s="75"/>
      <c r="N37" s="75"/>
      <c r="O37" s="96"/>
      <c r="P37" s="163"/>
      <c r="Q37" s="109"/>
      <c r="R37" s="108"/>
      <c r="S37" s="100"/>
      <c r="T37" s="110"/>
      <c r="U37" s="110"/>
      <c r="V37" s="100"/>
      <c r="W37" s="100"/>
      <c r="X37" s="100"/>
      <c r="Y37" s="110"/>
      <c r="Z37" s="110"/>
      <c r="AA37" s="100"/>
      <c r="AB37" s="108"/>
      <c r="AC37" s="109"/>
      <c r="AD37" s="109"/>
      <c r="AE37" s="109"/>
      <c r="AF37" s="109"/>
      <c r="AG37" s="108"/>
      <c r="AH37" s="108"/>
      <c r="AI37" s="100"/>
      <c r="AJ37" s="100"/>
      <c r="AK37" s="110"/>
      <c r="AL37" s="11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</row>
    <row r="38" spans="1:48" ht="16.3">
      <c r="A38" s="611" t="s">
        <v>364</v>
      </c>
      <c r="B38" s="221">
        <f>SUM(J38+K38+L38+M38+N38+S38+V38+W38+X38+AA38+AI38+AJ38+AI38+AM38+AP38+AQ38+AS38+AT38+AU38+AV38)+1</f>
        <v>1</v>
      </c>
      <c r="C38" s="215">
        <f t="shared" si="5"/>
        <v>1</v>
      </c>
      <c r="D38" s="133"/>
      <c r="E38" s="134"/>
      <c r="F38" s="135"/>
      <c r="G38" s="136"/>
      <c r="H38" s="96"/>
      <c r="I38" s="96"/>
      <c r="J38" s="128"/>
      <c r="K38" s="104"/>
      <c r="L38" s="75"/>
      <c r="M38" s="75"/>
      <c r="N38" s="75"/>
      <c r="O38" s="96"/>
      <c r="P38" s="163"/>
      <c r="Q38" s="109"/>
      <c r="R38" s="108"/>
      <c r="S38" s="100"/>
      <c r="T38" s="110"/>
      <c r="U38" s="110"/>
      <c r="V38" s="100"/>
      <c r="W38" s="100"/>
      <c r="X38" s="100"/>
      <c r="Y38" s="110"/>
      <c r="Z38" s="110"/>
      <c r="AA38" s="100"/>
      <c r="AB38" s="108"/>
      <c r="AC38" s="109"/>
      <c r="AD38" s="109"/>
      <c r="AE38" s="109"/>
      <c r="AF38" s="109"/>
      <c r="AG38" s="108"/>
      <c r="AH38" s="108"/>
      <c r="AI38" s="100"/>
      <c r="AJ38" s="100"/>
      <c r="AK38" s="110"/>
      <c r="AL38" s="11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</row>
    <row r="39" spans="1:48" ht="16.3">
      <c r="A39" s="91" t="s">
        <v>3</v>
      </c>
      <c r="B39" s="219">
        <f>SUM(J39+K39+L39+M39+N39+S39+V39+W39+X39+AA39+AI39+AJ39+AI39+AM39+AP39+AQ39+AS39+AT39+AU39+AV39)+1</f>
        <v>1</v>
      </c>
      <c r="C39" s="214">
        <f t="shared" si="4"/>
        <v>1</v>
      </c>
      <c r="D39" s="133"/>
      <c r="E39" s="134"/>
      <c r="F39" s="135"/>
      <c r="G39" s="136"/>
      <c r="H39" s="96"/>
      <c r="I39" s="96"/>
      <c r="J39" s="128"/>
      <c r="K39" s="104"/>
      <c r="L39" s="75"/>
      <c r="M39" s="75"/>
      <c r="N39" s="75"/>
      <c r="O39" s="96"/>
      <c r="P39" s="163"/>
      <c r="Q39" s="109"/>
      <c r="R39" s="108"/>
      <c r="S39" s="100"/>
      <c r="T39" s="110"/>
      <c r="U39" s="110"/>
      <c r="V39" s="100"/>
      <c r="W39" s="100"/>
      <c r="X39" s="100"/>
      <c r="Y39" s="110"/>
      <c r="Z39" s="110"/>
      <c r="AA39" s="100"/>
      <c r="AB39" s="108"/>
      <c r="AC39" s="109"/>
      <c r="AD39" s="109">
        <v>1</v>
      </c>
      <c r="AE39" s="109"/>
      <c r="AF39" s="109"/>
      <c r="AG39" s="108"/>
      <c r="AH39" s="108"/>
      <c r="AI39" s="100"/>
      <c r="AJ39" s="100"/>
      <c r="AK39" s="110"/>
      <c r="AL39" s="11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</row>
    <row r="40" spans="1:48" ht="17" thickBot="1">
      <c r="A40" s="91" t="s">
        <v>4</v>
      </c>
      <c r="B40" s="220">
        <f>SUM(J40+K40+L40+M40+N40+S40+V40+W40+X40+AA40+AI40+AJ40+AI40+AM40+AP40+AQ40+AS40+AT40+AU40+AV40)+5</f>
        <v>5</v>
      </c>
      <c r="C40" s="217">
        <f t="shared" si="4"/>
        <v>5</v>
      </c>
      <c r="D40" s="144"/>
      <c r="E40" s="145"/>
      <c r="F40" s="146"/>
      <c r="G40" s="147"/>
      <c r="H40" s="96"/>
      <c r="I40" s="96"/>
      <c r="J40" s="128"/>
      <c r="K40" s="104"/>
      <c r="L40" s="75"/>
      <c r="M40" s="75"/>
      <c r="N40" s="75"/>
      <c r="O40" s="96"/>
      <c r="P40" s="163"/>
      <c r="Q40" s="109"/>
      <c r="R40" s="108"/>
      <c r="S40" s="100"/>
      <c r="T40" s="110"/>
      <c r="U40" s="110"/>
      <c r="V40" s="100"/>
      <c r="W40" s="100"/>
      <c r="X40" s="100"/>
      <c r="Y40" s="110"/>
      <c r="Z40" s="110"/>
      <c r="AA40" s="100"/>
      <c r="AB40" s="108"/>
      <c r="AC40" s="109"/>
      <c r="AD40" s="109">
        <v>5</v>
      </c>
      <c r="AE40" s="109"/>
      <c r="AF40" s="109"/>
      <c r="AG40" s="108"/>
      <c r="AH40" s="108"/>
      <c r="AI40" s="100"/>
      <c r="AJ40" s="100"/>
      <c r="AK40" s="110"/>
      <c r="AL40" s="11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</row>
    <row r="41" spans="1:48" ht="21.1">
      <c r="A41" s="90" t="s">
        <v>37</v>
      </c>
      <c r="B41" s="219"/>
      <c r="C41" s="214"/>
      <c r="D41" s="133"/>
      <c r="E41" s="134"/>
      <c r="F41" s="135"/>
      <c r="G41" s="136"/>
      <c r="H41" s="124">
        <v>15</v>
      </c>
      <c r="I41" s="124">
        <v>11</v>
      </c>
      <c r="J41" s="165" t="s">
        <v>383</v>
      </c>
      <c r="K41" s="123" t="s">
        <v>383</v>
      </c>
      <c r="L41" s="122"/>
      <c r="M41" s="122"/>
      <c r="N41" s="122"/>
      <c r="O41" s="124"/>
      <c r="P41" s="166"/>
      <c r="Q41" s="99"/>
      <c r="R41" s="98"/>
      <c r="S41" s="102" t="s">
        <v>375</v>
      </c>
      <c r="T41" s="101"/>
      <c r="U41" s="101">
        <v>15</v>
      </c>
      <c r="V41" s="102">
        <v>15</v>
      </c>
      <c r="W41" s="102">
        <v>15</v>
      </c>
      <c r="X41" s="102">
        <v>15</v>
      </c>
      <c r="Y41" s="101" t="s">
        <v>695</v>
      </c>
      <c r="Z41" s="101">
        <v>14</v>
      </c>
      <c r="AA41" s="102" t="s">
        <v>433</v>
      </c>
      <c r="AB41" s="98"/>
      <c r="AC41" s="99"/>
      <c r="AD41" s="99"/>
      <c r="AE41" s="99" t="s">
        <v>1041</v>
      </c>
      <c r="AF41" s="99"/>
      <c r="AG41" s="98"/>
      <c r="AH41" s="98"/>
      <c r="AI41" s="102"/>
      <c r="AJ41" s="102"/>
      <c r="AK41" s="101"/>
      <c r="AL41" s="101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</row>
    <row r="42" spans="1:48" ht="16.3">
      <c r="A42" s="611" t="s">
        <v>1</v>
      </c>
      <c r="B42" s="221">
        <f>SUM(J42+K42+L42+M42+N42+S42+V42+W42+X42+AA42+AI42+AJ42+AI42+AM42+AP42+AQ42+AS42+AT42+AU42+AV42+AN42)+37</f>
        <v>43</v>
      </c>
      <c r="C42" s="215">
        <f>SUM(K42+L42+M42+N42+J42+S42+W42+X42+V42+AA42+AJ42+AI42+AJ42+AM42+AN42+AQ42+AP42+AT42+AU42+AV42+AS42+AO42)+56</f>
        <v>62</v>
      </c>
      <c r="D42" s="139"/>
      <c r="E42" s="140"/>
      <c r="F42" s="135"/>
      <c r="G42" s="136"/>
      <c r="H42" s="96">
        <v>1</v>
      </c>
      <c r="I42" s="96">
        <v>1</v>
      </c>
      <c r="J42" s="128">
        <v>1</v>
      </c>
      <c r="K42" s="104">
        <v>1</v>
      </c>
      <c r="L42" s="75"/>
      <c r="M42" s="75"/>
      <c r="N42" s="75"/>
      <c r="O42" s="96"/>
      <c r="P42" s="163"/>
      <c r="Q42" s="109"/>
      <c r="R42" s="108"/>
      <c r="S42" s="100"/>
      <c r="T42" s="110"/>
      <c r="U42" s="110">
        <v>1</v>
      </c>
      <c r="V42" s="100">
        <v>1</v>
      </c>
      <c r="W42" s="100">
        <v>1</v>
      </c>
      <c r="X42" s="100">
        <v>1</v>
      </c>
      <c r="Y42" s="110">
        <v>1</v>
      </c>
      <c r="Z42" s="110">
        <v>1</v>
      </c>
      <c r="AA42" s="100">
        <v>1</v>
      </c>
      <c r="AB42" s="108"/>
      <c r="AC42" s="109"/>
      <c r="AD42" s="109"/>
      <c r="AE42" s="109">
        <v>1</v>
      </c>
      <c r="AF42" s="109"/>
      <c r="AG42" s="108"/>
      <c r="AH42" s="108"/>
      <c r="AI42" s="100"/>
      <c r="AJ42" s="100"/>
      <c r="AK42" s="110"/>
      <c r="AL42" s="11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</row>
    <row r="43" spans="1:48" ht="16.3">
      <c r="A43" s="611" t="s">
        <v>2</v>
      </c>
      <c r="B43" s="221">
        <f>SUM(J43+K43+L43+M43+N43+S43+V43+W43+X43+AA43+AI43+AJ43+AI43+AM43+AP43+AQ43+AS43+AT43+AU43+AV43)+10</f>
        <v>11</v>
      </c>
      <c r="C43" s="215">
        <f>SUM(K43+L43+M43+N43+J43+S43+W43+X43+V43+AA43+AJ43+AI43+AJ43+AM43+AN43+AQ43+AP43+AT43+AU43+AV43+AS43+AO43)+10</f>
        <v>11</v>
      </c>
      <c r="D43" s="139"/>
      <c r="E43" s="140"/>
      <c r="F43" s="135"/>
      <c r="G43" s="136"/>
      <c r="H43" s="96"/>
      <c r="I43" s="96"/>
      <c r="J43" s="128"/>
      <c r="K43" s="104"/>
      <c r="L43" s="75"/>
      <c r="M43" s="75"/>
      <c r="N43" s="75"/>
      <c r="O43" s="96"/>
      <c r="P43" s="163"/>
      <c r="Q43" s="109"/>
      <c r="R43" s="108"/>
      <c r="S43" s="100">
        <v>1</v>
      </c>
      <c r="T43" s="110"/>
      <c r="U43" s="110"/>
      <c r="V43" s="100"/>
      <c r="W43" s="100"/>
      <c r="X43" s="100"/>
      <c r="Y43" s="110"/>
      <c r="Z43" s="110"/>
      <c r="AA43" s="100"/>
      <c r="AB43" s="108"/>
      <c r="AC43" s="109"/>
      <c r="AD43" s="109"/>
      <c r="AE43" s="109"/>
      <c r="AF43" s="109"/>
      <c r="AG43" s="108"/>
      <c r="AH43" s="108"/>
      <c r="AI43" s="100"/>
      <c r="AJ43" s="100"/>
      <c r="AK43" s="110"/>
      <c r="AL43" s="11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</row>
    <row r="44" spans="1:48" ht="16.3">
      <c r="A44" s="629" t="s">
        <v>363</v>
      </c>
      <c r="B44" s="219">
        <f>SUM(B42+B43)</f>
        <v>54</v>
      </c>
      <c r="C44" s="214">
        <f>SUM(C42+C43)</f>
        <v>73</v>
      </c>
      <c r="D44" s="133"/>
      <c r="E44" s="134"/>
      <c r="F44" s="135"/>
      <c r="G44" s="136"/>
      <c r="H44" s="96"/>
      <c r="I44" s="96"/>
      <c r="J44" s="128"/>
      <c r="K44" s="104"/>
      <c r="L44" s="75"/>
      <c r="M44" s="75"/>
      <c r="N44" s="75"/>
      <c r="O44" s="96"/>
      <c r="P44" s="163"/>
      <c r="Q44" s="109"/>
      <c r="R44" s="108"/>
      <c r="S44" s="100"/>
      <c r="T44" s="110"/>
      <c r="U44" s="110"/>
      <c r="V44" s="100"/>
      <c r="W44" s="100"/>
      <c r="X44" s="100"/>
      <c r="Y44" s="110"/>
      <c r="Z44" s="110"/>
      <c r="AA44" s="100"/>
      <c r="AB44" s="108"/>
      <c r="AC44" s="109"/>
      <c r="AD44" s="109"/>
      <c r="AE44" s="109"/>
      <c r="AF44" s="109"/>
      <c r="AG44" s="108"/>
      <c r="AH44" s="108"/>
      <c r="AI44" s="100"/>
      <c r="AJ44" s="100"/>
      <c r="AK44" s="110"/>
      <c r="AL44" s="11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</row>
    <row r="45" spans="1:48" ht="16.3">
      <c r="A45" s="611" t="s">
        <v>362</v>
      </c>
      <c r="B45" s="221">
        <f>SUM(J45+K45+L45+M45+N45+S45+V45+W45+X45+AA45+AI45+AJ45+AI45+AM45+AP45+AQ45+AS45+AT45+AU45+AV45)+1</f>
        <v>2</v>
      </c>
      <c r="C45" s="215">
        <f>SUM(K45+L45+M45+N45+J45+S45+W45+X45+V45+AA45+AJ45+AI45+AJ45+AM45+AN45+AQ45+AP45+AT45+AU45+AV45+AS45+AO45)+1</f>
        <v>2</v>
      </c>
      <c r="D45" s="133"/>
      <c r="E45" s="134"/>
      <c r="F45" s="135"/>
      <c r="G45" s="136"/>
      <c r="H45" s="96"/>
      <c r="I45" s="96"/>
      <c r="J45" s="128"/>
      <c r="K45" s="104"/>
      <c r="L45" s="75"/>
      <c r="M45" s="75"/>
      <c r="N45" s="75"/>
      <c r="O45" s="96"/>
      <c r="P45" s="163"/>
      <c r="Q45" s="109"/>
      <c r="R45" s="108"/>
      <c r="S45" s="100"/>
      <c r="T45" s="110"/>
      <c r="U45" s="110"/>
      <c r="V45" s="100"/>
      <c r="W45" s="100"/>
      <c r="X45" s="100"/>
      <c r="Y45" s="110"/>
      <c r="Z45" s="110"/>
      <c r="AA45" s="100">
        <v>1</v>
      </c>
      <c r="AB45" s="108"/>
      <c r="AC45" s="109"/>
      <c r="AD45" s="109"/>
      <c r="AE45" s="109">
        <v>1</v>
      </c>
      <c r="AF45" s="109"/>
      <c r="AG45" s="108"/>
      <c r="AH45" s="108"/>
      <c r="AI45" s="100"/>
      <c r="AJ45" s="100"/>
      <c r="AK45" s="110"/>
      <c r="AL45" s="11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</row>
    <row r="46" spans="1:48" ht="16.3">
      <c r="A46" s="611" t="s">
        <v>364</v>
      </c>
      <c r="B46" s="221">
        <f>SUM(J46+K46+L46+M46+N46+S46+V46+W46+X46+AA46+AI46+AJ46+AI46+AM46+AP46+AQ46+AS46+AT46+AU46+AV46)+1</f>
        <v>1</v>
      </c>
      <c r="C46" s="215">
        <f>SUM(K46+L46+M46+N46+J46+S46+W46+X46+V46+AA46+AJ46+AI46+AJ46+AM46+AN46+AQ46+AP46+AT46+AU46+AV46+AS46+AO46)+1</f>
        <v>1</v>
      </c>
      <c r="D46" s="133"/>
      <c r="E46" s="134"/>
      <c r="F46" s="135"/>
      <c r="G46" s="136"/>
      <c r="H46" s="96"/>
      <c r="I46" s="96"/>
      <c r="J46" s="128"/>
      <c r="K46" s="104"/>
      <c r="L46" s="75"/>
      <c r="M46" s="75"/>
      <c r="N46" s="75"/>
      <c r="O46" s="96"/>
      <c r="P46" s="163"/>
      <c r="Q46" s="109"/>
      <c r="R46" s="108"/>
      <c r="S46" s="100"/>
      <c r="T46" s="110"/>
      <c r="U46" s="110"/>
      <c r="V46" s="100"/>
      <c r="W46" s="100"/>
      <c r="X46" s="100"/>
      <c r="Y46" s="110"/>
      <c r="Z46" s="110"/>
      <c r="AA46" s="100"/>
      <c r="AB46" s="108"/>
      <c r="AC46" s="109"/>
      <c r="AD46" s="109"/>
      <c r="AE46" s="109"/>
      <c r="AF46" s="109"/>
      <c r="AG46" s="108"/>
      <c r="AH46" s="108"/>
      <c r="AI46" s="100"/>
      <c r="AJ46" s="100"/>
      <c r="AK46" s="110"/>
      <c r="AL46" s="11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</row>
    <row r="47" spans="1:48" ht="16.3">
      <c r="A47" s="91" t="s">
        <v>3</v>
      </c>
      <c r="B47" s="219">
        <f>SUM(J47+K47+L47+M47+N47+S47+V47+W47+X47+AA47+AI47+AJ47+AI47+AM47+AP47+AQ47+AS47+AT47+AU47+AV47)+9</f>
        <v>9</v>
      </c>
      <c r="C47" s="214">
        <f>SUM(K47+L47+M47+N47+J47+S47+W47+X47+V47+AA47+AJ47+AI47+AJ47+AM47+AN47+AQ47+AP47+AT47+AU47+AV47+AS47+AO47)+15</f>
        <v>15</v>
      </c>
      <c r="D47" s="133"/>
      <c r="E47" s="134"/>
      <c r="F47" s="135"/>
      <c r="G47" s="136"/>
      <c r="H47" s="96"/>
      <c r="I47" s="96"/>
      <c r="J47" s="128"/>
      <c r="K47" s="104"/>
      <c r="L47" s="75"/>
      <c r="M47" s="75"/>
      <c r="N47" s="75"/>
      <c r="O47" s="96"/>
      <c r="P47" s="163"/>
      <c r="Q47" s="109"/>
      <c r="R47" s="108"/>
      <c r="S47" s="100"/>
      <c r="T47" s="110"/>
      <c r="U47" s="110"/>
      <c r="V47" s="100"/>
      <c r="W47" s="100"/>
      <c r="X47" s="100"/>
      <c r="Y47" s="150">
        <v>3</v>
      </c>
      <c r="Z47" s="110"/>
      <c r="AA47" s="100"/>
      <c r="AB47" s="108"/>
      <c r="AC47" s="109"/>
      <c r="AD47" s="109"/>
      <c r="AE47" s="109"/>
      <c r="AF47" s="109"/>
      <c r="AG47" s="108"/>
      <c r="AH47" s="108"/>
      <c r="AI47" s="100"/>
      <c r="AJ47" s="100"/>
      <c r="AK47" s="110"/>
      <c r="AL47" s="11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</row>
    <row r="48" spans="1:48" ht="17" thickBot="1">
      <c r="A48" s="91" t="s">
        <v>4</v>
      </c>
      <c r="B48" s="220">
        <f>SUM(J48+K48+L48+M48+N48+S48+V48+W48+X48+AA48+AI48+AJ48+AI48+AM48+AP48+AQ48+AS48+AT48+AU48+AV48)+45</f>
        <v>45</v>
      </c>
      <c r="C48" s="217">
        <f>SUM(K48+L48+M48+N48+J48+S48+W48+X48+V48+AA48+AJ48+AI48+AJ48+AM48+AN48+AQ48+AP48+AT48+AU48+AV48+AS48+AO48)+75</f>
        <v>75</v>
      </c>
      <c r="D48" s="144"/>
      <c r="E48" s="145"/>
      <c r="F48" s="146"/>
      <c r="G48" s="147"/>
      <c r="H48" s="96"/>
      <c r="I48" s="96"/>
      <c r="J48" s="128"/>
      <c r="K48" s="104"/>
      <c r="L48" s="75"/>
      <c r="M48" s="75"/>
      <c r="N48" s="75"/>
      <c r="O48" s="96"/>
      <c r="P48" s="163"/>
      <c r="Q48" s="109"/>
      <c r="R48" s="108"/>
      <c r="S48" s="100"/>
      <c r="T48" s="110"/>
      <c r="U48" s="110"/>
      <c r="V48" s="100"/>
      <c r="W48" s="100"/>
      <c r="X48" s="100"/>
      <c r="Y48" s="110">
        <v>15</v>
      </c>
      <c r="Z48" s="110"/>
      <c r="AA48" s="100"/>
      <c r="AB48" s="108"/>
      <c r="AC48" s="109"/>
      <c r="AD48" s="109"/>
      <c r="AE48" s="109"/>
      <c r="AF48" s="109"/>
      <c r="AG48" s="108"/>
      <c r="AH48" s="108"/>
      <c r="AI48" s="100"/>
      <c r="AJ48" s="100"/>
      <c r="AK48" s="110"/>
      <c r="AL48" s="11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</row>
    <row r="49" spans="1:48" ht="21.1">
      <c r="A49" s="90" t="s">
        <v>90</v>
      </c>
      <c r="B49" s="219"/>
      <c r="C49" s="214"/>
      <c r="D49" s="133"/>
      <c r="E49" s="134"/>
      <c r="F49" s="135"/>
      <c r="G49" s="136"/>
      <c r="H49" s="124" t="s">
        <v>375</v>
      </c>
      <c r="I49" s="124" t="s">
        <v>375</v>
      </c>
      <c r="J49" s="165"/>
      <c r="K49" s="123"/>
      <c r="L49" s="122"/>
      <c r="M49" s="122"/>
      <c r="N49" s="122"/>
      <c r="O49" s="124" t="s">
        <v>383</v>
      </c>
      <c r="P49" s="166"/>
      <c r="Q49" s="99" t="s">
        <v>367</v>
      </c>
      <c r="R49" s="98"/>
      <c r="S49" s="102"/>
      <c r="T49" s="101"/>
      <c r="U49" s="101"/>
      <c r="V49" s="102"/>
      <c r="W49" s="102"/>
      <c r="X49" s="102"/>
      <c r="Y49" s="101"/>
      <c r="Z49" s="101"/>
      <c r="AA49" s="102"/>
      <c r="AB49" s="98"/>
      <c r="AC49" s="99" t="s">
        <v>375</v>
      </c>
      <c r="AD49" s="99"/>
      <c r="AE49" s="99"/>
      <c r="AF49" s="99"/>
      <c r="AG49" s="98"/>
      <c r="AH49" s="98"/>
      <c r="AI49" s="102"/>
      <c r="AJ49" s="102"/>
      <c r="AK49" s="101"/>
      <c r="AL49" s="101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</row>
    <row r="50" spans="1:48" ht="16.3">
      <c r="A50" s="611" t="s">
        <v>1</v>
      </c>
      <c r="B50" s="221">
        <f>SUM(J50+K50+L50+M50+N50+S50+V50+W50+X50+AA50+AI50+AJ50+AI50+AM50+AP50+AQ50+AS50+AT50+AU50+AV50+AN50)</f>
        <v>0</v>
      </c>
      <c r="C50" s="215">
        <f>B50</f>
        <v>0</v>
      </c>
      <c r="D50" s="133"/>
      <c r="E50" s="134"/>
      <c r="F50" s="135"/>
      <c r="G50" s="136"/>
      <c r="H50" s="96"/>
      <c r="I50" s="96"/>
      <c r="J50" s="128"/>
      <c r="K50" s="104"/>
      <c r="L50" s="75"/>
      <c r="M50" s="75"/>
      <c r="N50" s="75"/>
      <c r="O50" s="96">
        <v>1</v>
      </c>
      <c r="P50" s="105"/>
      <c r="Q50" s="96">
        <v>1</v>
      </c>
      <c r="R50" s="105"/>
      <c r="S50" s="75"/>
      <c r="T50" s="106"/>
      <c r="U50" s="106"/>
      <c r="V50" s="75"/>
      <c r="W50" s="75"/>
      <c r="X50" s="75"/>
      <c r="Y50" s="106"/>
      <c r="Z50" s="106"/>
      <c r="AA50" s="75"/>
      <c r="AB50" s="105"/>
      <c r="AC50" s="96"/>
      <c r="AD50" s="96"/>
      <c r="AE50" s="96"/>
      <c r="AF50" s="96"/>
      <c r="AG50" s="105"/>
      <c r="AH50" s="105"/>
      <c r="AI50" s="75"/>
      <c r="AJ50" s="75"/>
      <c r="AK50" s="106"/>
      <c r="AL50" s="106"/>
      <c r="AM50" s="75"/>
      <c r="AN50" s="75"/>
      <c r="AO50" s="75"/>
      <c r="AP50" s="75"/>
      <c r="AQ50" s="75"/>
      <c r="AR50" s="75"/>
      <c r="AS50" s="75"/>
      <c r="AT50" s="75"/>
      <c r="AU50" s="75"/>
      <c r="AV50" s="75"/>
    </row>
    <row r="51" spans="1:48" ht="16.3">
      <c r="A51" s="611" t="s">
        <v>2</v>
      </c>
      <c r="B51" s="221">
        <f>SUM(J51+K51+L51+M51+N51+S51+V51+W51+X51+AA51+AI51+AJ51+AI51+AM51+AP51+AQ51+AS51+AT51+AU51+AV51)+2</f>
        <v>2</v>
      </c>
      <c r="C51" s="215">
        <f t="shared" ref="C51:C54" si="6">B51</f>
        <v>2</v>
      </c>
      <c r="D51" s="133"/>
      <c r="E51" s="134"/>
      <c r="F51" s="135"/>
      <c r="G51" s="136"/>
      <c r="H51" s="96">
        <v>1</v>
      </c>
      <c r="I51" s="96">
        <v>1</v>
      </c>
      <c r="J51" s="128"/>
      <c r="K51" s="104"/>
      <c r="L51" s="75"/>
      <c r="M51" s="75"/>
      <c r="N51" s="75"/>
      <c r="O51" s="96"/>
      <c r="P51" s="163"/>
      <c r="Q51" s="109"/>
      <c r="R51" s="108"/>
      <c r="S51" s="100"/>
      <c r="T51" s="110"/>
      <c r="U51" s="110"/>
      <c r="V51" s="100"/>
      <c r="W51" s="100"/>
      <c r="X51" s="100"/>
      <c r="Y51" s="110"/>
      <c r="Z51" s="110"/>
      <c r="AA51" s="100"/>
      <c r="AB51" s="108"/>
      <c r="AC51" s="109">
        <v>1</v>
      </c>
      <c r="AD51" s="109"/>
      <c r="AE51" s="109"/>
      <c r="AF51" s="109"/>
      <c r="AG51" s="108"/>
      <c r="AH51" s="108"/>
      <c r="AI51" s="100"/>
      <c r="AJ51" s="100"/>
      <c r="AK51" s="110"/>
      <c r="AL51" s="11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</row>
    <row r="52" spans="1:48" ht="16.3">
      <c r="A52" s="91" t="s">
        <v>363</v>
      </c>
      <c r="B52" s="219">
        <f>SUM(B50+B51)</f>
        <v>2</v>
      </c>
      <c r="C52" s="214">
        <f t="shared" si="6"/>
        <v>2</v>
      </c>
      <c r="D52" s="133"/>
      <c r="E52" s="134"/>
      <c r="F52" s="135"/>
      <c r="G52" s="136"/>
      <c r="H52" s="96"/>
      <c r="I52" s="96"/>
      <c r="J52" s="128"/>
      <c r="K52" s="104"/>
      <c r="L52" s="75"/>
      <c r="M52" s="75"/>
      <c r="N52" s="75"/>
      <c r="O52" s="96"/>
      <c r="P52" s="163"/>
      <c r="Q52" s="109"/>
      <c r="R52" s="108"/>
      <c r="S52" s="100"/>
      <c r="T52" s="110"/>
      <c r="U52" s="110"/>
      <c r="V52" s="100"/>
      <c r="W52" s="100"/>
      <c r="X52" s="100"/>
      <c r="Y52" s="110"/>
      <c r="Z52" s="110"/>
      <c r="AA52" s="100"/>
      <c r="AB52" s="108"/>
      <c r="AC52" s="109"/>
      <c r="AD52" s="109"/>
      <c r="AE52" s="109"/>
      <c r="AF52" s="109"/>
      <c r="AG52" s="108"/>
      <c r="AH52" s="108"/>
      <c r="AI52" s="100"/>
      <c r="AJ52" s="100"/>
      <c r="AK52" s="110"/>
      <c r="AL52" s="11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</row>
    <row r="53" spans="1:48" ht="16.3">
      <c r="A53" s="91" t="s">
        <v>3</v>
      </c>
      <c r="B53" s="219">
        <f>SUM(J53+K53+L53+M53+N53+S53+V53+W53+X53+AA53+AI53+AJ53+AI53+AM53+AP53+AQ53+AS53+AT53+AU53+AV53)</f>
        <v>0</v>
      </c>
      <c r="C53" s="214">
        <f t="shared" si="6"/>
        <v>0</v>
      </c>
      <c r="D53" s="133"/>
      <c r="E53" s="134"/>
      <c r="F53" s="135"/>
      <c r="G53" s="136"/>
      <c r="H53" s="96"/>
      <c r="I53" s="96"/>
      <c r="J53" s="128"/>
      <c r="K53" s="104"/>
      <c r="L53" s="75"/>
      <c r="M53" s="75"/>
      <c r="N53" s="75"/>
      <c r="O53" s="96">
        <v>1</v>
      </c>
      <c r="P53" s="163"/>
      <c r="Q53" s="109"/>
      <c r="R53" s="108"/>
      <c r="S53" s="100"/>
      <c r="T53" s="110"/>
      <c r="U53" s="110"/>
      <c r="V53" s="100"/>
      <c r="W53" s="100"/>
      <c r="X53" s="100"/>
      <c r="Y53" s="110"/>
      <c r="Z53" s="110"/>
      <c r="AA53" s="100"/>
      <c r="AB53" s="108"/>
      <c r="AC53" s="109"/>
      <c r="AD53" s="109"/>
      <c r="AE53" s="109"/>
      <c r="AF53" s="109"/>
      <c r="AG53" s="108"/>
      <c r="AH53" s="108"/>
      <c r="AI53" s="100"/>
      <c r="AJ53" s="100"/>
      <c r="AK53" s="110"/>
      <c r="AL53" s="11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</row>
    <row r="54" spans="1:48" ht="17" thickBot="1">
      <c r="A54" s="92" t="s">
        <v>4</v>
      </c>
      <c r="B54" s="220">
        <f>SUM(J54+K54+L54+M54+N54+S54+V54+W54+X54+AA54+AI54+AJ54+AI54+AM54+AP54+AQ54+AS54+AT54+AU54+AV54)</f>
        <v>0</v>
      </c>
      <c r="C54" s="217">
        <f t="shared" si="6"/>
        <v>0</v>
      </c>
      <c r="D54" s="144"/>
      <c r="E54" s="145"/>
      <c r="F54" s="146"/>
      <c r="G54" s="147"/>
      <c r="H54" s="114"/>
      <c r="I54" s="114"/>
      <c r="J54" s="129"/>
      <c r="K54" s="113"/>
      <c r="L54" s="112"/>
      <c r="M54" s="112"/>
      <c r="N54" s="112"/>
      <c r="O54" s="114">
        <v>5</v>
      </c>
      <c r="P54" s="164"/>
      <c r="Q54" s="109"/>
      <c r="R54" s="108"/>
      <c r="S54" s="116"/>
      <c r="T54" s="120"/>
      <c r="U54" s="119"/>
      <c r="V54" s="100"/>
      <c r="W54" s="100"/>
      <c r="X54" s="100"/>
      <c r="Y54" s="110"/>
      <c r="Z54" s="110"/>
      <c r="AA54" s="100"/>
      <c r="AB54" s="108"/>
      <c r="AC54" s="109"/>
      <c r="AD54" s="109"/>
      <c r="AE54" s="109"/>
      <c r="AF54" s="109"/>
      <c r="AG54" s="108"/>
      <c r="AH54" s="108"/>
      <c r="AI54" s="100"/>
      <c r="AJ54" s="100"/>
      <c r="AK54" s="110"/>
      <c r="AL54" s="11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</row>
    <row r="55" spans="1:48" ht="21.1">
      <c r="A55" s="89" t="s">
        <v>38</v>
      </c>
      <c r="B55" s="219"/>
      <c r="C55" s="214"/>
      <c r="D55" s="133"/>
      <c r="E55" s="134"/>
      <c r="F55" s="135"/>
      <c r="G55" s="136"/>
      <c r="H55" s="96" t="s">
        <v>501</v>
      </c>
      <c r="I55" s="96"/>
      <c r="J55" s="75">
        <v>11</v>
      </c>
      <c r="K55" s="128" t="s">
        <v>339</v>
      </c>
      <c r="L55" s="75">
        <v>11</v>
      </c>
      <c r="M55" s="75" t="s">
        <v>770</v>
      </c>
      <c r="N55" s="75" t="s">
        <v>769</v>
      </c>
      <c r="O55" s="96" t="s">
        <v>775</v>
      </c>
      <c r="P55" s="163"/>
      <c r="Q55" s="99" t="s">
        <v>775</v>
      </c>
      <c r="R55" s="98"/>
      <c r="S55" s="100">
        <v>11</v>
      </c>
      <c r="T55" s="110" t="s">
        <v>769</v>
      </c>
      <c r="U55" s="110" t="s">
        <v>769</v>
      </c>
      <c r="V55" s="102" t="s">
        <v>769</v>
      </c>
      <c r="W55" s="102" t="s">
        <v>908</v>
      </c>
      <c r="X55" s="102"/>
      <c r="Y55" s="101">
        <v>11</v>
      </c>
      <c r="Z55" s="101">
        <v>11</v>
      </c>
      <c r="AA55" s="102">
        <v>11</v>
      </c>
      <c r="AB55" s="98"/>
      <c r="AC55" s="99" t="s">
        <v>816</v>
      </c>
      <c r="AD55" s="99" t="s">
        <v>775</v>
      </c>
      <c r="AE55" s="99" t="s">
        <v>775</v>
      </c>
      <c r="AF55" s="99" t="s">
        <v>367</v>
      </c>
      <c r="AG55" s="98"/>
      <c r="AH55" s="98"/>
      <c r="AI55" s="102"/>
      <c r="AJ55" s="102"/>
      <c r="AK55" s="101"/>
      <c r="AL55" s="101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</row>
    <row r="56" spans="1:48" ht="16.3">
      <c r="A56" s="611" t="s">
        <v>1</v>
      </c>
      <c r="B56" s="221">
        <f>SUM(J56+K56+L56+M56+N56+S56+V56+W56+X56+AA56+AI56+AJ56+AI56+AM56+AP56+AQ56+AS56+AT56+AU56+AV56+AN56)+88</f>
        <v>96</v>
      </c>
      <c r="C56" s="215">
        <f>B56</f>
        <v>96</v>
      </c>
      <c r="D56" s="139"/>
      <c r="E56" s="134"/>
      <c r="F56" s="135"/>
      <c r="G56" s="136"/>
      <c r="H56" s="96"/>
      <c r="I56" s="96"/>
      <c r="J56" s="128">
        <v>1</v>
      </c>
      <c r="K56" s="104"/>
      <c r="L56" s="75">
        <v>1</v>
      </c>
      <c r="M56" s="75">
        <v>1</v>
      </c>
      <c r="N56" s="75">
        <v>1</v>
      </c>
      <c r="O56" s="96"/>
      <c r="P56" s="163"/>
      <c r="Q56" s="109"/>
      <c r="R56" s="108"/>
      <c r="S56" s="100">
        <v>1</v>
      </c>
      <c r="T56" s="110">
        <v>1</v>
      </c>
      <c r="U56" s="110">
        <v>1</v>
      </c>
      <c r="V56" s="100">
        <v>1</v>
      </c>
      <c r="W56" s="100">
        <v>1</v>
      </c>
      <c r="X56" s="100"/>
      <c r="Y56" s="110">
        <v>1</v>
      </c>
      <c r="Z56" s="110">
        <v>1</v>
      </c>
      <c r="AA56" s="100">
        <v>1</v>
      </c>
      <c r="AB56" s="108"/>
      <c r="AC56" s="109"/>
      <c r="AD56" s="109"/>
      <c r="AE56" s="109"/>
      <c r="AF56" s="109">
        <v>1</v>
      </c>
      <c r="AG56" s="108"/>
      <c r="AH56" s="108"/>
      <c r="AI56" s="100"/>
      <c r="AJ56" s="100"/>
      <c r="AK56" s="110"/>
      <c r="AL56" s="11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</row>
    <row r="57" spans="1:48" ht="16.3">
      <c r="A57" s="611" t="s">
        <v>2</v>
      </c>
      <c r="B57" s="221">
        <f>SUM(J57+K57+L57+M57+N57+S57+V57+W57+X57+AA57+AI57+AJ57+AI57+AM57+AP57+AQ57+AS57+AT57+AU57+AV57)+4</f>
        <v>4</v>
      </c>
      <c r="C57" s="215">
        <f t="shared" ref="C57:C61" si="7">B57</f>
        <v>4</v>
      </c>
      <c r="D57" s="139"/>
      <c r="E57" s="134"/>
      <c r="F57" s="135"/>
      <c r="G57" s="136"/>
      <c r="H57" s="96"/>
      <c r="I57" s="96"/>
      <c r="J57" s="128"/>
      <c r="K57" s="104"/>
      <c r="L57" s="75"/>
      <c r="M57" s="75"/>
      <c r="N57" s="75"/>
      <c r="O57" s="96"/>
      <c r="P57" s="163"/>
      <c r="Q57" s="109"/>
      <c r="R57" s="108"/>
      <c r="S57" s="100"/>
      <c r="T57" s="110"/>
      <c r="U57" s="110"/>
      <c r="V57" s="100"/>
      <c r="W57" s="100"/>
      <c r="X57" s="100"/>
      <c r="Y57" s="110"/>
      <c r="Z57" s="110"/>
      <c r="AA57" s="100"/>
      <c r="AB57" s="108"/>
      <c r="AC57" s="109"/>
      <c r="AD57" s="109"/>
      <c r="AE57" s="109"/>
      <c r="AF57" s="109"/>
      <c r="AG57" s="108"/>
      <c r="AH57" s="108"/>
      <c r="AI57" s="100"/>
      <c r="AJ57" s="100"/>
      <c r="AK57" s="110"/>
      <c r="AL57" s="11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</row>
    <row r="58" spans="1:48" ht="16.3">
      <c r="A58" s="629" t="s">
        <v>363</v>
      </c>
      <c r="B58" s="219">
        <f>SUM(B56+B57)</f>
        <v>100</v>
      </c>
      <c r="C58" s="214">
        <f t="shared" si="7"/>
        <v>100</v>
      </c>
      <c r="D58" s="133"/>
      <c r="E58" s="134"/>
      <c r="F58" s="135"/>
      <c r="G58" s="136"/>
      <c r="H58" s="96"/>
      <c r="I58" s="96"/>
      <c r="J58" s="128"/>
      <c r="K58" s="104"/>
      <c r="L58" s="75"/>
      <c r="M58" s="75"/>
      <c r="N58" s="75"/>
      <c r="O58" s="96"/>
      <c r="P58" s="163"/>
      <c r="Q58" s="109"/>
      <c r="R58" s="108"/>
      <c r="S58" s="100"/>
      <c r="T58" s="110"/>
      <c r="U58" s="110"/>
      <c r="V58" s="100"/>
      <c r="W58" s="100"/>
      <c r="X58" s="100"/>
      <c r="Y58" s="110"/>
      <c r="Z58" s="110"/>
      <c r="AA58" s="100"/>
      <c r="AB58" s="108"/>
      <c r="AC58" s="109"/>
      <c r="AD58" s="109"/>
      <c r="AE58" s="109"/>
      <c r="AF58" s="109"/>
      <c r="AG58" s="108"/>
      <c r="AH58" s="108"/>
      <c r="AI58" s="100"/>
      <c r="AJ58" s="100"/>
      <c r="AK58" s="110"/>
      <c r="AL58" s="11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</row>
    <row r="59" spans="1:48" ht="16.3">
      <c r="A59" s="611" t="s">
        <v>366</v>
      </c>
      <c r="B59" s="221">
        <f>SUM(J59+K59+L59+M59+N59+S59+V59+W59+X59+AA59+AI59+AJ59+AI59+AM59+AP59+AQ59+AS59+AT59+AU59+AV59)+2</f>
        <v>6</v>
      </c>
      <c r="C59" s="215">
        <f t="shared" si="7"/>
        <v>6</v>
      </c>
      <c r="D59" s="133"/>
      <c r="E59" s="134"/>
      <c r="F59" s="135"/>
      <c r="G59" s="136"/>
      <c r="H59" s="96"/>
      <c r="I59" s="96"/>
      <c r="J59" s="128"/>
      <c r="K59" s="104"/>
      <c r="L59" s="75"/>
      <c r="M59" s="75">
        <v>1</v>
      </c>
      <c r="N59" s="75">
        <v>1</v>
      </c>
      <c r="O59" s="96"/>
      <c r="P59" s="163"/>
      <c r="Q59" s="109"/>
      <c r="R59" s="108"/>
      <c r="S59" s="100"/>
      <c r="T59" s="110">
        <v>1</v>
      </c>
      <c r="U59" s="110">
        <v>1</v>
      </c>
      <c r="V59" s="100">
        <v>1</v>
      </c>
      <c r="W59" s="100">
        <v>1</v>
      </c>
      <c r="X59" s="100"/>
      <c r="Y59" s="110"/>
      <c r="Z59" s="110"/>
      <c r="AA59" s="100"/>
      <c r="AB59" s="108"/>
      <c r="AC59" s="109"/>
      <c r="AD59" s="109"/>
      <c r="AE59" s="109"/>
      <c r="AF59" s="109"/>
      <c r="AG59" s="108"/>
      <c r="AH59" s="108"/>
      <c r="AI59" s="100"/>
      <c r="AJ59" s="100"/>
      <c r="AK59" s="110"/>
      <c r="AL59" s="11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</row>
    <row r="60" spans="1:48" ht="16.3">
      <c r="A60" s="611" t="s">
        <v>362</v>
      </c>
      <c r="B60" s="221">
        <f>SUM(J60+K60+L60+M60+N60+S60+V60+W60+X60+AA60+AI60+AJ60+AI60+AM60+AP60+AQ60+AS60+AT60+AU60+AV60)+2</f>
        <v>3</v>
      </c>
      <c r="C60" s="215">
        <f t="shared" si="7"/>
        <v>3</v>
      </c>
      <c r="D60" s="133"/>
      <c r="E60" s="134"/>
      <c r="F60" s="135"/>
      <c r="G60" s="136"/>
      <c r="H60" s="96"/>
      <c r="I60" s="96"/>
      <c r="J60" s="128"/>
      <c r="K60" s="104"/>
      <c r="L60" s="75"/>
      <c r="M60" s="75">
        <v>1</v>
      </c>
      <c r="N60" s="75"/>
      <c r="O60" s="96"/>
      <c r="P60" s="163"/>
      <c r="Q60" s="109"/>
      <c r="R60" s="108"/>
      <c r="S60" s="100"/>
      <c r="T60" s="110"/>
      <c r="U60" s="110"/>
      <c r="V60" s="100"/>
      <c r="W60" s="100"/>
      <c r="X60" s="100"/>
      <c r="Y60" s="110"/>
      <c r="Z60" s="110"/>
      <c r="AA60" s="100"/>
      <c r="AB60" s="108"/>
      <c r="AC60" s="109"/>
      <c r="AD60" s="109"/>
      <c r="AE60" s="109"/>
      <c r="AF60" s="109"/>
      <c r="AG60" s="108"/>
      <c r="AH60" s="108"/>
      <c r="AI60" s="100"/>
      <c r="AJ60" s="100"/>
      <c r="AK60" s="110"/>
      <c r="AL60" s="11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</row>
    <row r="61" spans="1:48" ht="16.3">
      <c r="A61" s="91" t="s">
        <v>3</v>
      </c>
      <c r="B61" s="219">
        <f>SUM(J61+K61+L61+M61+N61+S61+V61+W61+X61+AA61+AI61+AJ61+AI61+AM61+AP61+AQ61+AS61+AT61+AU61+AV61)+54</f>
        <v>55</v>
      </c>
      <c r="C61" s="214">
        <f t="shared" si="7"/>
        <v>55</v>
      </c>
      <c r="D61" s="133"/>
      <c r="E61" s="134"/>
      <c r="F61" s="135"/>
      <c r="G61" s="136"/>
      <c r="H61" s="96"/>
      <c r="I61" s="96"/>
      <c r="J61" s="128"/>
      <c r="K61" s="104"/>
      <c r="L61" s="75"/>
      <c r="M61" s="75"/>
      <c r="N61" s="75"/>
      <c r="O61" s="96"/>
      <c r="P61" s="163"/>
      <c r="Q61" s="109"/>
      <c r="R61" s="108"/>
      <c r="S61" s="100">
        <v>1</v>
      </c>
      <c r="T61" s="110"/>
      <c r="U61" s="110">
        <v>1</v>
      </c>
      <c r="V61" s="100"/>
      <c r="W61" s="100"/>
      <c r="X61" s="100"/>
      <c r="Y61" s="110">
        <v>1</v>
      </c>
      <c r="Z61" s="110">
        <v>1</v>
      </c>
      <c r="AA61" s="100"/>
      <c r="AB61" s="108"/>
      <c r="AC61" s="109"/>
      <c r="AD61" s="109"/>
      <c r="AE61" s="109"/>
      <c r="AF61" s="109">
        <v>1</v>
      </c>
      <c r="AG61" s="108"/>
      <c r="AH61" s="108"/>
      <c r="AI61" s="100"/>
      <c r="AJ61" s="100"/>
      <c r="AK61" s="110"/>
      <c r="AL61" s="110"/>
      <c r="AM61" s="100"/>
      <c r="AN61" s="100"/>
      <c r="AO61" s="100"/>
      <c r="AP61" s="150"/>
      <c r="AQ61" s="100"/>
      <c r="AR61" s="100"/>
      <c r="AS61" s="100"/>
      <c r="AT61" s="100"/>
      <c r="AU61" s="100"/>
      <c r="AV61" s="100"/>
    </row>
    <row r="62" spans="1:48" ht="17" thickBot="1">
      <c r="A62" s="92" t="s">
        <v>4</v>
      </c>
      <c r="B62" s="220">
        <f>SUM(J62+K62+L62+M62+N62+S62+V62+W62+X62+AA62+AI62+AJ62+AI62+AM62+AP62+AQ62+AS62+AT62+AU62+AV62)+270</f>
        <v>275</v>
      </c>
      <c r="C62" s="217">
        <f t="shared" ref="C62" si="8">B62</f>
        <v>275</v>
      </c>
      <c r="D62" s="144"/>
      <c r="E62" s="145"/>
      <c r="F62" s="146"/>
      <c r="G62" s="147"/>
      <c r="H62" s="114"/>
      <c r="I62" s="114"/>
      <c r="J62" s="129"/>
      <c r="K62" s="113"/>
      <c r="L62" s="112"/>
      <c r="M62" s="112"/>
      <c r="N62" s="112"/>
      <c r="O62" s="114"/>
      <c r="P62" s="164"/>
      <c r="Q62" s="118"/>
      <c r="R62" s="117"/>
      <c r="S62" s="116">
        <v>5</v>
      </c>
      <c r="T62" s="120"/>
      <c r="U62" s="120">
        <v>5</v>
      </c>
      <c r="V62" s="116"/>
      <c r="W62" s="116"/>
      <c r="X62" s="116"/>
      <c r="Y62" s="120">
        <v>5</v>
      </c>
      <c r="Z62" s="120">
        <v>5</v>
      </c>
      <c r="AA62" s="116"/>
      <c r="AB62" s="117"/>
      <c r="AC62" s="118"/>
      <c r="AD62" s="118"/>
      <c r="AE62" s="118"/>
      <c r="AF62" s="118">
        <v>5</v>
      </c>
      <c r="AG62" s="117"/>
      <c r="AH62" s="117"/>
      <c r="AI62" s="116"/>
      <c r="AJ62" s="116"/>
      <c r="AK62" s="120"/>
      <c r="AL62" s="120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</row>
    <row r="63" spans="1:48" ht="21.1">
      <c r="A63" s="89" t="s">
        <v>122</v>
      </c>
      <c r="B63" s="219"/>
      <c r="C63" s="214"/>
      <c r="D63" s="133"/>
      <c r="E63" s="134"/>
      <c r="F63" s="135"/>
      <c r="G63" s="136"/>
      <c r="H63" s="96" t="s">
        <v>383</v>
      </c>
      <c r="I63" s="96">
        <v>14</v>
      </c>
      <c r="J63" s="128"/>
      <c r="K63" s="104" t="s">
        <v>367</v>
      </c>
      <c r="L63" s="75"/>
      <c r="M63" s="75"/>
      <c r="N63" s="75" t="s">
        <v>375</v>
      </c>
      <c r="O63" s="96">
        <v>11</v>
      </c>
      <c r="P63" s="163"/>
      <c r="Q63" s="109"/>
      <c r="R63" s="108"/>
      <c r="S63" s="100"/>
      <c r="T63" s="110">
        <v>14</v>
      </c>
      <c r="U63" s="110">
        <v>14</v>
      </c>
      <c r="V63" s="100" t="s">
        <v>383</v>
      </c>
      <c r="W63" s="102"/>
      <c r="X63" s="102">
        <v>11</v>
      </c>
      <c r="Y63" s="101"/>
      <c r="Z63" s="101"/>
      <c r="AA63" s="102"/>
      <c r="AB63" s="98"/>
      <c r="AC63" s="99" t="s">
        <v>367</v>
      </c>
      <c r="AD63" s="99">
        <v>11</v>
      </c>
      <c r="AE63" s="99">
        <v>11</v>
      </c>
      <c r="AF63" s="99"/>
      <c r="AG63" s="98"/>
      <c r="AH63" s="98"/>
      <c r="AI63" s="102"/>
      <c r="AJ63" s="102"/>
      <c r="AK63" s="101"/>
      <c r="AL63" s="101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</row>
    <row r="64" spans="1:48" ht="16.3">
      <c r="A64" s="585" t="s">
        <v>1</v>
      </c>
      <c r="B64" s="221">
        <f>SUM(J64+K64+L64+M64+N64+S64+V64+W64+X64+AA64+AI64+AJ64+AI64+AM64+AP64+AQ64+AS64+AT64+AU64+AV64+AN64)+2</f>
        <v>5</v>
      </c>
      <c r="C64" s="215">
        <f>B64</f>
        <v>5</v>
      </c>
      <c r="D64" s="133"/>
      <c r="E64" s="134"/>
      <c r="F64" s="135"/>
      <c r="G64" s="136"/>
      <c r="H64" s="96">
        <v>1</v>
      </c>
      <c r="I64" s="96">
        <v>1</v>
      </c>
      <c r="J64" s="128"/>
      <c r="K64" s="104">
        <v>1</v>
      </c>
      <c r="L64" s="75"/>
      <c r="M64" s="75"/>
      <c r="N64" s="75"/>
      <c r="O64" s="96">
        <v>1</v>
      </c>
      <c r="P64" s="163"/>
      <c r="Q64" s="109"/>
      <c r="R64" s="108"/>
      <c r="S64" s="100"/>
      <c r="T64" s="110">
        <v>1</v>
      </c>
      <c r="U64" s="110">
        <v>1</v>
      </c>
      <c r="V64" s="100">
        <v>1</v>
      </c>
      <c r="W64" s="100"/>
      <c r="X64" s="100">
        <v>1</v>
      </c>
      <c r="Y64" s="110"/>
      <c r="Z64" s="110"/>
      <c r="AA64" s="100"/>
      <c r="AB64" s="108"/>
      <c r="AC64" s="109">
        <v>1</v>
      </c>
      <c r="AD64" s="109">
        <v>1</v>
      </c>
      <c r="AE64" s="109">
        <v>1</v>
      </c>
      <c r="AF64" s="109"/>
      <c r="AG64" s="108"/>
      <c r="AH64" s="108"/>
      <c r="AI64" s="100"/>
      <c r="AJ64" s="100"/>
      <c r="AK64" s="110"/>
      <c r="AL64" s="11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</row>
    <row r="65" spans="1:48" ht="16.3">
      <c r="A65" s="585" t="s">
        <v>2</v>
      </c>
      <c r="B65" s="221">
        <f>SUM(J65+K65+L65+M65+N65+S65+V65+W65+X65+AA65+AI65+AJ65+AI65+AM65+AP65+AQ65+AS65+AT65+AU65+AV65)+1</f>
        <v>2</v>
      </c>
      <c r="C65" s="215">
        <f t="shared" ref="C65:C68" si="9">B65</f>
        <v>2</v>
      </c>
      <c r="D65" s="133"/>
      <c r="E65" s="134"/>
      <c r="F65" s="135"/>
      <c r="G65" s="136"/>
      <c r="H65" s="96"/>
      <c r="I65" s="96"/>
      <c r="J65" s="128"/>
      <c r="K65" s="104"/>
      <c r="L65" s="75"/>
      <c r="M65" s="75"/>
      <c r="N65" s="75">
        <v>1</v>
      </c>
      <c r="O65" s="96"/>
      <c r="P65" s="163"/>
      <c r="Q65" s="109"/>
      <c r="R65" s="108"/>
      <c r="S65" s="100"/>
      <c r="T65" s="110"/>
      <c r="U65" s="110"/>
      <c r="V65" s="100"/>
      <c r="W65" s="100"/>
      <c r="X65" s="100"/>
      <c r="Y65" s="110"/>
      <c r="Z65" s="110"/>
      <c r="AA65" s="100"/>
      <c r="AB65" s="108"/>
      <c r="AC65" s="109"/>
      <c r="AD65" s="109"/>
      <c r="AE65" s="109"/>
      <c r="AF65" s="109"/>
      <c r="AG65" s="108"/>
      <c r="AH65" s="108"/>
      <c r="AI65" s="100"/>
      <c r="AJ65" s="100"/>
      <c r="AK65" s="110"/>
      <c r="AL65" s="11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</row>
    <row r="66" spans="1:48" ht="16.3">
      <c r="A66" s="91" t="s">
        <v>363</v>
      </c>
      <c r="B66" s="219">
        <f>SUM(B64+B65)</f>
        <v>7</v>
      </c>
      <c r="C66" s="214">
        <f t="shared" si="9"/>
        <v>7</v>
      </c>
      <c r="D66" s="133"/>
      <c r="E66" s="134"/>
      <c r="F66" s="135"/>
      <c r="G66" s="136"/>
      <c r="H66" s="96"/>
      <c r="I66" s="96"/>
      <c r="J66" s="128"/>
      <c r="K66" s="104"/>
      <c r="L66" s="75"/>
      <c r="M66" s="75"/>
      <c r="N66" s="75"/>
      <c r="O66" s="96"/>
      <c r="P66" s="163"/>
      <c r="Q66" s="109"/>
      <c r="R66" s="108"/>
      <c r="S66" s="100"/>
      <c r="T66" s="110"/>
      <c r="U66" s="110"/>
      <c r="V66" s="100"/>
      <c r="W66" s="100"/>
      <c r="X66" s="100"/>
      <c r="Y66" s="110"/>
      <c r="Z66" s="110"/>
      <c r="AA66" s="100"/>
      <c r="AB66" s="108"/>
      <c r="AC66" s="109"/>
      <c r="AD66" s="109"/>
      <c r="AE66" s="109"/>
      <c r="AF66" s="109"/>
      <c r="AG66" s="108"/>
      <c r="AH66" s="108"/>
      <c r="AI66" s="100"/>
      <c r="AJ66" s="100"/>
      <c r="AK66" s="110"/>
      <c r="AL66" s="11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</row>
    <row r="67" spans="1:48" ht="16.3">
      <c r="A67" s="91" t="s">
        <v>3</v>
      </c>
      <c r="B67" s="219">
        <f>SUM(J67+K67+L67+M67+N67+S67+V67+W67+X67+AA67+AI67+AJ67+AI67+AM67+AP67+AQ67+AS67+AT67+AU67+AV67)+2</f>
        <v>4</v>
      </c>
      <c r="C67" s="214">
        <f t="shared" si="9"/>
        <v>4</v>
      </c>
      <c r="D67" s="133"/>
      <c r="E67" s="134"/>
      <c r="F67" s="135"/>
      <c r="G67" s="136"/>
      <c r="H67" s="96"/>
      <c r="I67" s="96"/>
      <c r="J67" s="128"/>
      <c r="K67" s="104"/>
      <c r="L67" s="75"/>
      <c r="M67" s="75"/>
      <c r="N67" s="75">
        <v>1</v>
      </c>
      <c r="O67" s="96">
        <v>1</v>
      </c>
      <c r="P67" s="163"/>
      <c r="Q67" s="109"/>
      <c r="R67" s="108"/>
      <c r="S67" s="100"/>
      <c r="T67" s="110">
        <v>1</v>
      </c>
      <c r="U67" s="110"/>
      <c r="V67" s="100"/>
      <c r="W67" s="100"/>
      <c r="X67" s="100">
        <v>1</v>
      </c>
      <c r="Y67" s="110"/>
      <c r="Z67" s="110"/>
      <c r="AA67" s="100"/>
      <c r="AB67" s="108"/>
      <c r="AC67" s="109"/>
      <c r="AD67" s="109">
        <v>1</v>
      </c>
      <c r="AE67" s="109"/>
      <c r="AF67" s="109"/>
      <c r="AG67" s="108"/>
      <c r="AH67" s="108"/>
      <c r="AI67" s="100"/>
      <c r="AJ67" s="100"/>
      <c r="AK67" s="110"/>
      <c r="AL67" s="11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</row>
    <row r="68" spans="1:48" ht="17" thickBot="1">
      <c r="A68" s="92" t="s">
        <v>4</v>
      </c>
      <c r="B68" s="220">
        <f>SUM(J68+K68+L68+M68+N68+S68+V68+W68+X68+AA68+AI68+AJ68+AI68+AM68+AP68+AQ68+AS68+AT68+AU68+AV68)+10</f>
        <v>20</v>
      </c>
      <c r="C68" s="217">
        <f t="shared" si="9"/>
        <v>20</v>
      </c>
      <c r="D68" s="144"/>
      <c r="E68" s="145"/>
      <c r="F68" s="146"/>
      <c r="G68" s="147"/>
      <c r="H68" s="114"/>
      <c r="I68" s="114"/>
      <c r="J68" s="129"/>
      <c r="K68" s="113"/>
      <c r="L68" s="112"/>
      <c r="M68" s="112"/>
      <c r="N68" s="112">
        <v>5</v>
      </c>
      <c r="O68" s="114">
        <v>5</v>
      </c>
      <c r="P68" s="164"/>
      <c r="Q68" s="118"/>
      <c r="R68" s="117"/>
      <c r="S68" s="116"/>
      <c r="T68" s="120">
        <v>5</v>
      </c>
      <c r="U68" s="120"/>
      <c r="V68" s="116"/>
      <c r="W68" s="116"/>
      <c r="X68" s="116">
        <v>5</v>
      </c>
      <c r="Y68" s="120"/>
      <c r="Z68" s="120"/>
      <c r="AA68" s="116"/>
      <c r="AB68" s="117"/>
      <c r="AC68" s="118"/>
      <c r="AD68" s="118">
        <v>5</v>
      </c>
      <c r="AE68" s="118"/>
      <c r="AF68" s="118"/>
      <c r="AG68" s="117"/>
      <c r="AH68" s="117"/>
      <c r="AI68" s="116"/>
      <c r="AJ68" s="116"/>
      <c r="AK68" s="120"/>
      <c r="AL68" s="120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</row>
    <row r="69" spans="1:48" ht="21.1">
      <c r="A69" s="89" t="s">
        <v>306</v>
      </c>
      <c r="B69" s="219"/>
      <c r="C69" s="214"/>
      <c r="D69" s="133"/>
      <c r="E69" s="134"/>
      <c r="F69" s="135"/>
      <c r="G69" s="136"/>
      <c r="H69" s="96"/>
      <c r="I69" s="96"/>
      <c r="J69" s="75"/>
      <c r="K69" s="128"/>
      <c r="L69" s="75"/>
      <c r="M69" s="75"/>
      <c r="N69" s="75"/>
      <c r="O69" s="96"/>
      <c r="P69" s="105"/>
      <c r="Q69" s="109"/>
      <c r="R69" s="108"/>
      <c r="S69" s="100"/>
      <c r="T69" s="110"/>
      <c r="U69" s="110"/>
      <c r="V69" s="100"/>
      <c r="W69" s="100"/>
      <c r="X69" s="100"/>
      <c r="Y69" s="110"/>
      <c r="Z69" s="110"/>
      <c r="AA69" s="100"/>
      <c r="AB69" s="108"/>
      <c r="AC69" s="109"/>
      <c r="AD69" s="109"/>
      <c r="AE69" s="109"/>
      <c r="AF69" s="109"/>
      <c r="AG69" s="108"/>
      <c r="AH69" s="108"/>
      <c r="AI69" s="100"/>
      <c r="AJ69" s="100"/>
      <c r="AK69" s="110"/>
      <c r="AL69" s="11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</row>
    <row r="70" spans="1:48" ht="16.3">
      <c r="A70" s="611" t="s">
        <v>1</v>
      </c>
      <c r="B70" s="221">
        <f>SUM(J70+K70+L70+M70+N70+S70+V70+W70+X70+AA70+AI70+AJ70+AI70+AM70+AP70+AQ70+AS70+AT70+AU70+AV70+AN70)</f>
        <v>0</v>
      </c>
      <c r="C70" s="215">
        <f>B70</f>
        <v>0</v>
      </c>
      <c r="D70" s="133"/>
      <c r="E70" s="134"/>
      <c r="F70" s="135"/>
      <c r="G70" s="136"/>
      <c r="H70" s="96"/>
      <c r="I70" s="96"/>
      <c r="J70" s="75"/>
      <c r="K70" s="128"/>
      <c r="L70" s="75"/>
      <c r="M70" s="75"/>
      <c r="N70" s="75"/>
      <c r="O70" s="96"/>
      <c r="P70" s="163"/>
      <c r="Q70" s="109"/>
      <c r="R70" s="108"/>
      <c r="S70" s="100"/>
      <c r="T70" s="110"/>
      <c r="U70" s="110"/>
      <c r="V70" s="100"/>
      <c r="W70" s="100"/>
      <c r="X70" s="100"/>
      <c r="Y70" s="110"/>
      <c r="Z70" s="110"/>
      <c r="AA70" s="100"/>
      <c r="AB70" s="108"/>
      <c r="AC70" s="109"/>
      <c r="AD70" s="109"/>
      <c r="AE70" s="109"/>
      <c r="AF70" s="109"/>
      <c r="AG70" s="108"/>
      <c r="AH70" s="108"/>
      <c r="AI70" s="100"/>
      <c r="AJ70" s="100"/>
      <c r="AK70" s="110"/>
      <c r="AL70" s="11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</row>
    <row r="71" spans="1:48" ht="16.3">
      <c r="A71" s="611" t="s">
        <v>2</v>
      </c>
      <c r="B71" s="221">
        <f>SUM(J71+K71+L71+M71+N71+S71+V71+W71+X71+AA71+AI71+AJ71+AI71+AM71+AP71+AQ71+AS71+AT71+AU71+AV71)</f>
        <v>0</v>
      </c>
      <c r="C71" s="215">
        <f t="shared" ref="C71:C74" si="10">B71</f>
        <v>0</v>
      </c>
      <c r="D71" s="133"/>
      <c r="E71" s="134"/>
      <c r="F71" s="135"/>
      <c r="G71" s="136"/>
      <c r="H71" s="96"/>
      <c r="I71" s="96"/>
      <c r="J71" s="75"/>
      <c r="K71" s="128"/>
      <c r="L71" s="75"/>
      <c r="M71" s="75"/>
      <c r="N71" s="75"/>
      <c r="O71" s="96"/>
      <c r="P71" s="163"/>
      <c r="Q71" s="109"/>
      <c r="R71" s="108"/>
      <c r="S71" s="100"/>
      <c r="T71" s="110"/>
      <c r="U71" s="110"/>
      <c r="V71" s="100"/>
      <c r="W71" s="100"/>
      <c r="X71" s="100"/>
      <c r="Y71" s="110"/>
      <c r="Z71" s="110"/>
      <c r="AA71" s="100"/>
      <c r="AB71" s="108"/>
      <c r="AC71" s="109"/>
      <c r="AD71" s="109"/>
      <c r="AE71" s="109"/>
      <c r="AF71" s="109"/>
      <c r="AG71" s="108"/>
      <c r="AH71" s="108"/>
      <c r="AI71" s="100"/>
      <c r="AJ71" s="100"/>
      <c r="AK71" s="110"/>
      <c r="AL71" s="11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</row>
    <row r="72" spans="1:48" ht="16.3">
      <c r="A72" s="91" t="s">
        <v>363</v>
      </c>
      <c r="B72" s="219">
        <f>SUM(B70+B71)</f>
        <v>0</v>
      </c>
      <c r="C72" s="214">
        <f t="shared" si="10"/>
        <v>0</v>
      </c>
      <c r="D72" s="133"/>
      <c r="E72" s="134"/>
      <c r="F72" s="135"/>
      <c r="G72" s="136"/>
      <c r="H72" s="96"/>
      <c r="I72" s="96"/>
      <c r="J72" s="75"/>
      <c r="K72" s="128"/>
      <c r="L72" s="75"/>
      <c r="M72" s="75"/>
      <c r="N72" s="75"/>
      <c r="O72" s="96"/>
      <c r="P72" s="163"/>
      <c r="Q72" s="109"/>
      <c r="R72" s="108"/>
      <c r="S72" s="100"/>
      <c r="T72" s="110"/>
      <c r="U72" s="110"/>
      <c r="V72" s="100"/>
      <c r="W72" s="100"/>
      <c r="X72" s="100"/>
      <c r="Y72" s="110"/>
      <c r="Z72" s="110"/>
      <c r="AA72" s="100"/>
      <c r="AB72" s="108"/>
      <c r="AC72" s="109"/>
      <c r="AD72" s="109"/>
      <c r="AE72" s="109"/>
      <c r="AF72" s="109"/>
      <c r="AG72" s="108"/>
      <c r="AH72" s="108"/>
      <c r="AI72" s="100"/>
      <c r="AJ72" s="100"/>
      <c r="AK72" s="110"/>
      <c r="AL72" s="11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</row>
    <row r="73" spans="1:48" ht="16.3">
      <c r="A73" s="91" t="s">
        <v>3</v>
      </c>
      <c r="B73" s="219">
        <f>SUM(J73+K73+L73+M73+N73+S73+V73+W73+X73+AA73+AI73+AJ73+AI73+AM73+AP73+AQ73+AS73+AT73+AU73+AV73)</f>
        <v>0</v>
      </c>
      <c r="C73" s="214">
        <f t="shared" si="10"/>
        <v>0</v>
      </c>
      <c r="D73" s="133"/>
      <c r="E73" s="134"/>
      <c r="F73" s="135"/>
      <c r="G73" s="136"/>
      <c r="H73" s="96"/>
      <c r="I73" s="96"/>
      <c r="J73" s="75"/>
      <c r="K73" s="128"/>
      <c r="L73" s="75"/>
      <c r="M73" s="75"/>
      <c r="N73" s="75"/>
      <c r="O73" s="96"/>
      <c r="P73" s="163"/>
      <c r="Q73" s="109"/>
      <c r="R73" s="108"/>
      <c r="S73" s="100"/>
      <c r="T73" s="110"/>
      <c r="U73" s="110"/>
      <c r="V73" s="100"/>
      <c r="W73" s="100"/>
      <c r="X73" s="100"/>
      <c r="Y73" s="110"/>
      <c r="Z73" s="110"/>
      <c r="AA73" s="100"/>
      <c r="AB73" s="108"/>
      <c r="AC73" s="109"/>
      <c r="AD73" s="109"/>
      <c r="AE73" s="109"/>
      <c r="AF73" s="109"/>
      <c r="AG73" s="108"/>
      <c r="AH73" s="108"/>
      <c r="AI73" s="100"/>
      <c r="AJ73" s="100"/>
      <c r="AK73" s="110"/>
      <c r="AL73" s="11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</row>
    <row r="74" spans="1:48" ht="17" thickBot="1">
      <c r="A74" s="92" t="s">
        <v>4</v>
      </c>
      <c r="B74" s="220">
        <f>SUM(J74+K74+L74+M74+N74+S74+V74+W74+X74+AA74+AI74+AJ74+AI74+AM74+AP74+AQ74+AS74+AT74+AU74+AV74)</f>
        <v>0</v>
      </c>
      <c r="C74" s="217">
        <f t="shared" si="10"/>
        <v>0</v>
      </c>
      <c r="D74" s="144"/>
      <c r="E74" s="145"/>
      <c r="F74" s="146"/>
      <c r="G74" s="147"/>
      <c r="H74" s="114"/>
      <c r="I74" s="114"/>
      <c r="J74" s="112"/>
      <c r="K74" s="129"/>
      <c r="L74" s="112"/>
      <c r="M74" s="112"/>
      <c r="N74" s="112"/>
      <c r="O74" s="114"/>
      <c r="P74" s="164"/>
      <c r="Q74" s="118"/>
      <c r="R74" s="117"/>
      <c r="S74" s="116"/>
      <c r="T74" s="120"/>
      <c r="U74" s="120"/>
      <c r="V74" s="116"/>
      <c r="W74" s="116"/>
      <c r="X74" s="116"/>
      <c r="Y74" s="120"/>
      <c r="Z74" s="120"/>
      <c r="AA74" s="116"/>
      <c r="AB74" s="117"/>
      <c r="AC74" s="118"/>
      <c r="AD74" s="118"/>
      <c r="AE74" s="118"/>
      <c r="AF74" s="118"/>
      <c r="AG74" s="117"/>
      <c r="AH74" s="117"/>
      <c r="AI74" s="116"/>
      <c r="AJ74" s="116"/>
      <c r="AK74" s="120"/>
      <c r="AL74" s="120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</row>
    <row r="75" spans="1:48" ht="21.1">
      <c r="A75" s="89" t="s">
        <v>815</v>
      </c>
      <c r="B75" s="219"/>
      <c r="C75" s="214"/>
      <c r="D75" s="133"/>
      <c r="E75" s="134"/>
      <c r="F75" s="135"/>
      <c r="G75" s="136"/>
      <c r="H75" s="96"/>
      <c r="I75" s="96"/>
      <c r="J75" s="75"/>
      <c r="K75" s="128"/>
      <c r="L75" s="75"/>
      <c r="M75" s="75"/>
      <c r="N75" s="75"/>
      <c r="O75" s="96"/>
      <c r="P75" s="163"/>
      <c r="Q75" s="109" t="s">
        <v>375</v>
      </c>
      <c r="R75" s="108"/>
      <c r="S75" s="100"/>
      <c r="T75" s="110"/>
      <c r="U75" s="110"/>
      <c r="V75" s="100"/>
      <c r="W75" s="100"/>
      <c r="X75" s="100"/>
      <c r="Y75" s="110"/>
      <c r="Z75" s="110"/>
      <c r="AA75" s="100"/>
      <c r="AB75" s="108"/>
      <c r="AC75" s="109"/>
      <c r="AD75" s="109"/>
      <c r="AE75" s="109"/>
      <c r="AF75" s="109"/>
      <c r="AG75" s="108"/>
      <c r="AH75" s="108"/>
      <c r="AI75" s="100"/>
      <c r="AJ75" s="100"/>
      <c r="AK75" s="110"/>
      <c r="AL75" s="11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</row>
    <row r="76" spans="1:48" ht="16.3">
      <c r="A76" s="611" t="s">
        <v>1</v>
      </c>
      <c r="B76" s="221">
        <f>SUM(J76+K76+L76+M76+N76+S76+V76+W76+X76+AA76+AI76+AJ76+AI76+AM76+AP76+AQ76+AS76+AT76+AU76+AV76+AN76)</f>
        <v>0</v>
      </c>
      <c r="C76" s="215">
        <f>B76</f>
        <v>0</v>
      </c>
      <c r="D76" s="133"/>
      <c r="E76" s="134"/>
      <c r="F76" s="135"/>
      <c r="G76" s="136"/>
      <c r="H76" s="96"/>
      <c r="I76" s="96"/>
      <c r="J76" s="75"/>
      <c r="K76" s="128"/>
      <c r="L76" s="75"/>
      <c r="M76" s="75"/>
      <c r="N76" s="75"/>
      <c r="O76" s="96"/>
      <c r="P76" s="163"/>
      <c r="Q76" s="109"/>
      <c r="R76" s="108"/>
      <c r="S76" s="100"/>
      <c r="T76" s="110"/>
      <c r="U76" s="110"/>
      <c r="V76" s="100"/>
      <c r="W76" s="100"/>
      <c r="X76" s="100"/>
      <c r="Y76" s="110"/>
      <c r="Z76" s="110"/>
      <c r="AA76" s="100"/>
      <c r="AB76" s="108"/>
      <c r="AC76" s="109"/>
      <c r="AD76" s="109"/>
      <c r="AE76" s="109"/>
      <c r="AF76" s="109"/>
      <c r="AG76" s="108"/>
      <c r="AH76" s="108"/>
      <c r="AI76" s="100"/>
      <c r="AJ76" s="100"/>
      <c r="AK76" s="110"/>
      <c r="AL76" s="11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</row>
    <row r="77" spans="1:48" ht="16.3">
      <c r="A77" s="611" t="s">
        <v>2</v>
      </c>
      <c r="B77" s="221">
        <f>SUM(J77+K77+L77+M77+N77+S77+V77+W77+X77+AA77+AI77+AJ77+AI77+AM77+AP77+AQ77+AS77+AT77+AU77+AV77)</f>
        <v>0</v>
      </c>
      <c r="C77" s="215">
        <f t="shared" ref="C77:C80" si="11">B77</f>
        <v>0</v>
      </c>
      <c r="D77" s="133"/>
      <c r="E77" s="134"/>
      <c r="F77" s="135"/>
      <c r="G77" s="136"/>
      <c r="H77" s="96"/>
      <c r="I77" s="96"/>
      <c r="J77" s="75"/>
      <c r="K77" s="128"/>
      <c r="L77" s="75"/>
      <c r="M77" s="75"/>
      <c r="N77" s="75"/>
      <c r="O77" s="96"/>
      <c r="P77" s="163"/>
      <c r="Q77" s="109">
        <v>1</v>
      </c>
      <c r="R77" s="108"/>
      <c r="S77" s="100"/>
      <c r="T77" s="110"/>
      <c r="U77" s="110"/>
      <c r="V77" s="100"/>
      <c r="W77" s="100"/>
      <c r="X77" s="100"/>
      <c r="Y77" s="110"/>
      <c r="Z77" s="110"/>
      <c r="AA77" s="100"/>
      <c r="AB77" s="108"/>
      <c r="AC77" s="109"/>
      <c r="AD77" s="109"/>
      <c r="AE77" s="109"/>
      <c r="AF77" s="109"/>
      <c r="AG77" s="108"/>
      <c r="AH77" s="108"/>
      <c r="AI77" s="100"/>
      <c r="AJ77" s="100"/>
      <c r="AK77" s="110"/>
      <c r="AL77" s="11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</row>
    <row r="78" spans="1:48" ht="16.3">
      <c r="A78" s="91" t="s">
        <v>363</v>
      </c>
      <c r="B78" s="219">
        <f>SUM(B76+B77)</f>
        <v>0</v>
      </c>
      <c r="C78" s="214">
        <f t="shared" si="11"/>
        <v>0</v>
      </c>
      <c r="D78" s="133"/>
      <c r="E78" s="134"/>
      <c r="F78" s="135"/>
      <c r="G78" s="136"/>
      <c r="H78" s="96"/>
      <c r="I78" s="96"/>
      <c r="J78" s="75"/>
      <c r="K78" s="128"/>
      <c r="L78" s="75"/>
      <c r="M78" s="75"/>
      <c r="N78" s="75"/>
      <c r="O78" s="96"/>
      <c r="P78" s="163"/>
      <c r="Q78" s="109"/>
      <c r="R78" s="108"/>
      <c r="S78" s="100"/>
      <c r="T78" s="110"/>
      <c r="U78" s="110"/>
      <c r="V78" s="100"/>
      <c r="W78" s="100"/>
      <c r="X78" s="100"/>
      <c r="Y78" s="110"/>
      <c r="Z78" s="110"/>
      <c r="AA78" s="100"/>
      <c r="AB78" s="108"/>
      <c r="AC78" s="109"/>
      <c r="AD78" s="109"/>
      <c r="AE78" s="109"/>
      <c r="AF78" s="109"/>
      <c r="AG78" s="108"/>
      <c r="AH78" s="108"/>
      <c r="AI78" s="100"/>
      <c r="AJ78" s="100"/>
      <c r="AK78" s="110"/>
      <c r="AL78" s="11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</row>
    <row r="79" spans="1:48" ht="16.3">
      <c r="A79" s="91" t="s">
        <v>3</v>
      </c>
      <c r="B79" s="219">
        <f>SUM(J79+K79+L79+M79+N79+S79+V79+W79+X79+AA79+AI79+AJ79+AI79+AM79+AP79+AQ79+AS79+AT79+AU79+AV79)</f>
        <v>0</v>
      </c>
      <c r="C79" s="214">
        <f t="shared" si="11"/>
        <v>0</v>
      </c>
      <c r="D79" s="133"/>
      <c r="E79" s="134"/>
      <c r="F79" s="135"/>
      <c r="G79" s="136"/>
      <c r="H79" s="96"/>
      <c r="I79" s="96"/>
      <c r="J79" s="75"/>
      <c r="K79" s="128"/>
      <c r="L79" s="75"/>
      <c r="M79" s="75"/>
      <c r="N79" s="75"/>
      <c r="O79" s="96"/>
      <c r="P79" s="163"/>
      <c r="Q79" s="109"/>
      <c r="R79" s="108"/>
      <c r="S79" s="100"/>
      <c r="T79" s="110"/>
      <c r="U79" s="110"/>
      <c r="V79" s="100"/>
      <c r="W79" s="100"/>
      <c r="X79" s="100"/>
      <c r="Y79" s="110"/>
      <c r="Z79" s="110"/>
      <c r="AA79" s="100"/>
      <c r="AB79" s="108"/>
      <c r="AC79" s="109"/>
      <c r="AD79" s="109"/>
      <c r="AE79" s="109"/>
      <c r="AF79" s="109"/>
      <c r="AG79" s="108"/>
      <c r="AH79" s="108"/>
      <c r="AI79" s="100"/>
      <c r="AJ79" s="100"/>
      <c r="AK79" s="110"/>
      <c r="AL79" s="11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</row>
    <row r="80" spans="1:48" ht="17" thickBot="1">
      <c r="A80" s="92" t="s">
        <v>4</v>
      </c>
      <c r="B80" s="220">
        <f>SUM(J80+K80+L80+M80+N80+S80+V80+W80+X80+AA80+AI80+AJ80+AI80+AM80+AP80+AQ80+AS80+AT80+AU80+AV80)</f>
        <v>0</v>
      </c>
      <c r="C80" s="217">
        <f t="shared" si="11"/>
        <v>0</v>
      </c>
      <c r="D80" s="144"/>
      <c r="E80" s="145"/>
      <c r="F80" s="146"/>
      <c r="G80" s="147"/>
      <c r="H80" s="114"/>
      <c r="I80" s="114"/>
      <c r="J80" s="112"/>
      <c r="K80" s="129"/>
      <c r="L80" s="112"/>
      <c r="M80" s="112"/>
      <c r="N80" s="112"/>
      <c r="O80" s="114"/>
      <c r="P80" s="164"/>
      <c r="Q80" s="118"/>
      <c r="R80" s="117"/>
      <c r="S80" s="116"/>
      <c r="T80" s="120"/>
      <c r="U80" s="120"/>
      <c r="V80" s="112"/>
      <c r="W80" s="100"/>
      <c r="X80" s="100"/>
      <c r="Y80" s="110"/>
      <c r="Z80" s="110"/>
      <c r="AA80" s="100"/>
      <c r="AB80" s="108"/>
      <c r="AC80" s="109"/>
      <c r="AD80" s="109"/>
      <c r="AE80" s="109"/>
      <c r="AF80" s="109"/>
      <c r="AG80" s="108"/>
      <c r="AH80" s="108"/>
      <c r="AI80" s="100"/>
      <c r="AJ80" s="100"/>
      <c r="AK80" s="110"/>
      <c r="AL80" s="11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</row>
    <row r="81" spans="1:48" ht="21.1">
      <c r="A81" s="89" t="s">
        <v>39</v>
      </c>
      <c r="B81" s="219"/>
      <c r="C81" s="214"/>
      <c r="D81" s="133"/>
      <c r="E81" s="134"/>
      <c r="F81" s="135"/>
      <c r="G81" s="136"/>
      <c r="H81" s="96" t="s">
        <v>501</v>
      </c>
      <c r="I81" s="96" t="s">
        <v>339</v>
      </c>
      <c r="J81" s="75" t="s">
        <v>339</v>
      </c>
      <c r="K81" s="128" t="s">
        <v>339</v>
      </c>
      <c r="L81" s="75" t="s">
        <v>339</v>
      </c>
      <c r="M81" s="75" t="s">
        <v>377</v>
      </c>
      <c r="N81" s="75" t="s">
        <v>377</v>
      </c>
      <c r="O81" s="96"/>
      <c r="P81" s="163"/>
      <c r="Q81" s="109"/>
      <c r="R81" s="108"/>
      <c r="S81" s="100" t="s">
        <v>375</v>
      </c>
      <c r="T81" s="110" t="s">
        <v>381</v>
      </c>
      <c r="U81" s="110" t="s">
        <v>381</v>
      </c>
      <c r="V81" s="100" t="s">
        <v>381</v>
      </c>
      <c r="W81" s="102">
        <v>12</v>
      </c>
      <c r="X81" s="102" t="s">
        <v>377</v>
      </c>
      <c r="Y81" s="101">
        <v>13</v>
      </c>
      <c r="Z81" s="101">
        <v>13</v>
      </c>
      <c r="AA81" s="102">
        <v>13</v>
      </c>
      <c r="AB81" s="98"/>
      <c r="AC81" s="99" t="s">
        <v>816</v>
      </c>
      <c r="AD81" s="99"/>
      <c r="AE81" s="99" t="s">
        <v>375</v>
      </c>
      <c r="AF81" s="99">
        <v>13</v>
      </c>
      <c r="AG81" s="98"/>
      <c r="AH81" s="98"/>
      <c r="AI81" s="102"/>
      <c r="AJ81" s="102"/>
      <c r="AK81" s="101"/>
      <c r="AL81" s="101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</row>
    <row r="82" spans="1:48" ht="16.3">
      <c r="A82" s="611" t="s">
        <v>1</v>
      </c>
      <c r="B82" s="221">
        <f>SUM(J82+K82+L82+M82+N82+S82+V82+W82+X82+AA82+AI82+AJ82+AI82+AM82+AP82+AQ82+AS82+AT82+AU82+AV82+AN82)+43</f>
        <v>49</v>
      </c>
      <c r="C82" s="215">
        <f>B82</f>
        <v>49</v>
      </c>
      <c r="D82" s="133"/>
      <c r="E82" s="134"/>
      <c r="F82" s="135"/>
      <c r="G82" s="136"/>
      <c r="H82" s="96"/>
      <c r="I82" s="96"/>
      <c r="J82" s="128"/>
      <c r="K82" s="104"/>
      <c r="L82" s="75"/>
      <c r="M82" s="75">
        <v>1</v>
      </c>
      <c r="N82" s="75">
        <v>1</v>
      </c>
      <c r="O82" s="96"/>
      <c r="P82" s="105"/>
      <c r="Q82" s="96"/>
      <c r="R82" s="105"/>
      <c r="S82" s="75"/>
      <c r="T82" s="106">
        <v>1</v>
      </c>
      <c r="U82" s="106">
        <v>1</v>
      </c>
      <c r="V82" s="75">
        <v>1</v>
      </c>
      <c r="W82" s="75">
        <v>1</v>
      </c>
      <c r="X82" s="75">
        <v>1</v>
      </c>
      <c r="Y82" s="106">
        <v>1</v>
      </c>
      <c r="Z82" s="106">
        <v>1</v>
      </c>
      <c r="AA82" s="75">
        <v>1</v>
      </c>
      <c r="AB82" s="105"/>
      <c r="AC82" s="96"/>
      <c r="AD82" s="96"/>
      <c r="AE82" s="96"/>
      <c r="AF82" s="96">
        <v>1</v>
      </c>
      <c r="AG82" s="105"/>
      <c r="AH82" s="105"/>
      <c r="AI82" s="75"/>
      <c r="AJ82" s="75"/>
      <c r="AK82" s="106"/>
      <c r="AL82" s="106"/>
      <c r="AM82" s="75"/>
      <c r="AN82" s="75"/>
      <c r="AO82" s="75"/>
      <c r="AP82" s="75"/>
      <c r="AQ82" s="75"/>
      <c r="AR82" s="75"/>
      <c r="AS82" s="75"/>
      <c r="AT82" s="75"/>
      <c r="AU82" s="75"/>
      <c r="AV82" s="75"/>
    </row>
    <row r="83" spans="1:48" ht="16.3">
      <c r="A83" s="611" t="s">
        <v>2</v>
      </c>
      <c r="B83" s="221">
        <f>SUM(J83+K83+L83+M83+N83+S83+V83+W83+X83+AA83+AI83+AJ83+AI83+AM83+AP83+AQ83+AS83+AT83+AU83+AV83)+25</f>
        <v>26</v>
      </c>
      <c r="C83" s="215">
        <f t="shared" ref="C83:C87" si="12">B83</f>
        <v>26</v>
      </c>
      <c r="D83" s="133"/>
      <c r="E83" s="134"/>
      <c r="F83" s="135"/>
      <c r="G83" s="136"/>
      <c r="H83" s="96"/>
      <c r="I83" s="96"/>
      <c r="J83" s="128"/>
      <c r="K83" s="104"/>
      <c r="L83" s="75"/>
      <c r="M83" s="75"/>
      <c r="N83" s="75"/>
      <c r="O83" s="96"/>
      <c r="P83" s="163"/>
      <c r="Q83" s="109"/>
      <c r="R83" s="108"/>
      <c r="S83" s="100">
        <v>1</v>
      </c>
      <c r="T83" s="110"/>
      <c r="U83" s="110"/>
      <c r="V83" s="100"/>
      <c r="W83" s="100"/>
      <c r="X83" s="100"/>
      <c r="Y83" s="110"/>
      <c r="Z83" s="110"/>
      <c r="AA83" s="100"/>
      <c r="AB83" s="108"/>
      <c r="AC83" s="109"/>
      <c r="AD83" s="109"/>
      <c r="AE83" s="109">
        <v>1</v>
      </c>
      <c r="AF83" s="109"/>
      <c r="AG83" s="108"/>
      <c r="AH83" s="108"/>
      <c r="AI83" s="100"/>
      <c r="AJ83" s="100"/>
      <c r="AK83" s="110"/>
      <c r="AL83" s="11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</row>
    <row r="84" spans="1:48" ht="16.3">
      <c r="A84" s="629" t="s">
        <v>363</v>
      </c>
      <c r="B84" s="219">
        <f>SUM(B82+B83)</f>
        <v>75</v>
      </c>
      <c r="C84" s="214">
        <f t="shared" si="12"/>
        <v>75</v>
      </c>
      <c r="D84" s="133"/>
      <c r="E84" s="134"/>
      <c r="F84" s="135"/>
      <c r="G84" s="136"/>
      <c r="H84" s="96"/>
      <c r="I84" s="96"/>
      <c r="J84" s="128"/>
      <c r="K84" s="104"/>
      <c r="L84" s="75"/>
      <c r="M84" s="75"/>
      <c r="N84" s="75"/>
      <c r="O84" s="96"/>
      <c r="P84" s="163"/>
      <c r="Q84" s="109"/>
      <c r="R84" s="108"/>
      <c r="S84" s="100"/>
      <c r="T84" s="110"/>
      <c r="U84" s="110"/>
      <c r="V84" s="100"/>
      <c r="W84" s="100"/>
      <c r="X84" s="100"/>
      <c r="Y84" s="110"/>
      <c r="Z84" s="110"/>
      <c r="AA84" s="100"/>
      <c r="AB84" s="108"/>
      <c r="AC84" s="109"/>
      <c r="AD84" s="109"/>
      <c r="AE84" s="109"/>
      <c r="AF84" s="109"/>
      <c r="AG84" s="108"/>
      <c r="AH84" s="108"/>
      <c r="AI84" s="100"/>
      <c r="AJ84" s="100"/>
      <c r="AK84" s="110"/>
      <c r="AL84" s="11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</row>
    <row r="85" spans="1:48" ht="16.3">
      <c r="A85" s="611" t="s">
        <v>362</v>
      </c>
      <c r="B85" s="221">
        <f>SUM(J85+K85+L85+M85+N85+S85+V85+W85+X85+AA85+AI85+AJ85+AI85+AM85+AP85+AQ85+AS85+AT85+AU85+AV85)+3</f>
        <v>3</v>
      </c>
      <c r="C85" s="215">
        <f t="shared" si="12"/>
        <v>3</v>
      </c>
      <c r="D85" s="133"/>
      <c r="E85" s="134"/>
      <c r="F85" s="135"/>
      <c r="G85" s="136"/>
      <c r="H85" s="96"/>
      <c r="I85" s="96"/>
      <c r="J85" s="128"/>
      <c r="K85" s="104"/>
      <c r="L85" s="75"/>
      <c r="M85" s="75"/>
      <c r="N85" s="75"/>
      <c r="O85" s="96"/>
      <c r="P85" s="163"/>
      <c r="Q85" s="109"/>
      <c r="R85" s="108"/>
      <c r="S85" s="100"/>
      <c r="T85" s="110"/>
      <c r="U85" s="110"/>
      <c r="V85" s="100"/>
      <c r="W85" s="100"/>
      <c r="X85" s="100"/>
      <c r="Y85" s="110"/>
      <c r="Z85" s="110"/>
      <c r="AA85" s="100"/>
      <c r="AB85" s="108"/>
      <c r="AC85" s="109"/>
      <c r="AD85" s="109"/>
      <c r="AE85" s="109"/>
      <c r="AF85" s="109"/>
      <c r="AG85" s="108"/>
      <c r="AH85" s="108"/>
      <c r="AI85" s="100"/>
      <c r="AJ85" s="100"/>
      <c r="AK85" s="110"/>
      <c r="AL85" s="11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</row>
    <row r="86" spans="1:48" ht="16.3">
      <c r="A86" s="91" t="s">
        <v>3</v>
      </c>
      <c r="B86" s="219">
        <f>SUM(J86+K86+L86+M86+N86+S86+V86+W86+X86+AA86+AI86+AJ86+AI86+AM86+AP86+AQ86+AS86+AT86+AU86+AV86)+25</f>
        <v>26</v>
      </c>
      <c r="C86" s="214">
        <f t="shared" si="12"/>
        <v>26</v>
      </c>
      <c r="D86" s="133"/>
      <c r="E86" s="134"/>
      <c r="F86" s="135"/>
      <c r="G86" s="136"/>
      <c r="H86" s="96"/>
      <c r="I86" s="96"/>
      <c r="J86" s="128"/>
      <c r="K86" s="104"/>
      <c r="L86" s="75"/>
      <c r="M86" s="75"/>
      <c r="N86" s="75">
        <v>1</v>
      </c>
      <c r="O86" s="96"/>
      <c r="P86" s="163"/>
      <c r="Q86" s="109"/>
      <c r="R86" s="108"/>
      <c r="S86" s="100"/>
      <c r="T86" s="110">
        <v>1</v>
      </c>
      <c r="U86" s="110"/>
      <c r="V86" s="100"/>
      <c r="W86" s="100"/>
      <c r="X86" s="100"/>
      <c r="Y86" s="110"/>
      <c r="Z86" s="110"/>
      <c r="AA86" s="100"/>
      <c r="AB86" s="108"/>
      <c r="AC86" s="109"/>
      <c r="AD86" s="109"/>
      <c r="AE86" s="109">
        <v>2</v>
      </c>
      <c r="AF86" s="109"/>
      <c r="AG86" s="108"/>
      <c r="AH86" s="108"/>
      <c r="AI86" s="100"/>
      <c r="AJ86" s="100"/>
      <c r="AK86" s="110"/>
      <c r="AL86" s="11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</row>
    <row r="87" spans="1:48" ht="17" thickBot="1">
      <c r="A87" s="92" t="s">
        <v>4</v>
      </c>
      <c r="B87" s="220">
        <f>SUM(J87+K87+L87+M87+N87+S87+V87+W87+X87+AA87+AI87+AJ87+AI87+AM87+AP87+AQ87+AS87+AT87+AU87+AV87)+125</f>
        <v>130</v>
      </c>
      <c r="C87" s="217">
        <f t="shared" si="12"/>
        <v>130</v>
      </c>
      <c r="D87" s="144"/>
      <c r="E87" s="145"/>
      <c r="F87" s="146"/>
      <c r="G87" s="147"/>
      <c r="H87" s="114"/>
      <c r="I87" s="114"/>
      <c r="J87" s="129"/>
      <c r="K87" s="113"/>
      <c r="L87" s="112"/>
      <c r="M87" s="112"/>
      <c r="N87" s="112">
        <v>5</v>
      </c>
      <c r="O87" s="114"/>
      <c r="P87" s="164"/>
      <c r="Q87" s="118"/>
      <c r="R87" s="117"/>
      <c r="S87" s="116"/>
      <c r="T87" s="120">
        <v>5</v>
      </c>
      <c r="U87" s="120"/>
      <c r="V87" s="116"/>
      <c r="W87" s="116"/>
      <c r="X87" s="116"/>
      <c r="Y87" s="120"/>
      <c r="Z87" s="120"/>
      <c r="AA87" s="116"/>
      <c r="AB87" s="117"/>
      <c r="AC87" s="118"/>
      <c r="AD87" s="118"/>
      <c r="AE87" s="118">
        <v>10</v>
      </c>
      <c r="AF87" s="118"/>
      <c r="AG87" s="117"/>
      <c r="AH87" s="117"/>
      <c r="AI87" s="116"/>
      <c r="AJ87" s="116"/>
      <c r="AK87" s="120"/>
      <c r="AL87" s="120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</row>
    <row r="88" spans="1:48" ht="21.1">
      <c r="A88" s="90" t="s">
        <v>653</v>
      </c>
      <c r="B88" s="219"/>
      <c r="C88" s="214"/>
      <c r="D88" s="133"/>
      <c r="E88" s="134"/>
      <c r="F88" s="135"/>
      <c r="G88" s="136"/>
      <c r="H88" s="124"/>
      <c r="I88" s="124">
        <v>13</v>
      </c>
      <c r="J88" s="165" t="s">
        <v>375</v>
      </c>
      <c r="K88" s="123" t="s">
        <v>339</v>
      </c>
      <c r="L88" s="122" t="s">
        <v>339</v>
      </c>
      <c r="M88" s="122" t="s">
        <v>339</v>
      </c>
      <c r="N88" s="122" t="s">
        <v>339</v>
      </c>
      <c r="O88" s="96" t="s">
        <v>339</v>
      </c>
      <c r="P88" s="163"/>
      <c r="Q88" s="99" t="s">
        <v>339</v>
      </c>
      <c r="R88" s="98"/>
      <c r="S88" s="102" t="s">
        <v>339</v>
      </c>
      <c r="T88" s="101" t="s">
        <v>339</v>
      </c>
      <c r="U88" s="101" t="s">
        <v>339</v>
      </c>
      <c r="V88" s="102" t="s">
        <v>339</v>
      </c>
      <c r="W88" s="102" t="s">
        <v>339</v>
      </c>
      <c r="X88" s="102" t="s">
        <v>339</v>
      </c>
      <c r="Y88" s="101" t="s">
        <v>339</v>
      </c>
      <c r="Z88" s="101" t="s">
        <v>339</v>
      </c>
      <c r="AA88" s="102" t="s">
        <v>339</v>
      </c>
      <c r="AB88" s="98"/>
      <c r="AC88" s="99">
        <v>13</v>
      </c>
      <c r="AD88" s="99" t="s">
        <v>377</v>
      </c>
      <c r="AE88" s="99"/>
      <c r="AF88" s="99"/>
      <c r="AG88" s="98"/>
      <c r="AH88" s="98"/>
      <c r="AI88" s="102"/>
      <c r="AJ88" s="102"/>
      <c r="AK88" s="101"/>
      <c r="AL88" s="101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</row>
    <row r="89" spans="1:48" ht="16.3">
      <c r="A89" s="611" t="s">
        <v>1</v>
      </c>
      <c r="B89" s="221">
        <f>SUM(J89+K89+L89+M89+N89+S89+V89+W89+X89+AA89+AI89+AJ89+AI89+AM89+AP89+AQ89+AS89+AT89+AU89+AV89+AN89)</f>
        <v>0</v>
      </c>
      <c r="C89" s="215">
        <f>B89</f>
        <v>0</v>
      </c>
      <c r="D89" s="133"/>
      <c r="E89" s="134"/>
      <c r="F89" s="135"/>
      <c r="G89" s="136"/>
      <c r="H89" s="96"/>
      <c r="I89" s="96">
        <v>1</v>
      </c>
      <c r="J89" s="128"/>
      <c r="K89" s="104"/>
      <c r="L89" s="75"/>
      <c r="M89" s="75"/>
      <c r="N89" s="75"/>
      <c r="O89" s="96"/>
      <c r="P89" s="105"/>
      <c r="Q89" s="109"/>
      <c r="R89" s="108"/>
      <c r="S89" s="100"/>
      <c r="T89" s="110"/>
      <c r="U89" s="110"/>
      <c r="V89" s="100"/>
      <c r="W89" s="100"/>
      <c r="X89" s="100"/>
      <c r="Y89" s="110"/>
      <c r="Z89" s="110"/>
      <c r="AA89" s="100"/>
      <c r="AB89" s="108"/>
      <c r="AC89" s="109">
        <v>1</v>
      </c>
      <c r="AD89" s="109">
        <v>1</v>
      </c>
      <c r="AE89" s="109"/>
      <c r="AF89" s="109"/>
      <c r="AG89" s="108"/>
      <c r="AH89" s="108"/>
      <c r="AI89" s="100"/>
      <c r="AJ89" s="100"/>
      <c r="AK89" s="110"/>
      <c r="AL89" s="11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</row>
    <row r="90" spans="1:48" ht="16.3">
      <c r="A90" s="611" t="s">
        <v>2</v>
      </c>
      <c r="B90" s="221">
        <f>SUM(J90+K90+L90+M90+N90+S90+V90+W90+X90+AA90+AI90+AJ90+AI90+AM90+AP90+AQ90+AS90+AT90+AU90+AV90)</f>
        <v>1</v>
      </c>
      <c r="C90" s="215">
        <f t="shared" ref="C90:C93" si="13">B90</f>
        <v>1</v>
      </c>
      <c r="D90" s="133"/>
      <c r="E90" s="134"/>
      <c r="F90" s="135"/>
      <c r="G90" s="136"/>
      <c r="H90" s="96"/>
      <c r="I90" s="96"/>
      <c r="J90" s="128">
        <v>1</v>
      </c>
      <c r="K90" s="104"/>
      <c r="L90" s="75"/>
      <c r="M90" s="75"/>
      <c r="N90" s="75"/>
      <c r="O90" s="96"/>
      <c r="P90" s="163"/>
      <c r="Q90" s="109"/>
      <c r="R90" s="108"/>
      <c r="S90" s="100"/>
      <c r="T90" s="110"/>
      <c r="U90" s="110"/>
      <c r="V90" s="100"/>
      <c r="W90" s="100"/>
      <c r="X90" s="100"/>
      <c r="Y90" s="110"/>
      <c r="Z90" s="110"/>
      <c r="AA90" s="100"/>
      <c r="AB90" s="108"/>
      <c r="AC90" s="109"/>
      <c r="AD90" s="109"/>
      <c r="AE90" s="109"/>
      <c r="AF90" s="109"/>
      <c r="AG90" s="108"/>
      <c r="AH90" s="108"/>
      <c r="AI90" s="100"/>
      <c r="AJ90" s="100"/>
      <c r="AK90" s="110"/>
      <c r="AL90" s="11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</row>
    <row r="91" spans="1:48" ht="16.3">
      <c r="A91" s="91" t="s">
        <v>363</v>
      </c>
      <c r="B91" s="219">
        <f>SUM(B89+B90)</f>
        <v>1</v>
      </c>
      <c r="C91" s="214">
        <f t="shared" si="13"/>
        <v>1</v>
      </c>
      <c r="D91" s="133"/>
      <c r="E91" s="134"/>
      <c r="F91" s="135"/>
      <c r="G91" s="136"/>
      <c r="H91" s="96"/>
      <c r="I91" s="96"/>
      <c r="J91" s="128"/>
      <c r="K91" s="104"/>
      <c r="L91" s="75"/>
      <c r="M91" s="75"/>
      <c r="N91" s="75"/>
      <c r="O91" s="96"/>
      <c r="P91" s="163"/>
      <c r="Q91" s="109"/>
      <c r="R91" s="108"/>
      <c r="S91" s="100"/>
      <c r="T91" s="110"/>
      <c r="U91" s="110"/>
      <c r="V91" s="100"/>
      <c r="W91" s="100"/>
      <c r="X91" s="100"/>
      <c r="Y91" s="110"/>
      <c r="Z91" s="110"/>
      <c r="AA91" s="100"/>
      <c r="AB91" s="108"/>
      <c r="AC91" s="109"/>
      <c r="AD91" s="109"/>
      <c r="AE91" s="109"/>
      <c r="AF91" s="109"/>
      <c r="AG91" s="108"/>
      <c r="AH91" s="108"/>
      <c r="AI91" s="100"/>
      <c r="AJ91" s="100"/>
      <c r="AK91" s="110"/>
      <c r="AL91" s="11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</row>
    <row r="92" spans="1:48" ht="16.3">
      <c r="A92" s="91" t="s">
        <v>3</v>
      </c>
      <c r="B92" s="219">
        <f>SUM(J92+K92+L92+M92+N92+S92+V92+W92+X92+AA92+AI92+AJ92+AI92+AM92+AP92+AQ92+AS92+AT92+AU92+AV92)</f>
        <v>0</v>
      </c>
      <c r="C92" s="214">
        <f t="shared" si="13"/>
        <v>0</v>
      </c>
      <c r="D92" s="133"/>
      <c r="E92" s="134"/>
      <c r="F92" s="135"/>
      <c r="G92" s="136"/>
      <c r="H92" s="96"/>
      <c r="I92" s="96"/>
      <c r="J92" s="128"/>
      <c r="K92" s="104"/>
      <c r="L92" s="75"/>
      <c r="M92" s="75"/>
      <c r="N92" s="75"/>
      <c r="O92" s="96"/>
      <c r="P92" s="163"/>
      <c r="Q92" s="109"/>
      <c r="R92" s="108"/>
      <c r="S92" s="100"/>
      <c r="T92" s="110"/>
      <c r="U92" s="110"/>
      <c r="V92" s="100"/>
      <c r="W92" s="100"/>
      <c r="X92" s="100"/>
      <c r="Y92" s="110"/>
      <c r="Z92" s="110"/>
      <c r="AA92" s="100"/>
      <c r="AB92" s="108"/>
      <c r="AC92" s="109">
        <v>1</v>
      </c>
      <c r="AD92" s="109"/>
      <c r="AE92" s="109"/>
      <c r="AF92" s="109"/>
      <c r="AG92" s="108"/>
      <c r="AH92" s="108"/>
      <c r="AI92" s="100"/>
      <c r="AJ92" s="100"/>
      <c r="AK92" s="110"/>
      <c r="AL92" s="11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</row>
    <row r="93" spans="1:48" ht="17" thickBot="1">
      <c r="A93" s="91" t="s">
        <v>4</v>
      </c>
      <c r="B93" s="220">
        <f>SUM(J93+K93+L93+M93+N93+S93+V93+W93+X93+AA93+AI93+AJ93+AI93+AM93+AP93+AQ93+AS93+AT93+AU93+AV93)</f>
        <v>0</v>
      </c>
      <c r="C93" s="217">
        <f t="shared" si="13"/>
        <v>0</v>
      </c>
      <c r="D93" s="144"/>
      <c r="E93" s="145"/>
      <c r="F93" s="146"/>
      <c r="G93" s="147"/>
      <c r="H93" s="506"/>
      <c r="I93" s="114"/>
      <c r="J93" s="129"/>
      <c r="K93" s="113"/>
      <c r="L93" s="112"/>
      <c r="M93" s="112"/>
      <c r="N93" s="112"/>
      <c r="O93" s="114"/>
      <c r="P93" s="164"/>
      <c r="Q93" s="118"/>
      <c r="R93" s="117"/>
      <c r="S93" s="116"/>
      <c r="T93" s="120"/>
      <c r="U93" s="120"/>
      <c r="V93" s="116"/>
      <c r="W93" s="116"/>
      <c r="X93" s="116"/>
      <c r="Y93" s="120"/>
      <c r="Z93" s="120"/>
      <c r="AA93" s="116"/>
      <c r="AB93" s="117"/>
      <c r="AC93" s="118">
        <v>5</v>
      </c>
      <c r="AD93" s="118"/>
      <c r="AE93" s="118"/>
      <c r="AF93" s="118"/>
      <c r="AG93" s="117"/>
      <c r="AH93" s="117"/>
      <c r="AI93" s="116"/>
      <c r="AJ93" s="116"/>
      <c r="AK93" s="120"/>
      <c r="AL93" s="120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</row>
    <row r="94" spans="1:48" ht="21.1">
      <c r="A94" s="90" t="s">
        <v>789</v>
      </c>
      <c r="B94" s="219"/>
      <c r="C94" s="214"/>
      <c r="D94" s="133"/>
      <c r="E94" s="134"/>
      <c r="F94" s="135"/>
      <c r="G94" s="136"/>
      <c r="H94" s="167"/>
      <c r="I94" s="96"/>
      <c r="J94" s="128"/>
      <c r="K94" s="104"/>
      <c r="L94" s="75"/>
      <c r="M94" s="75"/>
      <c r="N94" s="75"/>
      <c r="O94" s="96" t="s">
        <v>626</v>
      </c>
      <c r="P94" s="163"/>
      <c r="Q94" s="109">
        <v>14</v>
      </c>
      <c r="R94" s="108"/>
      <c r="S94" s="100" t="s">
        <v>339</v>
      </c>
      <c r="T94" s="110" t="s">
        <v>339</v>
      </c>
      <c r="U94" s="110" t="s">
        <v>339</v>
      </c>
      <c r="V94" s="100" t="s">
        <v>339</v>
      </c>
      <c r="W94" s="100" t="s">
        <v>339</v>
      </c>
      <c r="X94" s="100" t="s">
        <v>339</v>
      </c>
      <c r="Y94" s="110" t="s">
        <v>339</v>
      </c>
      <c r="Z94" s="110" t="s">
        <v>339</v>
      </c>
      <c r="AA94" s="100" t="s">
        <v>339</v>
      </c>
      <c r="AB94" s="108"/>
      <c r="AC94" s="109"/>
      <c r="AD94" s="109"/>
      <c r="AE94" s="109"/>
      <c r="AF94" s="109"/>
      <c r="AG94" s="108"/>
      <c r="AH94" s="108"/>
      <c r="AI94" s="100"/>
      <c r="AJ94" s="100"/>
      <c r="AK94" s="110"/>
      <c r="AL94" s="11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</row>
    <row r="95" spans="1:48" ht="16.3">
      <c r="A95" s="611" t="s">
        <v>1</v>
      </c>
      <c r="B95" s="221">
        <f>SUM(J95+K95+L95+M95+N95+S95+V95+W95+X95+AA95+AI95+AJ95+AI95+AM95+AP95+AQ95+AS95+AT95+AU95+AV95+AN95)</f>
        <v>0</v>
      </c>
      <c r="C95" s="215">
        <f>B95</f>
        <v>0</v>
      </c>
      <c r="D95" s="133"/>
      <c r="E95" s="134"/>
      <c r="F95" s="135"/>
      <c r="G95" s="136"/>
      <c r="H95" s="167"/>
      <c r="I95" s="96"/>
      <c r="J95" s="128"/>
      <c r="K95" s="104"/>
      <c r="L95" s="75"/>
      <c r="M95" s="75"/>
      <c r="N95" s="75"/>
      <c r="O95" s="96">
        <v>1</v>
      </c>
      <c r="P95" s="163"/>
      <c r="Q95" s="109">
        <v>1</v>
      </c>
      <c r="R95" s="108"/>
      <c r="S95" s="100"/>
      <c r="T95" s="110"/>
      <c r="U95" s="110"/>
      <c r="V95" s="100"/>
      <c r="W95" s="100"/>
      <c r="X95" s="100"/>
      <c r="Y95" s="110"/>
      <c r="Z95" s="110"/>
      <c r="AA95" s="100"/>
      <c r="AB95" s="108"/>
      <c r="AC95" s="109"/>
      <c r="AD95" s="109"/>
      <c r="AE95" s="109"/>
      <c r="AF95" s="109"/>
      <c r="AG95" s="108"/>
      <c r="AH95" s="108"/>
      <c r="AI95" s="100"/>
      <c r="AJ95" s="100"/>
      <c r="AK95" s="110"/>
      <c r="AL95" s="11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</row>
    <row r="96" spans="1:48" ht="16.3">
      <c r="A96" s="611" t="s">
        <v>2</v>
      </c>
      <c r="B96" s="221">
        <f>SUM(J96+K96+L96+M96+N96+S96+V96+W96+X96+AA96+AI96+AJ96+AI96+AM96+AP96+AQ96+AS96+AT96+AU96+AV96)</f>
        <v>0</v>
      </c>
      <c r="C96" s="215">
        <f t="shared" ref="C96:C99" si="14">B96</f>
        <v>0</v>
      </c>
      <c r="D96" s="133"/>
      <c r="E96" s="134"/>
      <c r="F96" s="135"/>
      <c r="G96" s="136"/>
      <c r="H96" s="167"/>
      <c r="I96" s="96"/>
      <c r="J96" s="128"/>
      <c r="K96" s="104"/>
      <c r="L96" s="75"/>
      <c r="M96" s="75"/>
      <c r="N96" s="75"/>
      <c r="O96" s="96"/>
      <c r="P96" s="163"/>
      <c r="Q96" s="109"/>
      <c r="R96" s="108"/>
      <c r="S96" s="100"/>
      <c r="T96" s="110"/>
      <c r="U96" s="110"/>
      <c r="V96" s="100"/>
      <c r="W96" s="100"/>
      <c r="X96" s="100"/>
      <c r="Y96" s="110"/>
      <c r="Z96" s="110"/>
      <c r="AA96" s="100"/>
      <c r="AB96" s="108"/>
      <c r="AC96" s="109"/>
      <c r="AD96" s="109"/>
      <c r="AE96" s="109"/>
      <c r="AF96" s="109"/>
      <c r="AG96" s="108"/>
      <c r="AH96" s="108"/>
      <c r="AI96" s="100"/>
      <c r="AJ96" s="100"/>
      <c r="AK96" s="110"/>
      <c r="AL96" s="11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</row>
    <row r="97" spans="1:48" ht="16.3">
      <c r="A97" s="91" t="s">
        <v>363</v>
      </c>
      <c r="B97" s="219">
        <f>SUM(B95+B96)</f>
        <v>0</v>
      </c>
      <c r="C97" s="214">
        <f t="shared" si="14"/>
        <v>0</v>
      </c>
      <c r="D97" s="133"/>
      <c r="E97" s="134"/>
      <c r="F97" s="135"/>
      <c r="G97" s="136"/>
      <c r="H97" s="167"/>
      <c r="I97" s="96"/>
      <c r="J97" s="128"/>
      <c r="K97" s="104"/>
      <c r="L97" s="75"/>
      <c r="M97" s="75"/>
      <c r="N97" s="75"/>
      <c r="O97" s="96"/>
      <c r="P97" s="163"/>
      <c r="Q97" s="109"/>
      <c r="R97" s="108"/>
      <c r="S97" s="100"/>
      <c r="T97" s="110"/>
      <c r="U97" s="110"/>
      <c r="V97" s="100"/>
      <c r="W97" s="100"/>
      <c r="X97" s="100"/>
      <c r="Y97" s="110"/>
      <c r="Z97" s="110"/>
      <c r="AA97" s="100"/>
      <c r="AB97" s="108"/>
      <c r="AC97" s="109"/>
      <c r="AD97" s="109"/>
      <c r="AE97" s="109"/>
      <c r="AF97" s="109"/>
      <c r="AG97" s="108"/>
      <c r="AH97" s="108"/>
      <c r="AI97" s="100"/>
      <c r="AJ97" s="100"/>
      <c r="AK97" s="110"/>
      <c r="AL97" s="11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</row>
    <row r="98" spans="1:48" ht="16.3">
      <c r="A98" s="91" t="s">
        <v>3</v>
      </c>
      <c r="B98" s="219">
        <f>SUM(J98+K98+L98+M98+N98+S98+V98+W98+X98+AA98+AI98+AJ98+AI98+AM98+AP98+AQ98+AS98+AT98+AU98+AV98)</f>
        <v>0</v>
      </c>
      <c r="C98" s="214">
        <f t="shared" si="14"/>
        <v>0</v>
      </c>
      <c r="D98" s="133"/>
      <c r="E98" s="134"/>
      <c r="F98" s="135"/>
      <c r="G98" s="136"/>
      <c r="H98" s="167"/>
      <c r="I98" s="96"/>
      <c r="J98" s="128"/>
      <c r="K98" s="104"/>
      <c r="L98" s="75"/>
      <c r="M98" s="75"/>
      <c r="N98" s="75"/>
      <c r="O98" s="96"/>
      <c r="P98" s="163"/>
      <c r="Q98" s="109"/>
      <c r="R98" s="108"/>
      <c r="S98" s="100"/>
      <c r="T98" s="110"/>
      <c r="U98" s="110"/>
      <c r="V98" s="100"/>
      <c r="W98" s="100"/>
      <c r="X98" s="100"/>
      <c r="Y98" s="110"/>
      <c r="Z98" s="110"/>
      <c r="AA98" s="100"/>
      <c r="AB98" s="108"/>
      <c r="AC98" s="109"/>
      <c r="AD98" s="109"/>
      <c r="AE98" s="109"/>
      <c r="AF98" s="109"/>
      <c r="AG98" s="108"/>
      <c r="AH98" s="108"/>
      <c r="AI98" s="100"/>
      <c r="AJ98" s="100"/>
      <c r="AK98" s="110"/>
      <c r="AL98" s="11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</row>
    <row r="99" spans="1:48" ht="17" thickBot="1">
      <c r="A99" s="92" t="s">
        <v>4</v>
      </c>
      <c r="B99" s="220">
        <f>SUM(J99+K99+L99+M99+N99+S99+V99+W99+X99+AA99+AI99+AJ99+AI99+AM99+AP99+AQ99+AS99+AT99+AU99+AV99)</f>
        <v>0</v>
      </c>
      <c r="C99" s="217">
        <f t="shared" si="14"/>
        <v>0</v>
      </c>
      <c r="D99" s="144"/>
      <c r="E99" s="145"/>
      <c r="F99" s="146"/>
      <c r="G99" s="147"/>
      <c r="H99" s="151"/>
      <c r="I99" s="114"/>
      <c r="J99" s="128"/>
      <c r="K99" s="104"/>
      <c r="L99" s="75"/>
      <c r="M99" s="75"/>
      <c r="N99" s="75"/>
      <c r="O99" s="96"/>
      <c r="P99" s="163"/>
      <c r="Q99" s="109"/>
      <c r="R99" s="108"/>
      <c r="S99" s="100"/>
      <c r="T99" s="110"/>
      <c r="U99" s="110"/>
      <c r="V99" s="100"/>
      <c r="W99" s="100"/>
      <c r="X99" s="100"/>
      <c r="Y99" s="110"/>
      <c r="Z99" s="110"/>
      <c r="AA99" s="100"/>
      <c r="AB99" s="108"/>
      <c r="AC99" s="109"/>
      <c r="AD99" s="109"/>
      <c r="AE99" s="109"/>
      <c r="AF99" s="109"/>
      <c r="AG99" s="108"/>
      <c r="AH99" s="108"/>
      <c r="AI99" s="100"/>
      <c r="AJ99" s="100"/>
      <c r="AK99" s="110"/>
      <c r="AL99" s="11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</row>
    <row r="100" spans="1:48" ht="21.1">
      <c r="A100" s="89" t="s">
        <v>201</v>
      </c>
      <c r="B100" s="219"/>
      <c r="C100" s="214"/>
      <c r="D100" s="133"/>
      <c r="E100" s="134"/>
      <c r="F100" s="135"/>
      <c r="G100" s="136"/>
      <c r="H100" s="96" t="s">
        <v>501</v>
      </c>
      <c r="I100" s="96"/>
      <c r="J100" s="165" t="s">
        <v>377</v>
      </c>
      <c r="K100" s="123">
        <v>13</v>
      </c>
      <c r="L100" s="122">
        <v>13</v>
      </c>
      <c r="M100" s="122" t="s">
        <v>339</v>
      </c>
      <c r="N100" s="122" t="s">
        <v>339</v>
      </c>
      <c r="O100" s="124"/>
      <c r="P100" s="166"/>
      <c r="Q100" s="99"/>
      <c r="R100" s="98"/>
      <c r="S100" s="102" t="s">
        <v>377</v>
      </c>
      <c r="T100" s="101">
        <v>13</v>
      </c>
      <c r="U100" s="101" t="s">
        <v>377</v>
      </c>
      <c r="V100" s="102">
        <v>13</v>
      </c>
      <c r="W100" s="102" t="s">
        <v>377</v>
      </c>
      <c r="X100" s="102" t="s">
        <v>339</v>
      </c>
      <c r="Y100" s="101" t="s">
        <v>339</v>
      </c>
      <c r="Z100" s="101" t="s">
        <v>339</v>
      </c>
      <c r="AA100" s="102" t="s">
        <v>339</v>
      </c>
      <c r="AB100" s="98"/>
      <c r="AC100" s="99" t="s">
        <v>339</v>
      </c>
      <c r="AD100" s="99" t="s">
        <v>339</v>
      </c>
      <c r="AE100" s="99" t="s">
        <v>339</v>
      </c>
      <c r="AF100" s="99"/>
      <c r="AG100" s="98"/>
      <c r="AH100" s="98"/>
      <c r="AI100" s="102"/>
      <c r="AJ100" s="102"/>
      <c r="AK100" s="101"/>
      <c r="AL100" s="101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</row>
    <row r="101" spans="1:48" ht="16.3">
      <c r="A101" s="611" t="s">
        <v>1</v>
      </c>
      <c r="B101" s="221">
        <f>SUM(J101+K101+L101+M101+N101+S101+V101+W101+X101+AA101+AI101+AJ101+AI101+AM101+AP101+AQ101+AS101+AT101+AU101+AV101+AN101)+36</f>
        <v>42</v>
      </c>
      <c r="C101" s="215">
        <f>B101</f>
        <v>42</v>
      </c>
      <c r="D101" s="133"/>
      <c r="E101" s="134"/>
      <c r="F101" s="135"/>
      <c r="G101" s="136"/>
      <c r="H101" s="96"/>
      <c r="I101" s="96"/>
      <c r="J101" s="128">
        <v>1</v>
      </c>
      <c r="K101" s="104">
        <v>1</v>
      </c>
      <c r="L101" s="75">
        <v>1</v>
      </c>
      <c r="M101" s="75"/>
      <c r="N101" s="75"/>
      <c r="O101" s="96"/>
      <c r="P101" s="105"/>
      <c r="Q101" s="96"/>
      <c r="R101" s="105"/>
      <c r="S101" s="75">
        <v>1</v>
      </c>
      <c r="T101" s="106">
        <v>1</v>
      </c>
      <c r="U101" s="106">
        <v>1</v>
      </c>
      <c r="V101" s="75">
        <v>1</v>
      </c>
      <c r="W101" s="75">
        <v>1</v>
      </c>
      <c r="X101" s="75"/>
      <c r="Y101" s="106"/>
      <c r="Z101" s="106"/>
      <c r="AA101" s="75"/>
      <c r="AB101" s="105"/>
      <c r="AC101" s="96"/>
      <c r="AD101" s="96"/>
      <c r="AE101" s="96"/>
      <c r="AF101" s="96"/>
      <c r="AG101" s="105"/>
      <c r="AH101" s="105"/>
      <c r="AI101" s="75"/>
      <c r="AJ101" s="75"/>
      <c r="AK101" s="106"/>
      <c r="AL101" s="106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</row>
    <row r="102" spans="1:48" ht="16.3">
      <c r="A102" s="611" t="s">
        <v>2</v>
      </c>
      <c r="B102" s="221">
        <f>SUM(J102+K102+L102+M102+N102+S102+V102+W102+X102+AA102+AI102+AJ102+AI102+AM102+AP102+AQ102+AS102+AT102+AU102+AV102)+18</f>
        <v>18</v>
      </c>
      <c r="C102" s="215">
        <f t="shared" ref="C102:C105" si="15">B102</f>
        <v>18</v>
      </c>
      <c r="D102" s="133"/>
      <c r="E102" s="134"/>
      <c r="F102" s="135"/>
      <c r="G102" s="136"/>
      <c r="H102" s="96"/>
      <c r="I102" s="96"/>
      <c r="J102" s="128"/>
      <c r="K102" s="104"/>
      <c r="L102" s="75"/>
      <c r="M102" s="75"/>
      <c r="N102" s="75"/>
      <c r="O102" s="96"/>
      <c r="P102" s="163"/>
      <c r="Q102" s="109"/>
      <c r="R102" s="108"/>
      <c r="S102" s="100"/>
      <c r="T102" s="110"/>
      <c r="U102" s="110"/>
      <c r="V102" s="100"/>
      <c r="W102" s="100"/>
      <c r="X102" s="100"/>
      <c r="Y102" s="110"/>
      <c r="Z102" s="110"/>
      <c r="AA102" s="100"/>
      <c r="AB102" s="108"/>
      <c r="AC102" s="109"/>
      <c r="AD102" s="109"/>
      <c r="AE102" s="109"/>
      <c r="AF102" s="109"/>
      <c r="AG102" s="108"/>
      <c r="AH102" s="108"/>
      <c r="AI102" s="100"/>
      <c r="AJ102" s="100"/>
      <c r="AK102" s="110"/>
      <c r="AL102" s="11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</row>
    <row r="103" spans="1:48" ht="16.3">
      <c r="A103" s="629" t="s">
        <v>363</v>
      </c>
      <c r="B103" s="219">
        <f>SUM(B101+B102)</f>
        <v>60</v>
      </c>
      <c r="C103" s="214">
        <f t="shared" si="15"/>
        <v>60</v>
      </c>
      <c r="D103" s="133"/>
      <c r="E103" s="134"/>
      <c r="F103" s="135"/>
      <c r="G103" s="136"/>
      <c r="H103" s="96"/>
      <c r="I103" s="96"/>
      <c r="J103" s="128"/>
      <c r="K103" s="104"/>
      <c r="L103" s="75"/>
      <c r="M103" s="75"/>
      <c r="N103" s="75"/>
      <c r="O103" s="96"/>
      <c r="P103" s="163"/>
      <c r="Q103" s="109"/>
      <c r="R103" s="108"/>
      <c r="S103" s="100"/>
      <c r="T103" s="110"/>
      <c r="U103" s="110"/>
      <c r="V103" s="100"/>
      <c r="W103" s="100"/>
      <c r="X103" s="100"/>
      <c r="Y103" s="110"/>
      <c r="Z103" s="110"/>
      <c r="AA103" s="100"/>
      <c r="AB103" s="108"/>
      <c r="AC103" s="109"/>
      <c r="AD103" s="109"/>
      <c r="AE103" s="109"/>
      <c r="AF103" s="109"/>
      <c r="AG103" s="108"/>
      <c r="AH103" s="108"/>
      <c r="AI103" s="100"/>
      <c r="AJ103" s="100"/>
      <c r="AK103" s="110"/>
      <c r="AL103" s="11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</row>
    <row r="104" spans="1:48" ht="16.3">
      <c r="A104" s="91" t="s">
        <v>3</v>
      </c>
      <c r="B104" s="219">
        <f>SUM(J104+K104+L104+M104+N104+S104+V104+W104+X104+AA104+AI104+AJ104+AI104+AM104+AP104+AQ104+AS104+AT104+AU104+AV104)+7</f>
        <v>7</v>
      </c>
      <c r="C104" s="214">
        <f t="shared" si="15"/>
        <v>7</v>
      </c>
      <c r="D104" s="133"/>
      <c r="E104" s="134"/>
      <c r="F104" s="135"/>
      <c r="G104" s="136"/>
      <c r="H104" s="96"/>
      <c r="I104" s="96"/>
      <c r="J104" s="128"/>
      <c r="K104" s="104"/>
      <c r="L104" s="75"/>
      <c r="M104" s="75"/>
      <c r="N104" s="75"/>
      <c r="O104" s="96"/>
      <c r="P104" s="163"/>
      <c r="Q104" s="109"/>
      <c r="R104" s="108"/>
      <c r="S104" s="100"/>
      <c r="T104" s="110">
        <v>1</v>
      </c>
      <c r="U104" s="110"/>
      <c r="V104" s="100"/>
      <c r="W104" s="100"/>
      <c r="X104" s="100"/>
      <c r="Y104" s="110"/>
      <c r="Z104" s="110"/>
      <c r="AA104" s="100"/>
      <c r="AB104" s="108"/>
      <c r="AC104" s="109"/>
      <c r="AD104" s="109"/>
      <c r="AE104" s="109"/>
      <c r="AF104" s="109"/>
      <c r="AG104" s="108"/>
      <c r="AH104" s="108"/>
      <c r="AI104" s="100"/>
      <c r="AJ104" s="100"/>
      <c r="AK104" s="110"/>
      <c r="AL104" s="11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</row>
    <row r="105" spans="1:48" ht="17" thickBot="1">
      <c r="A105" s="92" t="s">
        <v>4</v>
      </c>
      <c r="B105" s="220">
        <f>SUM(J105+K105+L105+M105+N105+S105+V105+W105+X105+AA105+AI105+AJ105+AI105+AM105+AP105+AQ105+AS105+AT105+AU105+AV105)+35</f>
        <v>35</v>
      </c>
      <c r="C105" s="217">
        <f t="shared" si="15"/>
        <v>35</v>
      </c>
      <c r="D105" s="144"/>
      <c r="E105" s="145"/>
      <c r="F105" s="146"/>
      <c r="G105" s="147"/>
      <c r="H105" s="114"/>
      <c r="I105" s="114"/>
      <c r="J105" s="129"/>
      <c r="K105" s="113"/>
      <c r="L105" s="112"/>
      <c r="M105" s="112"/>
      <c r="N105" s="112"/>
      <c r="O105" s="114"/>
      <c r="P105" s="164"/>
      <c r="Q105" s="118"/>
      <c r="R105" s="117"/>
      <c r="S105" s="116"/>
      <c r="T105" s="120">
        <v>5</v>
      </c>
      <c r="U105" s="120"/>
      <c r="V105" s="116"/>
      <c r="W105" s="116"/>
      <c r="X105" s="116"/>
      <c r="Y105" s="120"/>
      <c r="Z105" s="120"/>
      <c r="AA105" s="116"/>
      <c r="AB105" s="117"/>
      <c r="AC105" s="118"/>
      <c r="AD105" s="118"/>
      <c r="AE105" s="118"/>
      <c r="AF105" s="118"/>
      <c r="AG105" s="117"/>
      <c r="AH105" s="117"/>
      <c r="AI105" s="116"/>
      <c r="AJ105" s="116"/>
      <c r="AK105" s="120"/>
      <c r="AL105" s="120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</row>
    <row r="106" spans="1:48" ht="21.1">
      <c r="A106" s="89" t="s">
        <v>203</v>
      </c>
      <c r="B106" s="219"/>
      <c r="C106" s="214"/>
      <c r="D106" s="133"/>
      <c r="E106" s="134"/>
      <c r="F106" s="135"/>
      <c r="G106" s="136"/>
      <c r="H106" s="96" t="s">
        <v>339</v>
      </c>
      <c r="I106" s="96" t="s">
        <v>339</v>
      </c>
      <c r="J106" s="128" t="s">
        <v>339</v>
      </c>
      <c r="K106" s="104" t="s">
        <v>339</v>
      </c>
      <c r="L106" s="75" t="s">
        <v>339</v>
      </c>
      <c r="M106" s="75" t="s">
        <v>339</v>
      </c>
      <c r="N106" s="75" t="s">
        <v>339</v>
      </c>
      <c r="O106" s="96" t="s">
        <v>339</v>
      </c>
      <c r="P106" s="163"/>
      <c r="Q106" s="99" t="s">
        <v>339</v>
      </c>
      <c r="R106" s="98"/>
      <c r="S106" s="100" t="s">
        <v>339</v>
      </c>
      <c r="T106" s="110" t="s">
        <v>339</v>
      </c>
      <c r="U106" s="110" t="s">
        <v>375</v>
      </c>
      <c r="V106" s="102" t="s">
        <v>375</v>
      </c>
      <c r="W106" s="102" t="s">
        <v>339</v>
      </c>
      <c r="X106" s="102" t="s">
        <v>339</v>
      </c>
      <c r="Y106" s="101" t="s">
        <v>339</v>
      </c>
      <c r="Z106" s="101" t="s">
        <v>339</v>
      </c>
      <c r="AA106" s="102" t="s">
        <v>339</v>
      </c>
      <c r="AB106" s="98"/>
      <c r="AC106" s="99" t="s">
        <v>339</v>
      </c>
      <c r="AD106" s="99" t="s">
        <v>339</v>
      </c>
      <c r="AE106" s="99" t="s">
        <v>377</v>
      </c>
      <c r="AF106" s="99" t="s">
        <v>381</v>
      </c>
      <c r="AG106" s="98"/>
      <c r="AH106" s="98"/>
      <c r="AI106" s="102"/>
      <c r="AJ106" s="102"/>
      <c r="AK106" s="101"/>
      <c r="AL106" s="101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</row>
    <row r="107" spans="1:48" ht="16.3">
      <c r="A107" s="585" t="s">
        <v>1</v>
      </c>
      <c r="B107" s="221">
        <f>SUM(J107+K107+L107+M107+N107+S107+V107+W107+X107+AA107+AI107+AJ107+AI107+AM107+AP107+AQ107+AS107+AT107+AU107+AV107+AN107)+4</f>
        <v>4</v>
      </c>
      <c r="C107" s="215">
        <f>B107</f>
        <v>4</v>
      </c>
      <c r="D107" s="139"/>
      <c r="E107" s="134"/>
      <c r="F107" s="135"/>
      <c r="G107" s="136"/>
      <c r="H107" s="96"/>
      <c r="I107" s="96"/>
      <c r="J107" s="128"/>
      <c r="K107" s="104"/>
      <c r="L107" s="75"/>
      <c r="M107" s="75"/>
      <c r="N107" s="75"/>
      <c r="O107" s="96"/>
      <c r="P107" s="105"/>
      <c r="Q107" s="96"/>
      <c r="R107" s="105"/>
      <c r="S107" s="75"/>
      <c r="T107" s="106"/>
      <c r="U107" s="106"/>
      <c r="V107" s="75"/>
      <c r="W107" s="75"/>
      <c r="X107" s="75"/>
      <c r="Y107" s="106"/>
      <c r="Z107" s="106"/>
      <c r="AA107" s="75"/>
      <c r="AB107" s="105"/>
      <c r="AC107" s="96"/>
      <c r="AD107" s="96"/>
      <c r="AE107" s="96">
        <v>1</v>
      </c>
      <c r="AF107" s="96">
        <v>1</v>
      </c>
      <c r="AG107" s="105"/>
      <c r="AH107" s="105"/>
      <c r="AI107" s="75"/>
      <c r="AJ107" s="75"/>
      <c r="AK107" s="106"/>
      <c r="AL107" s="106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</row>
    <row r="108" spans="1:48" ht="16.3">
      <c r="A108" s="611" t="s">
        <v>2</v>
      </c>
      <c r="B108" s="221">
        <f>SUM(J108+K108+L108+M108+N108+S108+V108+W108+X108+AA108+AI108+AJ108+AI108+AM108+AP108+AQ108+AS108+AT108+AU108+AV108)+2</f>
        <v>3</v>
      </c>
      <c r="C108" s="215">
        <f t="shared" ref="C108:C111" si="16">B108</f>
        <v>3</v>
      </c>
      <c r="D108" s="139"/>
      <c r="E108" s="134"/>
      <c r="F108" s="135"/>
      <c r="G108" s="136"/>
      <c r="H108" s="96"/>
      <c r="I108" s="96"/>
      <c r="J108" s="128"/>
      <c r="K108" s="104"/>
      <c r="L108" s="75"/>
      <c r="M108" s="75"/>
      <c r="N108" s="75"/>
      <c r="O108" s="96"/>
      <c r="P108" s="163"/>
      <c r="Q108" s="109"/>
      <c r="R108" s="108"/>
      <c r="S108" s="100"/>
      <c r="T108" s="110"/>
      <c r="U108" s="110">
        <v>1</v>
      </c>
      <c r="V108" s="100">
        <v>1</v>
      </c>
      <c r="W108" s="100"/>
      <c r="X108" s="100"/>
      <c r="Y108" s="110"/>
      <c r="Z108" s="110"/>
      <c r="AA108" s="100"/>
      <c r="AB108" s="108"/>
      <c r="AC108" s="109"/>
      <c r="AD108" s="109"/>
      <c r="AE108" s="109"/>
      <c r="AF108" s="109"/>
      <c r="AG108" s="108"/>
      <c r="AH108" s="108"/>
      <c r="AI108" s="100"/>
      <c r="AJ108" s="100"/>
      <c r="AK108" s="110"/>
      <c r="AL108" s="11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</row>
    <row r="109" spans="1:48" ht="16.3">
      <c r="A109" s="629" t="s">
        <v>363</v>
      </c>
      <c r="B109" s="219">
        <f>SUM(B107+B108)</f>
        <v>7</v>
      </c>
      <c r="C109" s="214">
        <f t="shared" si="16"/>
        <v>7</v>
      </c>
      <c r="D109" s="133"/>
      <c r="E109" s="134"/>
      <c r="F109" s="135"/>
      <c r="G109" s="136"/>
      <c r="H109" s="96"/>
      <c r="I109" s="96"/>
      <c r="J109" s="128"/>
      <c r="K109" s="104"/>
      <c r="L109" s="75"/>
      <c r="M109" s="75"/>
      <c r="N109" s="75"/>
      <c r="O109" s="96"/>
      <c r="P109" s="163"/>
      <c r="Q109" s="109"/>
      <c r="R109" s="108"/>
      <c r="S109" s="100"/>
      <c r="T109" s="110"/>
      <c r="U109" s="110"/>
      <c r="V109" s="100"/>
      <c r="W109" s="100"/>
      <c r="X109" s="100"/>
      <c r="Y109" s="110"/>
      <c r="Z109" s="110"/>
      <c r="AA109" s="100"/>
      <c r="AB109" s="108"/>
      <c r="AC109" s="109"/>
      <c r="AD109" s="109"/>
      <c r="AE109" s="109"/>
      <c r="AF109" s="109"/>
      <c r="AG109" s="108"/>
      <c r="AH109" s="108"/>
      <c r="AI109" s="100"/>
      <c r="AJ109" s="100"/>
      <c r="AK109" s="110"/>
      <c r="AL109" s="11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</row>
    <row r="110" spans="1:48" ht="16.3">
      <c r="A110" s="91" t="s">
        <v>3</v>
      </c>
      <c r="B110" s="219">
        <f>SUM(J110+K110+L110+M110+N110+S110+V110+W110+X110+AA110+AI110+AJ110+AI110+AM110+AP110+AQ110+AS110+AT110+AU110+AV110)+1</f>
        <v>1</v>
      </c>
      <c r="C110" s="214">
        <f t="shared" si="16"/>
        <v>1</v>
      </c>
      <c r="D110" s="133"/>
      <c r="E110" s="134"/>
      <c r="F110" s="135"/>
      <c r="G110" s="136"/>
      <c r="H110" s="96"/>
      <c r="I110" s="96"/>
      <c r="J110" s="128"/>
      <c r="K110" s="104"/>
      <c r="L110" s="75"/>
      <c r="M110" s="75"/>
      <c r="N110" s="75"/>
      <c r="O110" s="96"/>
      <c r="P110" s="163"/>
      <c r="Q110" s="109"/>
      <c r="R110" s="108"/>
      <c r="S110" s="100"/>
      <c r="T110" s="110"/>
      <c r="U110" s="110"/>
      <c r="V110" s="100"/>
      <c r="W110" s="100"/>
      <c r="X110" s="100"/>
      <c r="Y110" s="110"/>
      <c r="Z110" s="110"/>
      <c r="AA110" s="100"/>
      <c r="AB110" s="108"/>
      <c r="AC110" s="109"/>
      <c r="AD110" s="109"/>
      <c r="AE110" s="109"/>
      <c r="AF110" s="109"/>
      <c r="AG110" s="108"/>
      <c r="AH110" s="108"/>
      <c r="AI110" s="100"/>
      <c r="AJ110" s="100"/>
      <c r="AK110" s="110"/>
      <c r="AL110" s="11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</row>
    <row r="111" spans="1:48" ht="17" thickBot="1">
      <c r="A111" s="92" t="s">
        <v>4</v>
      </c>
      <c r="B111" s="220">
        <f>SUM(J111+K111+L111+M111+N111+S111+V111+W111+X111+AA111+AI111+AJ111+AI111+AM111+AP111+AQ111+AS111+AT111+AU111+AV111)+5</f>
        <v>5</v>
      </c>
      <c r="C111" s="217">
        <f t="shared" si="16"/>
        <v>5</v>
      </c>
      <c r="D111" s="144"/>
      <c r="E111" s="145"/>
      <c r="F111" s="146"/>
      <c r="G111" s="147"/>
      <c r="H111" s="114"/>
      <c r="I111" s="114"/>
      <c r="J111" s="129"/>
      <c r="K111" s="113"/>
      <c r="L111" s="112"/>
      <c r="M111" s="112"/>
      <c r="N111" s="112"/>
      <c r="O111" s="114"/>
      <c r="P111" s="164"/>
      <c r="Q111" s="118"/>
      <c r="R111" s="117"/>
      <c r="S111" s="116"/>
      <c r="T111" s="120"/>
      <c r="U111" s="120"/>
      <c r="V111" s="116"/>
      <c r="W111" s="116"/>
      <c r="X111" s="116"/>
      <c r="Y111" s="120"/>
      <c r="Z111" s="120"/>
      <c r="AA111" s="116"/>
      <c r="AB111" s="117"/>
      <c r="AC111" s="118"/>
      <c r="AD111" s="118"/>
      <c r="AE111" s="118"/>
      <c r="AF111" s="118"/>
      <c r="AG111" s="117"/>
      <c r="AH111" s="117"/>
      <c r="AI111" s="116"/>
      <c r="AJ111" s="116"/>
      <c r="AK111" s="120"/>
      <c r="AL111" s="120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</row>
    <row r="112" spans="1:48" ht="21.1">
      <c r="A112" s="89" t="s">
        <v>123</v>
      </c>
      <c r="B112" s="219"/>
      <c r="C112" s="214"/>
      <c r="D112" s="133"/>
      <c r="E112" s="134"/>
      <c r="F112" s="135"/>
      <c r="G112" s="136"/>
      <c r="H112" s="96">
        <v>13</v>
      </c>
      <c r="I112" s="96" t="s">
        <v>339</v>
      </c>
      <c r="J112" s="128"/>
      <c r="K112" s="104"/>
      <c r="L112" s="75"/>
      <c r="M112" s="75"/>
      <c r="N112" s="75"/>
      <c r="O112" s="96"/>
      <c r="P112" s="163"/>
      <c r="Q112" s="109">
        <v>12</v>
      </c>
      <c r="R112" s="108"/>
      <c r="S112" s="100"/>
      <c r="T112" s="110" t="s">
        <v>375</v>
      </c>
      <c r="U112" s="110"/>
      <c r="V112" s="100"/>
      <c r="W112" s="100" t="s">
        <v>375</v>
      </c>
      <c r="X112" s="100" t="s">
        <v>375</v>
      </c>
      <c r="Y112" s="110">
        <v>12</v>
      </c>
      <c r="Z112" s="110">
        <v>12</v>
      </c>
      <c r="AA112" s="100">
        <v>12</v>
      </c>
      <c r="AB112" s="108"/>
      <c r="AC112" s="109">
        <v>12</v>
      </c>
      <c r="AD112" s="109" t="s">
        <v>375</v>
      </c>
      <c r="AE112" s="109">
        <v>12</v>
      </c>
      <c r="AF112" s="109"/>
      <c r="AG112" s="108"/>
      <c r="AH112" s="108"/>
      <c r="AI112" s="100"/>
      <c r="AJ112" s="100"/>
      <c r="AK112" s="110"/>
      <c r="AL112" s="11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</row>
    <row r="113" spans="1:48" ht="16.3">
      <c r="A113" s="611" t="s">
        <v>1</v>
      </c>
      <c r="B113" s="221">
        <f>SUM(J113+K113+L113+M113+N113+S113+V113+W113+X113+AA113+AI113+AJ113+AI113+AM113+AP113+AQ113+AS113+AT113+AU113+AV113+AN113)</f>
        <v>1</v>
      </c>
      <c r="C113" s="215">
        <f>B113</f>
        <v>1</v>
      </c>
      <c r="D113" s="133"/>
      <c r="E113" s="134"/>
      <c r="F113" s="135"/>
      <c r="G113" s="136"/>
      <c r="H113" s="96">
        <v>1</v>
      </c>
      <c r="I113" s="96"/>
      <c r="J113" s="128"/>
      <c r="K113" s="104"/>
      <c r="L113" s="75"/>
      <c r="M113" s="75"/>
      <c r="N113" s="75"/>
      <c r="O113" s="96"/>
      <c r="P113" s="163"/>
      <c r="Q113" s="109">
        <v>1</v>
      </c>
      <c r="R113" s="108"/>
      <c r="S113" s="100"/>
      <c r="T113" s="110"/>
      <c r="U113" s="110"/>
      <c r="V113" s="100"/>
      <c r="W113" s="100"/>
      <c r="X113" s="100"/>
      <c r="Y113" s="110">
        <v>1</v>
      </c>
      <c r="Z113" s="110">
        <v>1</v>
      </c>
      <c r="AA113" s="100">
        <v>1</v>
      </c>
      <c r="AB113" s="108"/>
      <c r="AC113" s="109">
        <v>1</v>
      </c>
      <c r="AD113" s="109"/>
      <c r="AE113" s="109">
        <v>1</v>
      </c>
      <c r="AF113" s="109"/>
      <c r="AG113" s="108"/>
      <c r="AH113" s="108"/>
      <c r="AI113" s="100"/>
      <c r="AJ113" s="100"/>
      <c r="AK113" s="110"/>
      <c r="AL113" s="11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</row>
    <row r="114" spans="1:48" ht="16.3">
      <c r="A114" s="611" t="s">
        <v>2</v>
      </c>
      <c r="B114" s="221">
        <f>SUM(J114+K114+L114+M114+N114+S114+V114+W114+X114+AA114+AI114+AJ114+AI114+AM114+AP114+AQ114+AS114+AT114+AU114+AV114)+3</f>
        <v>5</v>
      </c>
      <c r="C114" s="215">
        <f t="shared" ref="C114:C117" si="17">B114</f>
        <v>5</v>
      </c>
      <c r="D114" s="133"/>
      <c r="E114" s="134"/>
      <c r="F114" s="135"/>
      <c r="G114" s="136"/>
      <c r="H114" s="96"/>
      <c r="I114" s="96"/>
      <c r="J114" s="128"/>
      <c r="K114" s="104"/>
      <c r="L114" s="75"/>
      <c r="M114" s="75"/>
      <c r="N114" s="75"/>
      <c r="O114" s="96"/>
      <c r="P114" s="163"/>
      <c r="Q114" s="109"/>
      <c r="R114" s="108"/>
      <c r="S114" s="100"/>
      <c r="T114" s="110">
        <v>1</v>
      </c>
      <c r="U114" s="110"/>
      <c r="V114" s="100"/>
      <c r="W114" s="100">
        <v>1</v>
      </c>
      <c r="X114" s="100">
        <v>1</v>
      </c>
      <c r="Y114" s="110"/>
      <c r="Z114" s="110"/>
      <c r="AA114" s="100"/>
      <c r="AB114" s="108"/>
      <c r="AC114" s="109"/>
      <c r="AD114" s="109">
        <v>1</v>
      </c>
      <c r="AE114" s="109"/>
      <c r="AF114" s="109"/>
      <c r="AG114" s="108"/>
      <c r="AH114" s="108"/>
      <c r="AI114" s="100"/>
      <c r="AJ114" s="100"/>
      <c r="AK114" s="110"/>
      <c r="AL114" s="11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</row>
    <row r="115" spans="1:48" ht="16.3">
      <c r="A115" s="91" t="s">
        <v>363</v>
      </c>
      <c r="B115" s="219">
        <f>SUM(B113+B114)</f>
        <v>6</v>
      </c>
      <c r="C115" s="214">
        <f t="shared" si="17"/>
        <v>6</v>
      </c>
      <c r="D115" s="133"/>
      <c r="E115" s="134"/>
      <c r="F115" s="135"/>
      <c r="G115" s="136"/>
      <c r="H115" s="96"/>
      <c r="I115" s="96"/>
      <c r="J115" s="128"/>
      <c r="K115" s="104"/>
      <c r="L115" s="75"/>
      <c r="M115" s="75"/>
      <c r="N115" s="75"/>
      <c r="O115" s="96"/>
      <c r="P115" s="163"/>
      <c r="Q115" s="109"/>
      <c r="R115" s="108"/>
      <c r="S115" s="100"/>
      <c r="T115" s="110"/>
      <c r="U115" s="110"/>
      <c r="V115" s="100"/>
      <c r="W115" s="100"/>
      <c r="X115" s="100"/>
      <c r="Y115" s="110"/>
      <c r="Z115" s="110"/>
      <c r="AA115" s="100"/>
      <c r="AB115" s="108"/>
      <c r="AC115" s="109"/>
      <c r="AD115" s="109"/>
      <c r="AE115" s="109"/>
      <c r="AF115" s="109"/>
      <c r="AG115" s="108"/>
      <c r="AH115" s="108"/>
      <c r="AI115" s="100"/>
      <c r="AJ115" s="100"/>
      <c r="AK115" s="110"/>
      <c r="AL115" s="11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</row>
    <row r="116" spans="1:48" ht="16.3">
      <c r="A116" s="91" t="s">
        <v>3</v>
      </c>
      <c r="B116" s="219">
        <f>SUM(J116+K116+L116+M116+N116+S116+V116+W116+X116+AA116+AI116+AJ116+AI116+AM116+AP116+AQ116+AS116+AT116+AU116+AV116)</f>
        <v>0</v>
      </c>
      <c r="C116" s="214">
        <f t="shared" si="17"/>
        <v>0</v>
      </c>
      <c r="D116" s="133"/>
      <c r="E116" s="134"/>
      <c r="F116" s="135"/>
      <c r="G116" s="136"/>
      <c r="H116" s="96">
        <v>1</v>
      </c>
      <c r="I116" s="96"/>
      <c r="J116" s="128"/>
      <c r="K116" s="104"/>
      <c r="L116" s="75"/>
      <c r="M116" s="75"/>
      <c r="N116" s="75"/>
      <c r="O116" s="96"/>
      <c r="P116" s="163"/>
      <c r="Q116" s="109"/>
      <c r="R116" s="108"/>
      <c r="S116" s="100"/>
      <c r="T116" s="110"/>
      <c r="U116" s="110"/>
      <c r="V116" s="100"/>
      <c r="W116" s="100"/>
      <c r="X116" s="100"/>
      <c r="Y116" s="110"/>
      <c r="Z116" s="110"/>
      <c r="AA116" s="100"/>
      <c r="AB116" s="108"/>
      <c r="AC116" s="109">
        <v>1</v>
      </c>
      <c r="AD116" s="109"/>
      <c r="AE116" s="109"/>
      <c r="AF116" s="109"/>
      <c r="AG116" s="108"/>
      <c r="AH116" s="108"/>
      <c r="AI116" s="100"/>
      <c r="AJ116" s="100"/>
      <c r="AK116" s="110"/>
      <c r="AL116" s="11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</row>
    <row r="117" spans="1:48" ht="17" thickBot="1">
      <c r="A117" s="92" t="s">
        <v>4</v>
      </c>
      <c r="B117" s="220">
        <f>SUM(J117+K117+L117+M117+N117+S117+V117+W117+X117+AA117+AI117+AJ117+AI117+AM117+AP117+AQ117+AS117+AT117+AU117+AV117)</f>
        <v>0</v>
      </c>
      <c r="C117" s="217">
        <f t="shared" si="17"/>
        <v>0</v>
      </c>
      <c r="D117" s="144"/>
      <c r="E117" s="145"/>
      <c r="F117" s="146"/>
      <c r="G117" s="147"/>
      <c r="H117" s="114">
        <v>5</v>
      </c>
      <c r="I117" s="114"/>
      <c r="J117" s="129"/>
      <c r="K117" s="113"/>
      <c r="L117" s="112"/>
      <c r="M117" s="112"/>
      <c r="N117" s="112"/>
      <c r="O117" s="114"/>
      <c r="P117" s="164"/>
      <c r="Q117" s="118"/>
      <c r="R117" s="117"/>
      <c r="S117" s="116"/>
      <c r="T117" s="120"/>
      <c r="U117" s="120"/>
      <c r="V117" s="116"/>
      <c r="W117" s="116"/>
      <c r="X117" s="116"/>
      <c r="Y117" s="120"/>
      <c r="Z117" s="120"/>
      <c r="AA117" s="116"/>
      <c r="AB117" s="117"/>
      <c r="AC117" s="118">
        <v>5</v>
      </c>
      <c r="AD117" s="118"/>
      <c r="AE117" s="118"/>
      <c r="AF117" s="118"/>
      <c r="AG117" s="117"/>
      <c r="AH117" s="117"/>
      <c r="AI117" s="116"/>
      <c r="AJ117" s="116"/>
      <c r="AK117" s="120"/>
      <c r="AL117" s="120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</row>
    <row r="118" spans="1:48" ht="21.1">
      <c r="A118" s="89" t="s">
        <v>419</v>
      </c>
      <c r="B118" s="219"/>
      <c r="C118" s="214"/>
      <c r="D118" s="133"/>
      <c r="E118" s="134"/>
      <c r="F118" s="135"/>
      <c r="G118" s="136"/>
      <c r="H118" s="96">
        <v>12</v>
      </c>
      <c r="I118" s="96">
        <v>12</v>
      </c>
      <c r="J118" s="128">
        <v>12</v>
      </c>
      <c r="K118" s="104" t="s">
        <v>375</v>
      </c>
      <c r="L118" s="75" t="s">
        <v>393</v>
      </c>
      <c r="M118" s="75"/>
      <c r="N118" s="75"/>
      <c r="O118" s="96" t="s">
        <v>381</v>
      </c>
      <c r="P118" s="105"/>
      <c r="Q118" s="99" t="s">
        <v>377</v>
      </c>
      <c r="R118" s="98"/>
      <c r="S118" s="100"/>
      <c r="T118" s="110"/>
      <c r="U118" s="110"/>
      <c r="V118" s="102"/>
      <c r="W118" s="102"/>
      <c r="X118" s="102"/>
      <c r="Y118" s="101"/>
      <c r="Z118" s="101"/>
      <c r="AA118" s="102"/>
      <c r="AB118" s="98"/>
      <c r="AC118" s="99"/>
      <c r="AD118" s="99" t="s">
        <v>381</v>
      </c>
      <c r="AE118" s="99"/>
      <c r="AF118" s="99" t="s">
        <v>375</v>
      </c>
      <c r="AG118" s="98"/>
      <c r="AH118" s="98"/>
      <c r="AI118" s="102"/>
      <c r="AJ118" s="102"/>
      <c r="AK118" s="101"/>
      <c r="AL118" s="101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</row>
    <row r="119" spans="1:48" ht="16.3">
      <c r="A119" s="611" t="s">
        <v>1</v>
      </c>
      <c r="B119" s="221">
        <f>SUM(J119+K119+L119+M119+N119+S119+V119+W119+X119+AA119+AI119+AJ119+AI119+AM119+AP119+AQ119+AS119+AT119+AU119+AV119+AN119)</f>
        <v>1</v>
      </c>
      <c r="C119" s="215">
        <f>B119</f>
        <v>1</v>
      </c>
      <c r="D119" s="133"/>
      <c r="E119" s="134"/>
      <c r="F119" s="135"/>
      <c r="G119" s="136"/>
      <c r="H119" s="96">
        <v>1</v>
      </c>
      <c r="I119" s="96">
        <v>1</v>
      </c>
      <c r="J119" s="128">
        <v>1</v>
      </c>
      <c r="K119" s="104"/>
      <c r="L119" s="75"/>
      <c r="M119" s="75"/>
      <c r="N119" s="75"/>
      <c r="O119" s="96">
        <v>1</v>
      </c>
      <c r="P119" s="163"/>
      <c r="Q119" s="109">
        <v>1</v>
      </c>
      <c r="R119" s="108"/>
      <c r="S119" s="100"/>
      <c r="T119" s="110"/>
      <c r="U119" s="110"/>
      <c r="V119" s="100"/>
      <c r="W119" s="100"/>
      <c r="X119" s="100"/>
      <c r="Y119" s="110"/>
      <c r="Z119" s="110"/>
      <c r="AA119" s="100"/>
      <c r="AB119" s="108"/>
      <c r="AC119" s="109"/>
      <c r="AD119" s="109">
        <v>1</v>
      </c>
      <c r="AE119" s="109"/>
      <c r="AF119" s="109"/>
      <c r="AG119" s="108"/>
      <c r="AH119" s="108"/>
      <c r="AI119" s="100"/>
      <c r="AJ119" s="100"/>
      <c r="AK119" s="110"/>
      <c r="AL119" s="11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</row>
    <row r="120" spans="1:48" ht="16.3">
      <c r="A120" s="611" t="s">
        <v>2</v>
      </c>
      <c r="B120" s="221">
        <f>SUM(J120+K120+L120+M120+N120+S120+V120+W120+X120+AA120+AI120+AJ120+AI120+AM120+AP120+AQ120+AS120+AT120+AU120+AV120)+2</f>
        <v>3</v>
      </c>
      <c r="C120" s="215">
        <f t="shared" ref="C120:C123" si="18">B120</f>
        <v>3</v>
      </c>
      <c r="D120" s="133"/>
      <c r="E120" s="134"/>
      <c r="F120" s="135"/>
      <c r="G120" s="136"/>
      <c r="H120" s="96"/>
      <c r="I120" s="96"/>
      <c r="J120" s="128"/>
      <c r="K120" s="104">
        <v>1</v>
      </c>
      <c r="L120" s="75"/>
      <c r="M120" s="75"/>
      <c r="N120" s="75"/>
      <c r="O120" s="96"/>
      <c r="P120" s="105"/>
      <c r="Q120" s="96"/>
      <c r="R120" s="105"/>
      <c r="S120" s="75"/>
      <c r="T120" s="106"/>
      <c r="U120" s="106"/>
      <c r="V120" s="75"/>
      <c r="W120" s="75"/>
      <c r="X120" s="75"/>
      <c r="Y120" s="106"/>
      <c r="Z120" s="106"/>
      <c r="AA120" s="75"/>
      <c r="AB120" s="105"/>
      <c r="AC120" s="96"/>
      <c r="AD120" s="96"/>
      <c r="AE120" s="96"/>
      <c r="AF120" s="96">
        <v>1</v>
      </c>
      <c r="AG120" s="105"/>
      <c r="AH120" s="105"/>
      <c r="AI120" s="75"/>
      <c r="AJ120" s="75"/>
      <c r="AK120" s="106"/>
      <c r="AL120" s="106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</row>
    <row r="121" spans="1:48" ht="16.3">
      <c r="A121" s="91" t="s">
        <v>363</v>
      </c>
      <c r="B121" s="219">
        <f>SUM(B119+B120)</f>
        <v>4</v>
      </c>
      <c r="C121" s="214">
        <f t="shared" si="18"/>
        <v>4</v>
      </c>
      <c r="D121" s="133"/>
      <c r="E121" s="134"/>
      <c r="F121" s="135"/>
      <c r="G121" s="136"/>
      <c r="H121" s="96"/>
      <c r="I121" s="96"/>
      <c r="J121" s="128"/>
      <c r="K121" s="104"/>
      <c r="L121" s="75"/>
      <c r="M121" s="75"/>
      <c r="N121" s="75"/>
      <c r="O121" s="96"/>
      <c r="P121" s="163"/>
      <c r="Q121" s="109"/>
      <c r="R121" s="108"/>
      <c r="S121" s="100"/>
      <c r="T121" s="110"/>
      <c r="U121" s="110"/>
      <c r="V121" s="100"/>
      <c r="W121" s="100"/>
      <c r="X121" s="100"/>
      <c r="Y121" s="110"/>
      <c r="Z121" s="110"/>
      <c r="AA121" s="100"/>
      <c r="AB121" s="108"/>
      <c r="AC121" s="109"/>
      <c r="AD121" s="109"/>
      <c r="AE121" s="109"/>
      <c r="AF121" s="109"/>
      <c r="AG121" s="108"/>
      <c r="AH121" s="108"/>
      <c r="AI121" s="100"/>
      <c r="AJ121" s="100"/>
      <c r="AK121" s="110"/>
      <c r="AL121" s="11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</row>
    <row r="122" spans="1:48" ht="16.3">
      <c r="A122" s="611" t="s">
        <v>5</v>
      </c>
      <c r="B122" s="221">
        <f>SUM(J122+K122+L122+M122+N122+S122+V122+W122+X122+AA122+AI122+AJ122+AI122+AM122+AP122+AQ122+AS122+AT122+AU122+AV122)</f>
        <v>0</v>
      </c>
      <c r="C122" s="215">
        <f t="shared" si="18"/>
        <v>0</v>
      </c>
      <c r="D122" s="133"/>
      <c r="E122" s="134"/>
      <c r="F122" s="135"/>
      <c r="G122" s="136"/>
      <c r="H122" s="96">
        <v>1</v>
      </c>
      <c r="I122" s="96"/>
      <c r="J122" s="128"/>
      <c r="K122" s="104"/>
      <c r="L122" s="75"/>
      <c r="M122" s="75"/>
      <c r="N122" s="75"/>
      <c r="O122" s="96"/>
      <c r="P122" s="163"/>
      <c r="Q122" s="109"/>
      <c r="R122" s="108"/>
      <c r="S122" s="100"/>
      <c r="T122" s="110"/>
      <c r="U122" s="110"/>
      <c r="V122" s="100"/>
      <c r="W122" s="100"/>
      <c r="X122" s="100"/>
      <c r="Y122" s="110"/>
      <c r="Z122" s="110"/>
      <c r="AA122" s="100"/>
      <c r="AB122" s="108"/>
      <c r="AC122" s="109"/>
      <c r="AD122" s="109"/>
      <c r="AE122" s="109"/>
      <c r="AF122" s="109"/>
      <c r="AG122" s="108"/>
      <c r="AH122" s="108"/>
      <c r="AI122" s="100"/>
      <c r="AJ122" s="100"/>
      <c r="AK122" s="110"/>
      <c r="AL122" s="11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</row>
    <row r="123" spans="1:48" ht="16.3">
      <c r="A123" s="611" t="s">
        <v>6</v>
      </c>
      <c r="B123" s="221">
        <f>SUM(J123+K123+L123+M123+N123+S123+V123+W123+X123+AA123+AI123+AJ123+AI123+AM123+AP123+AQ123+AS123+AT123+AU123+AV123)</f>
        <v>0</v>
      </c>
      <c r="C123" s="215">
        <f t="shared" si="18"/>
        <v>0</v>
      </c>
      <c r="D123" s="133"/>
      <c r="E123" s="134"/>
      <c r="F123" s="135"/>
      <c r="G123" s="136"/>
      <c r="H123" s="96">
        <v>1</v>
      </c>
      <c r="I123" s="96"/>
      <c r="J123" s="128"/>
      <c r="K123" s="104"/>
      <c r="L123" s="75"/>
      <c r="M123" s="75"/>
      <c r="N123" s="75"/>
      <c r="O123" s="96"/>
      <c r="P123" s="163"/>
      <c r="Q123" s="109"/>
      <c r="R123" s="108"/>
      <c r="S123" s="100"/>
      <c r="T123" s="110"/>
      <c r="U123" s="110"/>
      <c r="V123" s="100"/>
      <c r="W123" s="100"/>
      <c r="X123" s="100"/>
      <c r="Y123" s="110"/>
      <c r="Z123" s="110"/>
      <c r="AA123" s="100"/>
      <c r="AB123" s="108"/>
      <c r="AC123" s="109"/>
      <c r="AD123" s="109"/>
      <c r="AE123" s="109"/>
      <c r="AF123" s="109"/>
      <c r="AG123" s="108"/>
      <c r="AH123" s="108"/>
      <c r="AI123" s="100"/>
      <c r="AJ123" s="100"/>
      <c r="AK123" s="110"/>
      <c r="AL123" s="11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</row>
    <row r="124" spans="1:48" ht="16.3">
      <c r="A124" s="611" t="s">
        <v>368</v>
      </c>
      <c r="B124" s="221">
        <v>0</v>
      </c>
      <c r="C124" s="215">
        <v>0</v>
      </c>
      <c r="D124" s="133"/>
      <c r="E124" s="134"/>
      <c r="F124" s="135"/>
      <c r="G124" s="136"/>
      <c r="H124" s="96">
        <v>100</v>
      </c>
      <c r="I124" s="96"/>
      <c r="J124" s="128"/>
      <c r="K124" s="104"/>
      <c r="L124" s="75"/>
      <c r="M124" s="75"/>
      <c r="N124" s="75"/>
      <c r="O124" s="96"/>
      <c r="P124" s="163"/>
      <c r="Q124" s="109"/>
      <c r="R124" s="108"/>
      <c r="S124" s="100"/>
      <c r="T124" s="110"/>
      <c r="U124" s="110"/>
      <c r="V124" s="100"/>
      <c r="W124" s="100"/>
      <c r="X124" s="100"/>
      <c r="Y124" s="110"/>
      <c r="Z124" s="110"/>
      <c r="AA124" s="100"/>
      <c r="AB124" s="108"/>
      <c r="AC124" s="109"/>
      <c r="AD124" s="109"/>
      <c r="AE124" s="109"/>
      <c r="AF124" s="109"/>
      <c r="AG124" s="108"/>
      <c r="AH124" s="108"/>
      <c r="AI124" s="100"/>
      <c r="AJ124" s="100"/>
      <c r="AK124" s="110"/>
      <c r="AL124" s="11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</row>
    <row r="125" spans="1:48" ht="16.3">
      <c r="A125" s="91" t="s">
        <v>3</v>
      </c>
      <c r="B125" s="219">
        <f>SUM(J125+K125+L125+M125+N125+S125+V125+W125+X125+AA125+AI125+AJ125+AI125+AM125+AP125+AQ125+AS125+AT125+AU125+AV125)</f>
        <v>0</v>
      </c>
      <c r="C125" s="214">
        <f t="shared" ref="C125:C126" si="19">B125</f>
        <v>0</v>
      </c>
      <c r="D125" s="133"/>
      <c r="E125" s="134"/>
      <c r="F125" s="135"/>
      <c r="G125" s="136"/>
      <c r="H125" s="96"/>
      <c r="I125" s="96"/>
      <c r="J125" s="128"/>
      <c r="K125" s="104"/>
      <c r="L125" s="75"/>
      <c r="M125" s="75"/>
      <c r="N125" s="75"/>
      <c r="O125" s="96"/>
      <c r="P125" s="163"/>
      <c r="Q125" s="109"/>
      <c r="R125" s="108"/>
      <c r="S125" s="100"/>
      <c r="T125" s="110"/>
      <c r="U125" s="110"/>
      <c r="V125" s="100"/>
      <c r="W125" s="100"/>
      <c r="X125" s="100"/>
      <c r="Y125" s="110"/>
      <c r="Z125" s="110"/>
      <c r="AA125" s="100"/>
      <c r="AB125" s="108"/>
      <c r="AC125" s="109"/>
      <c r="AD125" s="109"/>
      <c r="AE125" s="109"/>
      <c r="AF125" s="109"/>
      <c r="AG125" s="108"/>
      <c r="AH125" s="108"/>
      <c r="AI125" s="100"/>
      <c r="AJ125" s="100"/>
      <c r="AK125" s="110"/>
      <c r="AL125" s="11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</row>
    <row r="126" spans="1:48" ht="17" thickBot="1">
      <c r="A126" s="92" t="s">
        <v>4</v>
      </c>
      <c r="B126" s="220">
        <f>SUM(J126+K126+L126+M126+N126+S126+V126+W126+X126+AA126+AI126+AJ126+AI126+AM126+AP126+AQ126+AS126+AT126+AU126+AV126)</f>
        <v>0</v>
      </c>
      <c r="C126" s="217">
        <f t="shared" si="19"/>
        <v>0</v>
      </c>
      <c r="D126" s="144"/>
      <c r="E126" s="145"/>
      <c r="F126" s="146"/>
      <c r="G126" s="147"/>
      <c r="H126" s="114">
        <v>2</v>
      </c>
      <c r="I126" s="114"/>
      <c r="J126" s="129"/>
      <c r="K126" s="113"/>
      <c r="L126" s="112"/>
      <c r="M126" s="112"/>
      <c r="N126" s="112"/>
      <c r="O126" s="114"/>
      <c r="P126" s="117"/>
      <c r="Q126" s="118"/>
      <c r="R126" s="117"/>
      <c r="S126" s="116"/>
      <c r="T126" s="120"/>
      <c r="U126" s="120"/>
      <c r="V126" s="116"/>
      <c r="W126" s="116"/>
      <c r="X126" s="116"/>
      <c r="Y126" s="120"/>
      <c r="Z126" s="120"/>
      <c r="AA126" s="116"/>
      <c r="AB126" s="117"/>
      <c r="AC126" s="118"/>
      <c r="AD126" s="118"/>
      <c r="AE126" s="118"/>
      <c r="AF126" s="118"/>
      <c r="AG126" s="117"/>
      <c r="AH126" s="117"/>
      <c r="AI126" s="116"/>
      <c r="AJ126" s="116"/>
      <c r="AK126" s="120"/>
      <c r="AL126" s="120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</row>
    <row r="127" spans="1:48" ht="21.1">
      <c r="A127" s="89" t="s">
        <v>40</v>
      </c>
      <c r="B127" s="219"/>
      <c r="C127" s="214"/>
      <c r="D127" s="133"/>
      <c r="E127" s="134"/>
      <c r="F127" s="135"/>
      <c r="G127" s="136"/>
      <c r="H127" s="96" t="s">
        <v>501</v>
      </c>
      <c r="I127" s="96" t="s">
        <v>501</v>
      </c>
      <c r="J127" s="128" t="s">
        <v>501</v>
      </c>
      <c r="K127" s="104" t="s">
        <v>501</v>
      </c>
      <c r="L127" s="75" t="s">
        <v>682</v>
      </c>
      <c r="M127" s="75">
        <v>10</v>
      </c>
      <c r="N127" s="75" t="s">
        <v>682</v>
      </c>
      <c r="O127" s="96" t="s">
        <v>775</v>
      </c>
      <c r="P127" s="163"/>
      <c r="Q127" s="109" t="s">
        <v>775</v>
      </c>
      <c r="R127" s="108"/>
      <c r="S127" s="100">
        <v>10</v>
      </c>
      <c r="T127" s="110"/>
      <c r="U127" s="110">
        <v>10</v>
      </c>
      <c r="V127" s="100">
        <v>10</v>
      </c>
      <c r="W127" s="100">
        <v>10</v>
      </c>
      <c r="X127" s="102">
        <v>10</v>
      </c>
      <c r="Y127" s="101">
        <v>10</v>
      </c>
      <c r="Z127" s="101" t="s">
        <v>926</v>
      </c>
      <c r="AA127" s="102">
        <v>10</v>
      </c>
      <c r="AB127" s="98"/>
      <c r="AC127" s="99" t="s">
        <v>775</v>
      </c>
      <c r="AD127" s="99" t="s">
        <v>775</v>
      </c>
      <c r="AE127" s="99" t="s">
        <v>775</v>
      </c>
      <c r="AF127" s="99" t="s">
        <v>775</v>
      </c>
      <c r="AG127" s="98"/>
      <c r="AH127" s="98"/>
      <c r="AI127" s="102"/>
      <c r="AJ127" s="102"/>
      <c r="AK127" s="101"/>
      <c r="AL127" s="101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</row>
    <row r="128" spans="1:48" ht="16.3">
      <c r="A128" s="611" t="s">
        <v>1</v>
      </c>
      <c r="B128" s="221">
        <f>SUM(J128+K128+L128+M128+N128+S128+V128+W128+X128+AA128+AI128+AJ128+AI128+AM128+AP128+AQ128+AS128+AT128+AU128+AV128+AN128)+117</f>
        <v>125</v>
      </c>
      <c r="C128" s="215">
        <f>B128</f>
        <v>125</v>
      </c>
      <c r="D128" s="133"/>
      <c r="E128" s="134"/>
      <c r="F128" s="135"/>
      <c r="G128" s="136"/>
      <c r="H128" s="96"/>
      <c r="I128" s="96"/>
      <c r="J128" s="128"/>
      <c r="K128" s="104"/>
      <c r="L128" s="75">
        <v>1</v>
      </c>
      <c r="M128" s="75">
        <v>1</v>
      </c>
      <c r="N128" s="75">
        <v>1</v>
      </c>
      <c r="O128" s="96"/>
      <c r="P128" s="163"/>
      <c r="Q128" s="109"/>
      <c r="R128" s="108"/>
      <c r="S128" s="100">
        <v>1</v>
      </c>
      <c r="T128" s="110"/>
      <c r="U128" s="110">
        <v>1</v>
      </c>
      <c r="V128" s="100">
        <v>1</v>
      </c>
      <c r="W128" s="100">
        <v>1</v>
      </c>
      <c r="X128" s="100">
        <v>1</v>
      </c>
      <c r="Y128" s="110">
        <v>1</v>
      </c>
      <c r="Z128" s="110">
        <v>1</v>
      </c>
      <c r="AA128" s="100">
        <v>1</v>
      </c>
      <c r="AB128" s="108"/>
      <c r="AC128" s="109"/>
      <c r="AD128" s="109"/>
      <c r="AE128" s="109"/>
      <c r="AF128" s="109"/>
      <c r="AG128" s="108"/>
      <c r="AH128" s="108"/>
      <c r="AI128" s="100"/>
      <c r="AJ128" s="100"/>
      <c r="AK128" s="110"/>
      <c r="AL128" s="11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</row>
    <row r="129" spans="1:48" ht="16.3">
      <c r="A129" s="611" t="s">
        <v>2</v>
      </c>
      <c r="B129" s="221">
        <f>SUM(J129+K129+L129+M129+N129+S129+V129+W129+X129+AA129+AI129+AJ129+AI129+AM129+AP129+AQ129+AS129+AT129+AU129+AV129)+14</f>
        <v>14</v>
      </c>
      <c r="C129" s="215">
        <f t="shared" ref="C129:C131" si="20">B129</f>
        <v>14</v>
      </c>
      <c r="D129" s="133"/>
      <c r="E129" s="134"/>
      <c r="F129" s="135"/>
      <c r="G129" s="136"/>
      <c r="H129" s="96"/>
      <c r="I129" s="96"/>
      <c r="J129" s="128"/>
      <c r="K129" s="104"/>
      <c r="L129" s="75"/>
      <c r="M129" s="75"/>
      <c r="N129" s="75"/>
      <c r="O129" s="96"/>
      <c r="P129" s="163"/>
      <c r="Q129" s="109"/>
      <c r="R129" s="108"/>
      <c r="S129" s="100"/>
      <c r="T129" s="110"/>
      <c r="U129" s="110"/>
      <c r="V129" s="100"/>
      <c r="W129" s="100"/>
      <c r="X129" s="100"/>
      <c r="Y129" s="110"/>
      <c r="Z129" s="110"/>
      <c r="AA129" s="100"/>
      <c r="AB129" s="108"/>
      <c r="AC129" s="109"/>
      <c r="AD129" s="109"/>
      <c r="AE129" s="109"/>
      <c r="AF129" s="109"/>
      <c r="AG129" s="108"/>
      <c r="AH129" s="108"/>
      <c r="AI129" s="100"/>
      <c r="AJ129" s="100"/>
      <c r="AK129" s="110"/>
      <c r="AL129" s="11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</row>
    <row r="130" spans="1:48" ht="16.3">
      <c r="A130" s="629" t="s">
        <v>363</v>
      </c>
      <c r="B130" s="219">
        <f>SUM(B128+B129)</f>
        <v>139</v>
      </c>
      <c r="C130" s="214">
        <f t="shared" si="20"/>
        <v>139</v>
      </c>
      <c r="D130" s="133"/>
      <c r="E130" s="134"/>
      <c r="F130" s="135"/>
      <c r="G130" s="136"/>
      <c r="H130" s="96"/>
      <c r="I130" s="96"/>
      <c r="J130" s="128"/>
      <c r="K130" s="104"/>
      <c r="L130" s="75"/>
      <c r="M130" s="75"/>
      <c r="N130" s="75"/>
      <c r="O130" s="96"/>
      <c r="P130" s="163"/>
      <c r="Q130" s="109"/>
      <c r="R130" s="108"/>
      <c r="S130" s="100"/>
      <c r="T130" s="110"/>
      <c r="U130" s="110"/>
      <c r="V130" s="100"/>
      <c r="W130" s="100"/>
      <c r="X130" s="100"/>
      <c r="Y130" s="110"/>
      <c r="Z130" s="110"/>
      <c r="AA130" s="100"/>
      <c r="AB130" s="108"/>
      <c r="AC130" s="109"/>
      <c r="AD130" s="109"/>
      <c r="AE130" s="109"/>
      <c r="AF130" s="109"/>
      <c r="AG130" s="108"/>
      <c r="AH130" s="108"/>
      <c r="AI130" s="100"/>
      <c r="AJ130" s="100"/>
      <c r="AK130" s="110"/>
      <c r="AL130" s="11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</row>
    <row r="131" spans="1:48" ht="16.3">
      <c r="A131" s="611" t="s">
        <v>362</v>
      </c>
      <c r="B131" s="221">
        <f>SUM(J131+K131+L131+M131+N131+S131+V131+W131+X131+AA131+AI131+AJ131+AI131+AM131+AP131+AQ131+AS131+AT131+AU131+AV131)+4</f>
        <v>4</v>
      </c>
      <c r="C131" s="215">
        <f t="shared" si="20"/>
        <v>4</v>
      </c>
      <c r="D131" s="133"/>
      <c r="E131" s="134"/>
      <c r="F131" s="135"/>
      <c r="G131" s="136"/>
      <c r="H131" s="96"/>
      <c r="I131" s="96"/>
      <c r="J131" s="128"/>
      <c r="K131" s="104"/>
      <c r="L131" s="75"/>
      <c r="M131" s="75"/>
      <c r="N131" s="75"/>
      <c r="O131" s="96"/>
      <c r="P131" s="163"/>
      <c r="Q131" s="109"/>
      <c r="R131" s="108"/>
      <c r="S131" s="100"/>
      <c r="T131" s="110"/>
      <c r="U131" s="110"/>
      <c r="V131" s="100"/>
      <c r="W131" s="100"/>
      <c r="X131" s="100"/>
      <c r="Y131" s="110"/>
      <c r="Z131" s="110">
        <v>1</v>
      </c>
      <c r="AA131" s="100"/>
      <c r="AB131" s="108"/>
      <c r="AC131" s="109"/>
      <c r="AD131" s="109"/>
      <c r="AE131" s="109"/>
      <c r="AF131" s="109"/>
      <c r="AG131" s="108"/>
      <c r="AH131" s="108"/>
      <c r="AI131" s="100"/>
      <c r="AJ131" s="100"/>
      <c r="AK131" s="110"/>
      <c r="AL131" s="11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</row>
    <row r="132" spans="1:48" ht="16.3">
      <c r="A132" s="611" t="s">
        <v>5</v>
      </c>
      <c r="B132" s="221">
        <f>SUM(J132+K132+L132+M132+N132+S132+V132+W132+X132+AA132+AI132+AJ132+AI132+AM132+AP132+AQ132+AS132+AT132+AU132+AV132)+449</f>
        <v>470</v>
      </c>
      <c r="C132" s="215">
        <f t="shared" ref="C132:C133" si="21">B132</f>
        <v>470</v>
      </c>
      <c r="D132" s="133"/>
      <c r="E132" s="134"/>
      <c r="F132" s="135"/>
      <c r="G132" s="136"/>
      <c r="H132" s="96"/>
      <c r="I132" s="96"/>
      <c r="J132" s="128"/>
      <c r="K132" s="104"/>
      <c r="L132" s="75">
        <v>4</v>
      </c>
      <c r="M132" s="75"/>
      <c r="N132" s="75">
        <v>6</v>
      </c>
      <c r="O132" s="96"/>
      <c r="P132" s="163"/>
      <c r="Q132" s="109"/>
      <c r="R132" s="108"/>
      <c r="S132" s="100">
        <v>2</v>
      </c>
      <c r="T132" s="110"/>
      <c r="U132" s="110">
        <v>9</v>
      </c>
      <c r="V132" s="100">
        <v>2</v>
      </c>
      <c r="W132" s="100">
        <v>3</v>
      </c>
      <c r="X132" s="100">
        <v>3</v>
      </c>
      <c r="Y132" s="110">
        <v>8</v>
      </c>
      <c r="Z132" s="110">
        <v>5</v>
      </c>
      <c r="AA132" s="100">
        <v>1</v>
      </c>
      <c r="AB132" s="108"/>
      <c r="AC132" s="109"/>
      <c r="AD132" s="109"/>
      <c r="AE132" s="109"/>
      <c r="AF132" s="109"/>
      <c r="AG132" s="108"/>
      <c r="AH132" s="108"/>
      <c r="AI132" s="100"/>
      <c r="AJ132" s="100"/>
      <c r="AK132" s="110"/>
      <c r="AL132" s="11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</row>
    <row r="133" spans="1:48" ht="16.3">
      <c r="A133" s="611" t="s">
        <v>6</v>
      </c>
      <c r="B133" s="221">
        <f>SUM(J133+K133+L133+M133+N133+S133+V133+W133+X133+AA133+AI133+AJ133+AI133+AM133+AP133+AQ133+AS133+AT133+AU133+AV133)+569</f>
        <v>593</v>
      </c>
      <c r="C133" s="215">
        <f t="shared" si="21"/>
        <v>593</v>
      </c>
      <c r="D133" s="133"/>
      <c r="E133" s="134"/>
      <c r="F133" s="135"/>
      <c r="G133" s="136"/>
      <c r="H133" s="96"/>
      <c r="I133" s="96"/>
      <c r="J133" s="128"/>
      <c r="K133" s="104"/>
      <c r="L133" s="75">
        <v>4</v>
      </c>
      <c r="M133" s="75"/>
      <c r="N133" s="75">
        <v>8</v>
      </c>
      <c r="O133" s="96"/>
      <c r="P133" s="163"/>
      <c r="Q133" s="109"/>
      <c r="R133" s="108"/>
      <c r="S133" s="100">
        <v>3</v>
      </c>
      <c r="T133" s="110"/>
      <c r="U133" s="110">
        <v>10</v>
      </c>
      <c r="V133" s="100">
        <v>2</v>
      </c>
      <c r="W133" s="100">
        <v>3</v>
      </c>
      <c r="X133" s="100">
        <v>3</v>
      </c>
      <c r="Y133" s="110">
        <v>9</v>
      </c>
      <c r="Z133" s="110">
        <v>5</v>
      </c>
      <c r="AA133" s="100">
        <v>1</v>
      </c>
      <c r="AB133" s="108"/>
      <c r="AC133" s="109"/>
      <c r="AD133" s="109"/>
      <c r="AE133" s="109"/>
      <c r="AF133" s="109"/>
      <c r="AG133" s="108"/>
      <c r="AH133" s="108"/>
      <c r="AI133" s="100"/>
      <c r="AJ133" s="100"/>
      <c r="AK133" s="110"/>
      <c r="AL133" s="11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</row>
    <row r="134" spans="1:48" ht="16.3">
      <c r="A134" s="611" t="s">
        <v>368</v>
      </c>
      <c r="B134" s="222">
        <f>SUM(B132/B133)*100</f>
        <v>79.258010118043842</v>
      </c>
      <c r="C134" s="216">
        <f>SUM(C132/C133)*100</f>
        <v>79.258010118043842</v>
      </c>
      <c r="D134" s="133"/>
      <c r="E134" s="134"/>
      <c r="F134" s="135"/>
      <c r="G134" s="136"/>
      <c r="H134" s="96"/>
      <c r="I134" s="96"/>
      <c r="J134" s="128"/>
      <c r="K134" s="104"/>
      <c r="L134" s="75">
        <v>100</v>
      </c>
      <c r="M134" s="75"/>
      <c r="N134" s="75">
        <v>75</v>
      </c>
      <c r="O134" s="96"/>
      <c r="P134" s="163"/>
      <c r="Q134" s="109"/>
      <c r="R134" s="108"/>
      <c r="S134" s="100">
        <v>67</v>
      </c>
      <c r="T134" s="110"/>
      <c r="U134" s="110">
        <v>90</v>
      </c>
      <c r="V134" s="100">
        <v>100</v>
      </c>
      <c r="W134" s="100">
        <v>100</v>
      </c>
      <c r="X134" s="100">
        <v>100</v>
      </c>
      <c r="Y134" s="110">
        <v>89</v>
      </c>
      <c r="Z134" s="110">
        <v>100</v>
      </c>
      <c r="AA134" s="100">
        <v>100</v>
      </c>
      <c r="AB134" s="108"/>
      <c r="AC134" s="109"/>
      <c r="AD134" s="109"/>
      <c r="AE134" s="109"/>
      <c r="AF134" s="109"/>
      <c r="AG134" s="108"/>
      <c r="AH134" s="108"/>
      <c r="AI134" s="100"/>
      <c r="AJ134" s="100"/>
      <c r="AK134" s="110"/>
      <c r="AL134" s="11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</row>
    <row r="135" spans="1:48" ht="16.3">
      <c r="A135" s="611" t="s">
        <v>386</v>
      </c>
      <c r="B135" s="222">
        <f>SUM(J135+K135+L135+M135+N135+S135+V135+W135+X135+AA135+AI135+AJ135+AI135+AM135+AP135+AQ135+AS135+AT135+AU135+AV135)+3</f>
        <v>3</v>
      </c>
      <c r="C135" s="216">
        <f t="shared" ref="C135:C137" si="22">B135</f>
        <v>3</v>
      </c>
      <c r="D135" s="133"/>
      <c r="E135" s="134"/>
      <c r="F135" s="135"/>
      <c r="G135" s="136"/>
      <c r="H135" s="96"/>
      <c r="I135" s="96"/>
      <c r="J135" s="128"/>
      <c r="K135" s="104"/>
      <c r="L135" s="75"/>
      <c r="M135" s="75"/>
      <c r="N135" s="75"/>
      <c r="O135" s="96"/>
      <c r="P135" s="163"/>
      <c r="Q135" s="109"/>
      <c r="R135" s="108"/>
      <c r="S135" s="100"/>
      <c r="T135" s="110"/>
      <c r="U135" s="110"/>
      <c r="V135" s="100"/>
      <c r="W135" s="100"/>
      <c r="X135" s="100"/>
      <c r="Y135" s="110"/>
      <c r="Z135" s="110"/>
      <c r="AA135" s="100"/>
      <c r="AB135" s="108"/>
      <c r="AC135" s="109"/>
      <c r="AD135" s="109"/>
      <c r="AE135" s="109"/>
      <c r="AF135" s="109"/>
      <c r="AG135" s="108"/>
      <c r="AH135" s="108"/>
      <c r="AI135" s="100"/>
      <c r="AJ135" s="100"/>
      <c r="AK135" s="110"/>
      <c r="AL135" s="11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</row>
    <row r="136" spans="1:48" ht="16.3">
      <c r="A136" s="91" t="s">
        <v>3</v>
      </c>
      <c r="B136" s="219">
        <f>SUM(J136+K136+L136+M136+N136+S136+V136+W136+X136+AA136+AI136+AJ136+AI136+AM136+AP136+AQ136+AS136+AT136+AU136+AV136)+31</f>
        <v>34</v>
      </c>
      <c r="C136" s="214">
        <f t="shared" si="22"/>
        <v>34</v>
      </c>
      <c r="D136" s="133"/>
      <c r="E136" s="134"/>
      <c r="F136" s="135"/>
      <c r="G136" s="136"/>
      <c r="H136" s="96"/>
      <c r="I136" s="96"/>
      <c r="J136" s="128"/>
      <c r="K136" s="104"/>
      <c r="L136" s="75">
        <v>1</v>
      </c>
      <c r="M136" s="75"/>
      <c r="N136" s="75"/>
      <c r="O136" s="96"/>
      <c r="P136" s="163"/>
      <c r="Q136" s="109"/>
      <c r="R136" s="108"/>
      <c r="S136" s="100"/>
      <c r="T136" s="110"/>
      <c r="U136" s="110"/>
      <c r="V136" s="100">
        <v>1</v>
      </c>
      <c r="W136" s="100">
        <v>1</v>
      </c>
      <c r="X136" s="100"/>
      <c r="Y136" s="110"/>
      <c r="Z136" s="110"/>
      <c r="AA136" s="100"/>
      <c r="AB136" s="108"/>
      <c r="AC136" s="109"/>
      <c r="AD136" s="109"/>
      <c r="AE136" s="109"/>
      <c r="AF136" s="109"/>
      <c r="AG136" s="108"/>
      <c r="AH136" s="108"/>
      <c r="AI136" s="100"/>
      <c r="AJ136" s="100"/>
      <c r="AK136" s="110"/>
      <c r="AL136" s="11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</row>
    <row r="137" spans="1:48" ht="17" thickBot="1">
      <c r="A137" s="92" t="s">
        <v>4</v>
      </c>
      <c r="B137" s="220">
        <f>SUM(J137+K137+L137+M137+N137+S137+V137+W137+X137+AA137+AI137+AJ137+AI137+AM137+AP137+AQ137+AS137+AT137+AU137+AV137)+1214</f>
        <v>1275</v>
      </c>
      <c r="C137" s="217">
        <f t="shared" si="22"/>
        <v>1275</v>
      </c>
      <c r="D137" s="144"/>
      <c r="E137" s="145"/>
      <c r="F137" s="146"/>
      <c r="G137" s="147"/>
      <c r="H137" s="114"/>
      <c r="I137" s="114"/>
      <c r="J137" s="129"/>
      <c r="K137" s="113"/>
      <c r="L137" s="112">
        <v>15</v>
      </c>
      <c r="M137" s="112"/>
      <c r="N137" s="112">
        <v>12</v>
      </c>
      <c r="O137" s="114"/>
      <c r="P137" s="164"/>
      <c r="Q137" s="118"/>
      <c r="R137" s="117"/>
      <c r="S137" s="116">
        <v>5</v>
      </c>
      <c r="T137" s="120"/>
      <c r="U137" s="120">
        <v>18</v>
      </c>
      <c r="V137" s="116">
        <v>9</v>
      </c>
      <c r="W137" s="116">
        <v>12</v>
      </c>
      <c r="X137" s="116">
        <v>6</v>
      </c>
      <c r="Y137" s="120">
        <v>16</v>
      </c>
      <c r="Z137" s="120">
        <v>12</v>
      </c>
      <c r="AA137" s="116">
        <v>2</v>
      </c>
      <c r="AB137" s="117"/>
      <c r="AC137" s="118"/>
      <c r="AD137" s="118"/>
      <c r="AE137" s="118"/>
      <c r="AF137" s="118"/>
      <c r="AG137" s="117"/>
      <c r="AH137" s="117"/>
      <c r="AI137" s="116"/>
      <c r="AJ137" s="116"/>
      <c r="AK137" s="120"/>
      <c r="AL137" s="120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</row>
    <row r="138" spans="1:48" ht="21.1">
      <c r="A138" s="89" t="s">
        <v>261</v>
      </c>
      <c r="B138" s="219"/>
      <c r="C138" s="214"/>
      <c r="D138" s="133"/>
      <c r="E138" s="134"/>
      <c r="F138" s="135"/>
      <c r="G138" s="136"/>
      <c r="H138" s="96"/>
      <c r="I138" s="96" t="s">
        <v>384</v>
      </c>
      <c r="J138" s="128">
        <v>10</v>
      </c>
      <c r="K138" s="104">
        <v>10</v>
      </c>
      <c r="L138" s="75"/>
      <c r="M138" s="75"/>
      <c r="N138" s="75">
        <v>12</v>
      </c>
      <c r="O138" s="96"/>
      <c r="P138" s="163"/>
      <c r="Q138" s="99" t="s">
        <v>803</v>
      </c>
      <c r="R138" s="98"/>
      <c r="S138" s="100">
        <v>12</v>
      </c>
      <c r="T138" s="110" t="s">
        <v>854</v>
      </c>
      <c r="U138" s="110"/>
      <c r="V138" s="102"/>
      <c r="W138" s="102" t="s">
        <v>375</v>
      </c>
      <c r="X138" s="102">
        <v>12</v>
      </c>
      <c r="Y138" s="101" t="s">
        <v>375</v>
      </c>
      <c r="Z138" s="101" t="s">
        <v>375</v>
      </c>
      <c r="AA138" s="102" t="s">
        <v>375</v>
      </c>
      <c r="AB138" s="98"/>
      <c r="AC138" s="99" t="s">
        <v>803</v>
      </c>
      <c r="AD138" s="99" t="s">
        <v>803</v>
      </c>
      <c r="AE138" s="99" t="s">
        <v>803</v>
      </c>
      <c r="AF138" s="99"/>
      <c r="AG138" s="98"/>
      <c r="AH138" s="98"/>
      <c r="AI138" s="102"/>
      <c r="AJ138" s="102"/>
      <c r="AK138" s="101"/>
      <c r="AL138" s="101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</row>
    <row r="139" spans="1:48" ht="16.3">
      <c r="A139" s="611" t="s">
        <v>1</v>
      </c>
      <c r="B139" s="221">
        <f>SUM(J139+K139+L139+M139+N139+S139+V139+W139+X139+AA139+AI139+AJ139+AI139+AM139+AP139+AQ139+AS139+AT139+AU139+AV139+AN139)+10</f>
        <v>15</v>
      </c>
      <c r="C139" s="215">
        <f>B139</f>
        <v>15</v>
      </c>
      <c r="D139" s="133"/>
      <c r="E139" s="134"/>
      <c r="F139" s="135"/>
      <c r="G139" s="136"/>
      <c r="H139" s="96"/>
      <c r="I139" s="96">
        <v>1</v>
      </c>
      <c r="J139" s="128">
        <v>1</v>
      </c>
      <c r="K139" s="104">
        <v>1</v>
      </c>
      <c r="L139" s="75"/>
      <c r="M139" s="75"/>
      <c r="N139" s="75">
        <v>1</v>
      </c>
      <c r="O139" s="96"/>
      <c r="P139" s="105"/>
      <c r="Q139" s="96"/>
      <c r="R139" s="105"/>
      <c r="S139" s="75">
        <v>1</v>
      </c>
      <c r="T139" s="106">
        <v>1</v>
      </c>
      <c r="U139" s="106"/>
      <c r="V139" s="75"/>
      <c r="W139" s="75"/>
      <c r="X139" s="75">
        <v>1</v>
      </c>
      <c r="Y139" s="106"/>
      <c r="Z139" s="106"/>
      <c r="AA139" s="75"/>
      <c r="AB139" s="105"/>
      <c r="AC139" s="96"/>
      <c r="AD139" s="96"/>
      <c r="AE139" s="96"/>
      <c r="AF139" s="96"/>
      <c r="AG139" s="105"/>
      <c r="AH139" s="105"/>
      <c r="AI139" s="75"/>
      <c r="AJ139" s="75"/>
      <c r="AK139" s="106"/>
      <c r="AL139" s="106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</row>
    <row r="140" spans="1:48" ht="16.3">
      <c r="A140" s="611" t="s">
        <v>2</v>
      </c>
      <c r="B140" s="221">
        <f>SUM(J140+K140+L140+M140+N140+S140+V140+W140+X140+AA140+AI140+AJ140+AI140+AM140+AP140+AQ140+AS140+AT140+AU140+AV140)+14</f>
        <v>16</v>
      </c>
      <c r="C140" s="215">
        <f t="shared" ref="C140:C144" si="23">B140</f>
        <v>16</v>
      </c>
      <c r="D140" s="133"/>
      <c r="E140" s="134"/>
      <c r="F140" s="135"/>
      <c r="G140" s="136"/>
      <c r="H140" s="96"/>
      <c r="I140" s="96"/>
      <c r="J140" s="128"/>
      <c r="K140" s="104"/>
      <c r="L140" s="75"/>
      <c r="M140" s="75"/>
      <c r="N140" s="75"/>
      <c r="O140" s="96"/>
      <c r="P140" s="163"/>
      <c r="Q140" s="109"/>
      <c r="R140" s="108"/>
      <c r="S140" s="100"/>
      <c r="T140" s="110"/>
      <c r="U140" s="110"/>
      <c r="V140" s="100"/>
      <c r="W140" s="100">
        <v>1</v>
      </c>
      <c r="X140" s="100"/>
      <c r="Y140" s="110">
        <v>1</v>
      </c>
      <c r="Z140" s="110">
        <v>1</v>
      </c>
      <c r="AA140" s="100">
        <v>1</v>
      </c>
      <c r="AB140" s="108"/>
      <c r="AC140" s="109"/>
      <c r="AD140" s="109"/>
      <c r="AE140" s="109"/>
      <c r="AF140" s="109"/>
      <c r="AG140" s="108"/>
      <c r="AH140" s="108"/>
      <c r="AI140" s="100"/>
      <c r="AJ140" s="100"/>
      <c r="AK140" s="110"/>
      <c r="AL140" s="110"/>
      <c r="AM140" s="100"/>
      <c r="AN140" s="100"/>
      <c r="AO140" s="100"/>
      <c r="AP140" s="100"/>
      <c r="AQ140" s="100"/>
      <c r="AR140" s="100"/>
      <c r="AS140" s="100"/>
      <c r="AT140" s="100"/>
      <c r="AU140" s="100"/>
      <c r="AV140" s="100"/>
    </row>
    <row r="141" spans="1:48" ht="16.3">
      <c r="A141" s="91" t="s">
        <v>363</v>
      </c>
      <c r="B141" s="219">
        <f>SUM(B139+B140)</f>
        <v>31</v>
      </c>
      <c r="C141" s="214">
        <f t="shared" si="23"/>
        <v>31</v>
      </c>
      <c r="D141" s="133"/>
      <c r="E141" s="134"/>
      <c r="F141" s="135"/>
      <c r="G141" s="136"/>
      <c r="H141" s="96"/>
      <c r="I141" s="96"/>
      <c r="J141" s="128"/>
      <c r="K141" s="104"/>
      <c r="L141" s="75"/>
      <c r="M141" s="75"/>
      <c r="N141" s="75"/>
      <c r="O141" s="96"/>
      <c r="P141" s="163"/>
      <c r="Q141" s="109"/>
      <c r="R141" s="108"/>
      <c r="S141" s="100"/>
      <c r="T141" s="110"/>
      <c r="U141" s="110"/>
      <c r="V141" s="100"/>
      <c r="W141" s="100"/>
      <c r="X141" s="100"/>
      <c r="Y141" s="110"/>
      <c r="Z141" s="110"/>
      <c r="AA141" s="100"/>
      <c r="AB141" s="108"/>
      <c r="AC141" s="109"/>
      <c r="AD141" s="109"/>
      <c r="AE141" s="109"/>
      <c r="AF141" s="109"/>
      <c r="AG141" s="108"/>
      <c r="AH141" s="108"/>
      <c r="AI141" s="100"/>
      <c r="AJ141" s="100"/>
      <c r="AK141" s="110"/>
      <c r="AL141" s="110"/>
      <c r="AM141" s="100"/>
      <c r="AN141" s="100"/>
      <c r="AO141" s="100"/>
      <c r="AP141" s="100"/>
      <c r="AQ141" s="100"/>
      <c r="AR141" s="100"/>
      <c r="AS141" s="100"/>
      <c r="AT141" s="100"/>
      <c r="AU141" s="100"/>
      <c r="AV141" s="100"/>
    </row>
    <row r="142" spans="1:48" ht="16.3">
      <c r="A142" s="611" t="s">
        <v>362</v>
      </c>
      <c r="B142" s="221">
        <f>SUM(J142+K142+L142+M142+N142+S142+V142+W142+X142+AA142+AI142+AJ142+AI142+AM142+AP142+AQ142+AS142+AT142+AU142+AV142)+1</f>
        <v>1</v>
      </c>
      <c r="C142" s="215">
        <f t="shared" si="23"/>
        <v>1</v>
      </c>
      <c r="D142" s="133"/>
      <c r="E142" s="134"/>
      <c r="F142" s="135"/>
      <c r="G142" s="136"/>
      <c r="H142" s="96"/>
      <c r="I142" s="96"/>
      <c r="J142" s="128"/>
      <c r="K142" s="104"/>
      <c r="L142" s="75"/>
      <c r="M142" s="75"/>
      <c r="N142" s="75"/>
      <c r="O142" s="96"/>
      <c r="P142" s="163"/>
      <c r="Q142" s="109"/>
      <c r="R142" s="108"/>
      <c r="S142" s="100"/>
      <c r="T142" s="110">
        <v>1</v>
      </c>
      <c r="U142" s="110"/>
      <c r="V142" s="100"/>
      <c r="W142" s="100"/>
      <c r="X142" s="100"/>
      <c r="Y142" s="110"/>
      <c r="Z142" s="110"/>
      <c r="AA142" s="100"/>
      <c r="AB142" s="108"/>
      <c r="AC142" s="109"/>
      <c r="AD142" s="109"/>
      <c r="AE142" s="109"/>
      <c r="AF142" s="109"/>
      <c r="AG142" s="108"/>
      <c r="AH142" s="108"/>
      <c r="AI142" s="100"/>
      <c r="AJ142" s="100"/>
      <c r="AK142" s="110"/>
      <c r="AL142" s="11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</row>
    <row r="143" spans="1:48" ht="16.3">
      <c r="A143" s="611" t="s">
        <v>5</v>
      </c>
      <c r="B143" s="221">
        <f>SUM(J143+K143+L143+M143+N143+S143+V143+W143+X143+AA143+AI143+AJ143+AI143+AM143+AP143+AQ143+AS143+AT143+AU143+AV143)+28</f>
        <v>35</v>
      </c>
      <c r="C143" s="215">
        <f t="shared" si="23"/>
        <v>35</v>
      </c>
      <c r="D143" s="133"/>
      <c r="E143" s="134"/>
      <c r="F143" s="135"/>
      <c r="G143" s="136"/>
      <c r="H143" s="96"/>
      <c r="I143" s="96">
        <v>1</v>
      </c>
      <c r="J143" s="128">
        <v>3</v>
      </c>
      <c r="K143" s="104">
        <v>4</v>
      </c>
      <c r="L143" s="75"/>
      <c r="M143" s="75"/>
      <c r="N143" s="75"/>
      <c r="O143" s="96"/>
      <c r="P143" s="163"/>
      <c r="Q143" s="109"/>
      <c r="R143" s="108"/>
      <c r="S143" s="100"/>
      <c r="T143" s="110">
        <v>2</v>
      </c>
      <c r="U143" s="110"/>
      <c r="V143" s="100"/>
      <c r="W143" s="100"/>
      <c r="X143" s="100"/>
      <c r="Y143" s="110"/>
      <c r="Z143" s="110"/>
      <c r="AA143" s="100"/>
      <c r="AB143" s="108"/>
      <c r="AC143" s="109"/>
      <c r="AD143" s="109"/>
      <c r="AE143" s="109"/>
      <c r="AF143" s="109"/>
      <c r="AG143" s="108"/>
      <c r="AH143" s="108"/>
      <c r="AI143" s="100"/>
      <c r="AJ143" s="100"/>
      <c r="AK143" s="110"/>
      <c r="AL143" s="110"/>
      <c r="AM143" s="100"/>
      <c r="AN143" s="100"/>
      <c r="AO143" s="100"/>
      <c r="AP143" s="100"/>
      <c r="AQ143" s="100"/>
      <c r="AR143" s="100"/>
      <c r="AS143" s="100"/>
      <c r="AT143" s="100"/>
      <c r="AU143" s="100"/>
      <c r="AV143" s="100"/>
    </row>
    <row r="144" spans="1:48" ht="16.3">
      <c r="A144" s="611" t="s">
        <v>6</v>
      </c>
      <c r="B144" s="221">
        <f>SUM(J144+K144+L144+M144+N144+S144+V144+W144+X144+AA144+AI144+AJ144+AI144+AM144+AP144+AQ144+AS144+AT144+AU144+AV144)+38</f>
        <v>47</v>
      </c>
      <c r="C144" s="215">
        <f t="shared" si="23"/>
        <v>47</v>
      </c>
      <c r="D144" s="133"/>
      <c r="E144" s="134"/>
      <c r="F144" s="135"/>
      <c r="G144" s="136"/>
      <c r="H144" s="96"/>
      <c r="I144" s="96">
        <v>3</v>
      </c>
      <c r="J144" s="128">
        <v>5</v>
      </c>
      <c r="K144" s="104">
        <v>4</v>
      </c>
      <c r="L144" s="75"/>
      <c r="M144" s="75"/>
      <c r="N144" s="75"/>
      <c r="O144" s="96"/>
      <c r="P144" s="163"/>
      <c r="Q144" s="109"/>
      <c r="R144" s="108"/>
      <c r="S144" s="100"/>
      <c r="T144" s="110">
        <v>2</v>
      </c>
      <c r="U144" s="110"/>
      <c r="V144" s="100"/>
      <c r="W144" s="100"/>
      <c r="X144" s="100"/>
      <c r="Y144" s="110"/>
      <c r="Z144" s="110"/>
      <c r="AA144" s="100"/>
      <c r="AB144" s="108"/>
      <c r="AC144" s="109"/>
      <c r="AD144" s="109"/>
      <c r="AE144" s="109"/>
      <c r="AF144" s="109"/>
      <c r="AG144" s="108"/>
      <c r="AH144" s="108"/>
      <c r="AI144" s="100"/>
      <c r="AJ144" s="100"/>
      <c r="AK144" s="110"/>
      <c r="AL144" s="110"/>
      <c r="AM144" s="100"/>
      <c r="AN144" s="100"/>
      <c r="AO144" s="100"/>
      <c r="AP144" s="100"/>
      <c r="AQ144" s="100"/>
      <c r="AR144" s="100"/>
      <c r="AS144" s="100"/>
      <c r="AT144" s="100"/>
      <c r="AU144" s="100"/>
      <c r="AV144" s="100"/>
    </row>
    <row r="145" spans="1:48" ht="16.3">
      <c r="A145" s="611" t="s">
        <v>368</v>
      </c>
      <c r="B145" s="222">
        <f>SUM(B143/B144)*100</f>
        <v>74.468085106382972</v>
      </c>
      <c r="C145" s="216">
        <f>SUM(C143/C144)*100</f>
        <v>74.468085106382972</v>
      </c>
      <c r="D145" s="133"/>
      <c r="E145" s="134"/>
      <c r="F145" s="135"/>
      <c r="G145" s="136"/>
      <c r="H145" s="96"/>
      <c r="I145" s="96">
        <v>33</v>
      </c>
      <c r="J145" s="128">
        <v>60</v>
      </c>
      <c r="K145" s="104">
        <v>100</v>
      </c>
      <c r="L145" s="75"/>
      <c r="M145" s="75"/>
      <c r="N145" s="75"/>
      <c r="O145" s="96"/>
      <c r="P145" s="163"/>
      <c r="Q145" s="109"/>
      <c r="R145" s="108"/>
      <c r="S145" s="100"/>
      <c r="T145" s="110">
        <v>100</v>
      </c>
      <c r="U145" s="110"/>
      <c r="V145" s="100"/>
      <c r="W145" s="100"/>
      <c r="X145" s="100"/>
      <c r="Y145" s="110"/>
      <c r="Z145" s="110"/>
      <c r="AA145" s="100"/>
      <c r="AB145" s="108"/>
      <c r="AC145" s="109"/>
      <c r="AD145" s="109"/>
      <c r="AE145" s="109"/>
      <c r="AF145" s="109"/>
      <c r="AG145" s="108"/>
      <c r="AH145" s="108"/>
      <c r="AI145" s="100"/>
      <c r="AJ145" s="100"/>
      <c r="AK145" s="110"/>
      <c r="AL145" s="11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</row>
    <row r="146" spans="1:48" ht="16.3">
      <c r="A146" s="91" t="s">
        <v>3</v>
      </c>
      <c r="B146" s="219">
        <f>SUM(J146+K146+L146+M146+N146+S146+V146+W146+X146+AA146+AI146+AJ146+AI146+AM146+AP146+AQ146+AS146+AT146+AU146+AV146)</f>
        <v>0</v>
      </c>
      <c r="C146" s="214">
        <f t="shared" ref="C146" si="24">B146</f>
        <v>0</v>
      </c>
      <c r="D146" s="133"/>
      <c r="E146" s="134"/>
      <c r="F146" s="135"/>
      <c r="G146" s="136"/>
      <c r="H146" s="96"/>
      <c r="I146" s="96"/>
      <c r="J146" s="128"/>
      <c r="K146" s="104"/>
      <c r="L146" s="75"/>
      <c r="M146" s="75"/>
      <c r="N146" s="75"/>
      <c r="O146" s="96"/>
      <c r="P146" s="163"/>
      <c r="Q146" s="109"/>
      <c r="R146" s="108"/>
      <c r="S146" s="100"/>
      <c r="T146" s="110"/>
      <c r="U146" s="110"/>
      <c r="V146" s="100"/>
      <c r="W146" s="100"/>
      <c r="X146" s="100"/>
      <c r="Y146" s="110">
        <v>1</v>
      </c>
      <c r="Z146" s="110"/>
      <c r="AA146" s="100"/>
      <c r="AB146" s="108"/>
      <c r="AC146" s="109"/>
      <c r="AD146" s="109"/>
      <c r="AE146" s="109"/>
      <c r="AF146" s="109"/>
      <c r="AG146" s="108"/>
      <c r="AH146" s="108"/>
      <c r="AI146" s="100"/>
      <c r="AJ146" s="100"/>
      <c r="AK146" s="110"/>
      <c r="AL146" s="110"/>
      <c r="AM146" s="100"/>
      <c r="AN146" s="100"/>
      <c r="AO146" s="100"/>
      <c r="AP146" s="100"/>
      <c r="AQ146" s="100"/>
      <c r="AR146" s="100"/>
      <c r="AS146" s="100"/>
      <c r="AT146" s="100"/>
      <c r="AU146" s="100"/>
      <c r="AV146" s="100"/>
    </row>
    <row r="147" spans="1:48" ht="17" thickBot="1">
      <c r="A147" s="92" t="s">
        <v>4</v>
      </c>
      <c r="B147" s="220">
        <f>SUM(J147+K147+L147+M147+N147+S147+V147+W147+X147+AA147+AI147+AJ147+AI147+AM147+AP147+AQ147+AS147+AT147+AU147+AV147)+64</f>
        <v>81</v>
      </c>
      <c r="C147" s="217">
        <f t="shared" ref="C147" si="25">B147</f>
        <v>81</v>
      </c>
      <c r="D147" s="144"/>
      <c r="E147" s="145"/>
      <c r="F147" s="146"/>
      <c r="G147" s="147"/>
      <c r="H147" s="114"/>
      <c r="I147" s="114">
        <v>2</v>
      </c>
      <c r="J147" s="129">
        <v>6</v>
      </c>
      <c r="K147" s="113">
        <v>11</v>
      </c>
      <c r="L147" s="112"/>
      <c r="M147" s="112"/>
      <c r="N147" s="112"/>
      <c r="O147" s="114"/>
      <c r="P147" s="117"/>
      <c r="Q147" s="118"/>
      <c r="R147" s="127"/>
      <c r="S147" s="116"/>
      <c r="T147" s="120">
        <v>4</v>
      </c>
      <c r="U147" s="119"/>
      <c r="V147" s="116"/>
      <c r="W147" s="116"/>
      <c r="X147" s="116"/>
      <c r="Y147" s="120">
        <v>5</v>
      </c>
      <c r="Z147" s="120"/>
      <c r="AA147" s="116"/>
      <c r="AB147" s="117"/>
      <c r="AC147" s="118"/>
      <c r="AD147" s="118"/>
      <c r="AE147" s="118"/>
      <c r="AF147" s="118"/>
      <c r="AG147" s="117"/>
      <c r="AH147" s="117"/>
      <c r="AI147" s="116"/>
      <c r="AJ147" s="116"/>
      <c r="AK147" s="120"/>
      <c r="AL147" s="120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</row>
    <row r="148" spans="1:48" ht="21.1">
      <c r="A148" s="89" t="s">
        <v>128</v>
      </c>
      <c r="B148" s="219"/>
      <c r="C148" s="214"/>
      <c r="D148" s="133"/>
      <c r="E148" s="134"/>
      <c r="F148" s="135"/>
      <c r="G148" s="136"/>
      <c r="H148" s="96" t="s">
        <v>384</v>
      </c>
      <c r="I148" s="96"/>
      <c r="J148" s="128"/>
      <c r="K148" s="104">
        <v>12</v>
      </c>
      <c r="L148" s="75">
        <v>12</v>
      </c>
      <c r="M148" s="75">
        <v>12</v>
      </c>
      <c r="N148" s="75" t="s">
        <v>375</v>
      </c>
      <c r="O148" s="96">
        <v>10</v>
      </c>
      <c r="P148" s="163"/>
      <c r="Q148" s="109"/>
      <c r="R148" s="108"/>
      <c r="S148" s="100"/>
      <c r="T148" s="110" t="s">
        <v>375</v>
      </c>
      <c r="U148" s="110" t="s">
        <v>375</v>
      </c>
      <c r="V148" s="100"/>
      <c r="W148" s="100"/>
      <c r="X148" s="100"/>
      <c r="Y148" s="110"/>
      <c r="Z148" s="110"/>
      <c r="AA148" s="100"/>
      <c r="AB148" s="108"/>
      <c r="AC148" s="109" t="s">
        <v>384</v>
      </c>
      <c r="AD148" s="109" t="s">
        <v>384</v>
      </c>
      <c r="AE148" s="109" t="s">
        <v>384</v>
      </c>
      <c r="AF148" s="109" t="s">
        <v>375</v>
      </c>
      <c r="AG148" s="108"/>
      <c r="AH148" s="108"/>
      <c r="AI148" s="100"/>
      <c r="AJ148" s="100"/>
      <c r="AK148" s="110"/>
      <c r="AL148" s="110"/>
      <c r="AM148" s="100"/>
      <c r="AN148" s="100"/>
      <c r="AO148" s="100"/>
      <c r="AP148" s="100"/>
      <c r="AQ148" s="100"/>
      <c r="AR148" s="100"/>
      <c r="AS148" s="100"/>
      <c r="AT148" s="100"/>
      <c r="AU148" s="100"/>
      <c r="AV148" s="100"/>
    </row>
    <row r="149" spans="1:48" ht="16.3">
      <c r="A149" s="611" t="s">
        <v>1</v>
      </c>
      <c r="B149" s="221">
        <f>SUM(J149+K149+L149+M149+N149+S149+V149+W149+X149+AA149+AI149+AJ149+AI149+AM149+AP149+AQ149+AS149+AT149+AU149+AV149+AN149)+1</f>
        <v>4</v>
      </c>
      <c r="C149" s="215">
        <f>B149</f>
        <v>4</v>
      </c>
      <c r="D149" s="133"/>
      <c r="E149" s="134"/>
      <c r="F149" s="135"/>
      <c r="G149" s="136"/>
      <c r="H149" s="96">
        <v>1</v>
      </c>
      <c r="I149" s="96"/>
      <c r="J149" s="128"/>
      <c r="K149" s="104">
        <v>1</v>
      </c>
      <c r="L149" s="75">
        <v>1</v>
      </c>
      <c r="M149" s="75">
        <v>1</v>
      </c>
      <c r="N149" s="75"/>
      <c r="O149" s="96">
        <v>1</v>
      </c>
      <c r="P149" s="163"/>
      <c r="Q149" s="109"/>
      <c r="R149" s="108"/>
      <c r="S149" s="100"/>
      <c r="T149" s="110"/>
      <c r="U149" s="110"/>
      <c r="V149" s="100"/>
      <c r="W149" s="100"/>
      <c r="X149" s="100"/>
      <c r="Y149" s="110"/>
      <c r="Z149" s="110"/>
      <c r="AA149" s="100"/>
      <c r="AB149" s="108"/>
      <c r="AC149" s="109">
        <v>1</v>
      </c>
      <c r="AD149" s="109">
        <v>1</v>
      </c>
      <c r="AE149" s="109">
        <v>1</v>
      </c>
      <c r="AF149" s="109"/>
      <c r="AG149" s="108"/>
      <c r="AH149" s="108"/>
      <c r="AI149" s="100"/>
      <c r="AJ149" s="100"/>
      <c r="AK149" s="110"/>
      <c r="AL149" s="110"/>
      <c r="AM149" s="100"/>
      <c r="AN149" s="100"/>
      <c r="AO149" s="100"/>
      <c r="AP149" s="100"/>
      <c r="AQ149" s="100"/>
      <c r="AR149" s="100"/>
      <c r="AS149" s="100"/>
      <c r="AT149" s="100"/>
      <c r="AU149" s="100"/>
      <c r="AV149" s="100"/>
    </row>
    <row r="150" spans="1:48" ht="16.3">
      <c r="A150" s="611" t="s">
        <v>2</v>
      </c>
      <c r="B150" s="221">
        <f>SUM(J150+K150+L150+M150+N150+S150+V150+W150+X150+AA150+AI150+AJ150+AI150+AM150+AP150+AQ150+AS150+AT150+AU150+AV150)+7</f>
        <v>8</v>
      </c>
      <c r="C150" s="215">
        <f t="shared" ref="C150:C153" si="26">B150</f>
        <v>8</v>
      </c>
      <c r="D150" s="133"/>
      <c r="E150" s="134"/>
      <c r="F150" s="135"/>
      <c r="G150" s="136"/>
      <c r="H150" s="96"/>
      <c r="I150" s="96"/>
      <c r="J150" s="128"/>
      <c r="K150" s="104"/>
      <c r="L150" s="75"/>
      <c r="M150" s="75"/>
      <c r="N150" s="75">
        <v>1</v>
      </c>
      <c r="O150" s="96"/>
      <c r="P150" s="163"/>
      <c r="Q150" s="109"/>
      <c r="R150" s="108"/>
      <c r="S150" s="100"/>
      <c r="T150" s="110">
        <v>1</v>
      </c>
      <c r="U150" s="110">
        <v>1</v>
      </c>
      <c r="V150" s="100"/>
      <c r="W150" s="100"/>
      <c r="X150" s="100"/>
      <c r="Y150" s="110"/>
      <c r="Z150" s="110"/>
      <c r="AA150" s="100"/>
      <c r="AB150" s="108"/>
      <c r="AC150" s="109"/>
      <c r="AD150" s="109"/>
      <c r="AE150" s="109"/>
      <c r="AF150" s="109">
        <v>1</v>
      </c>
      <c r="AG150" s="108"/>
      <c r="AH150" s="108"/>
      <c r="AI150" s="100"/>
      <c r="AJ150" s="100"/>
      <c r="AK150" s="110"/>
      <c r="AL150" s="110"/>
      <c r="AM150" s="100"/>
      <c r="AN150" s="100"/>
      <c r="AO150" s="100"/>
      <c r="AP150" s="100"/>
      <c r="AQ150" s="100"/>
      <c r="AR150" s="100"/>
      <c r="AS150" s="100"/>
      <c r="AT150" s="100"/>
      <c r="AU150" s="100"/>
      <c r="AV150" s="100"/>
    </row>
    <row r="151" spans="1:48" ht="16.3">
      <c r="A151" s="91" t="s">
        <v>363</v>
      </c>
      <c r="B151" s="219">
        <f>SUM(B149+B150)</f>
        <v>12</v>
      </c>
      <c r="C151" s="214">
        <f t="shared" si="26"/>
        <v>12</v>
      </c>
      <c r="D151" s="133"/>
      <c r="E151" s="134"/>
      <c r="F151" s="135"/>
      <c r="G151" s="136"/>
      <c r="H151" s="96"/>
      <c r="I151" s="96"/>
      <c r="J151" s="128"/>
      <c r="K151" s="104"/>
      <c r="L151" s="75"/>
      <c r="M151" s="75"/>
      <c r="N151" s="75"/>
      <c r="O151" s="96"/>
      <c r="P151" s="163"/>
      <c r="Q151" s="109"/>
      <c r="R151" s="108"/>
      <c r="S151" s="100"/>
      <c r="T151" s="110"/>
      <c r="U151" s="110"/>
      <c r="V151" s="100"/>
      <c r="W151" s="100"/>
      <c r="X151" s="100"/>
      <c r="Y151" s="110"/>
      <c r="Z151" s="110"/>
      <c r="AA151" s="100"/>
      <c r="AB151" s="108"/>
      <c r="AC151" s="109"/>
      <c r="AD151" s="109"/>
      <c r="AE151" s="109"/>
      <c r="AF151" s="109"/>
      <c r="AG151" s="108"/>
      <c r="AH151" s="108"/>
      <c r="AI151" s="100"/>
      <c r="AJ151" s="100"/>
      <c r="AK151" s="110"/>
      <c r="AL151" s="110"/>
      <c r="AM151" s="100"/>
      <c r="AN151" s="100"/>
      <c r="AO151" s="100"/>
      <c r="AP151" s="100"/>
      <c r="AQ151" s="100"/>
      <c r="AR151" s="100"/>
      <c r="AS151" s="100"/>
      <c r="AT151" s="100"/>
      <c r="AU151" s="100"/>
      <c r="AV151" s="100"/>
    </row>
    <row r="152" spans="1:48" ht="16.3">
      <c r="A152" s="611" t="s">
        <v>5</v>
      </c>
      <c r="B152" s="221">
        <f>SUM(J152+K152+L152+M152+N152+S152+V152+W152+X152+AA152+AI152+AJ152+AI152+AM152+AP152+AQ152+AS152+AT152+AU152+AV152)+9</f>
        <v>10</v>
      </c>
      <c r="C152" s="215">
        <f t="shared" si="26"/>
        <v>10</v>
      </c>
      <c r="D152" s="133"/>
      <c r="E152" s="134"/>
      <c r="F152" s="135"/>
      <c r="G152" s="136"/>
      <c r="H152" s="96">
        <v>1</v>
      </c>
      <c r="I152" s="96"/>
      <c r="J152" s="128"/>
      <c r="K152" s="104">
        <v>1</v>
      </c>
      <c r="L152" s="75"/>
      <c r="M152" s="75"/>
      <c r="N152" s="75"/>
      <c r="O152" s="96">
        <v>0</v>
      </c>
      <c r="P152" s="163"/>
      <c r="Q152" s="109"/>
      <c r="R152" s="108"/>
      <c r="S152" s="100"/>
      <c r="T152" s="110">
        <v>1</v>
      </c>
      <c r="U152" s="110"/>
      <c r="V152" s="100"/>
      <c r="W152" s="100"/>
      <c r="X152" s="100"/>
      <c r="Y152" s="110"/>
      <c r="Z152" s="110"/>
      <c r="AA152" s="100"/>
      <c r="AB152" s="108"/>
      <c r="AC152" s="109">
        <v>4</v>
      </c>
      <c r="AD152" s="109">
        <v>2</v>
      </c>
      <c r="AE152" s="109">
        <v>1</v>
      </c>
      <c r="AF152" s="109"/>
      <c r="AG152" s="108"/>
      <c r="AH152" s="108"/>
      <c r="AI152" s="100"/>
      <c r="AJ152" s="100"/>
      <c r="AK152" s="110"/>
      <c r="AL152" s="110"/>
      <c r="AM152" s="100"/>
      <c r="AN152" s="100"/>
      <c r="AO152" s="100"/>
      <c r="AP152" s="100"/>
      <c r="AQ152" s="100"/>
      <c r="AR152" s="100"/>
      <c r="AS152" s="100"/>
      <c r="AT152" s="100"/>
      <c r="AU152" s="100"/>
      <c r="AV152" s="100"/>
    </row>
    <row r="153" spans="1:48" ht="16.3">
      <c r="A153" s="611" t="s">
        <v>6</v>
      </c>
      <c r="B153" s="221">
        <f>SUM(J153+K153+L153+M153+N153+S153+V153+W153+X153+AA153+AI153+AJ153+AI153+AM153+AP153+AQ153+AS153+AT153+AU153+AV153)+10</f>
        <v>11</v>
      </c>
      <c r="C153" s="215">
        <f t="shared" si="26"/>
        <v>11</v>
      </c>
      <c r="D153" s="133"/>
      <c r="E153" s="134"/>
      <c r="F153" s="135"/>
      <c r="G153" s="136"/>
      <c r="H153" s="96">
        <v>1</v>
      </c>
      <c r="I153" s="96"/>
      <c r="J153" s="128"/>
      <c r="K153" s="104">
        <v>1</v>
      </c>
      <c r="L153" s="75"/>
      <c r="M153" s="75"/>
      <c r="N153" s="75"/>
      <c r="O153" s="96">
        <v>2</v>
      </c>
      <c r="P153" s="163"/>
      <c r="Q153" s="109"/>
      <c r="R153" s="108"/>
      <c r="S153" s="100"/>
      <c r="T153" s="110">
        <v>1</v>
      </c>
      <c r="U153" s="110"/>
      <c r="V153" s="100"/>
      <c r="W153" s="100"/>
      <c r="X153" s="100"/>
      <c r="Y153" s="110"/>
      <c r="Z153" s="110"/>
      <c r="AA153" s="100"/>
      <c r="AB153" s="108"/>
      <c r="AC153" s="109">
        <v>6</v>
      </c>
      <c r="AD153" s="109">
        <v>4</v>
      </c>
      <c r="AE153" s="109">
        <v>3</v>
      </c>
      <c r="AF153" s="109"/>
      <c r="AG153" s="108"/>
      <c r="AH153" s="108"/>
      <c r="AI153" s="100"/>
      <c r="AJ153" s="100"/>
      <c r="AK153" s="110"/>
      <c r="AL153" s="11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</row>
    <row r="154" spans="1:48" ht="16.3">
      <c r="A154" s="611" t="s">
        <v>368</v>
      </c>
      <c r="B154" s="222">
        <f>SUM(B152/B153)*100</f>
        <v>90.909090909090907</v>
      </c>
      <c r="C154" s="216">
        <f>SUM(C152/C153)*100</f>
        <v>90.909090909090907</v>
      </c>
      <c r="D154" s="133"/>
      <c r="E154" s="134"/>
      <c r="F154" s="135"/>
      <c r="G154" s="136"/>
      <c r="H154" s="96">
        <v>100</v>
      </c>
      <c r="I154" s="96"/>
      <c r="J154" s="128"/>
      <c r="K154" s="104">
        <v>100</v>
      </c>
      <c r="L154" s="75"/>
      <c r="M154" s="75"/>
      <c r="N154" s="75"/>
      <c r="O154" s="96">
        <v>0</v>
      </c>
      <c r="P154" s="163"/>
      <c r="Q154" s="109"/>
      <c r="R154" s="108"/>
      <c r="S154" s="100"/>
      <c r="T154" s="110">
        <v>100</v>
      </c>
      <c r="U154" s="110"/>
      <c r="V154" s="100"/>
      <c r="W154" s="100"/>
      <c r="X154" s="100"/>
      <c r="Y154" s="110"/>
      <c r="Z154" s="110"/>
      <c r="AA154" s="100"/>
      <c r="AB154" s="108"/>
      <c r="AC154" s="109">
        <v>67</v>
      </c>
      <c r="AD154" s="109">
        <v>50</v>
      </c>
      <c r="AE154" s="109">
        <v>33</v>
      </c>
      <c r="AF154" s="109"/>
      <c r="AG154" s="108"/>
      <c r="AH154" s="108"/>
      <c r="AI154" s="100"/>
      <c r="AJ154" s="100"/>
      <c r="AK154" s="110"/>
      <c r="AL154" s="110"/>
      <c r="AM154" s="100"/>
      <c r="AN154" s="100"/>
      <c r="AO154" s="100"/>
      <c r="AP154" s="100"/>
      <c r="AQ154" s="100"/>
      <c r="AR154" s="100"/>
      <c r="AS154" s="100"/>
      <c r="AT154" s="100"/>
      <c r="AU154" s="100"/>
      <c r="AV154" s="100"/>
    </row>
    <row r="155" spans="1:48" ht="16.3">
      <c r="A155" s="91" t="s">
        <v>3</v>
      </c>
      <c r="B155" s="219">
        <f>SUM(J155+K155+L155+M155+N155+S155+V155+W155+X155+AA155+AI155+AJ155+AI155+AM155+AP155+AQ155+AS155+AT155+AU155+AV155)</f>
        <v>0</v>
      </c>
      <c r="C155" s="214">
        <f t="shared" ref="C155:C156" si="27">B155</f>
        <v>0</v>
      </c>
      <c r="D155" s="133"/>
      <c r="E155" s="134"/>
      <c r="F155" s="135"/>
      <c r="G155" s="136"/>
      <c r="H155" s="96"/>
      <c r="I155" s="96"/>
      <c r="J155" s="128"/>
      <c r="K155" s="104"/>
      <c r="L155" s="75"/>
      <c r="M155" s="75"/>
      <c r="N155" s="75"/>
      <c r="O155" s="96"/>
      <c r="P155" s="163"/>
      <c r="Q155" s="109"/>
      <c r="R155" s="108"/>
      <c r="S155" s="100"/>
      <c r="T155" s="110"/>
      <c r="U155" s="110">
        <v>1</v>
      </c>
      <c r="V155" s="100"/>
      <c r="W155" s="100"/>
      <c r="X155" s="100"/>
      <c r="Y155" s="110"/>
      <c r="Z155" s="110"/>
      <c r="AA155" s="100"/>
      <c r="AB155" s="108"/>
      <c r="AC155" s="109"/>
      <c r="AD155" s="109"/>
      <c r="AE155" s="109"/>
      <c r="AF155" s="109">
        <v>1</v>
      </c>
      <c r="AG155" s="108"/>
      <c r="AH155" s="108"/>
      <c r="AI155" s="100"/>
      <c r="AJ155" s="100"/>
      <c r="AK155" s="110"/>
      <c r="AL155" s="110"/>
      <c r="AM155" s="100"/>
      <c r="AN155" s="100"/>
      <c r="AO155" s="100"/>
      <c r="AP155" s="100"/>
      <c r="AQ155" s="100"/>
      <c r="AR155" s="100"/>
      <c r="AS155" s="100"/>
      <c r="AT155" s="100"/>
      <c r="AU155" s="100"/>
      <c r="AV155" s="100"/>
    </row>
    <row r="156" spans="1:48" ht="17" thickBot="1">
      <c r="A156" s="92" t="s">
        <v>4</v>
      </c>
      <c r="B156" s="220">
        <f>SUM(J156+K156+L156+M156+N156+S156+V156+W156+X156+AA156+AI156+AJ156+AI156+AM156+AP156+AQ156+AS156+AT156+AU156+AV156)+21</f>
        <v>24</v>
      </c>
      <c r="C156" s="217">
        <f t="shared" si="27"/>
        <v>24</v>
      </c>
      <c r="D156" s="144"/>
      <c r="E156" s="145"/>
      <c r="F156" s="146"/>
      <c r="G156" s="147"/>
      <c r="H156" s="114">
        <v>2</v>
      </c>
      <c r="I156" s="114"/>
      <c r="J156" s="129"/>
      <c r="K156" s="113">
        <v>3</v>
      </c>
      <c r="L156" s="112"/>
      <c r="M156" s="112"/>
      <c r="N156" s="112"/>
      <c r="O156" s="114">
        <v>0</v>
      </c>
      <c r="P156" s="164"/>
      <c r="Q156" s="118"/>
      <c r="R156" s="117"/>
      <c r="S156" s="116"/>
      <c r="T156" s="120">
        <v>2</v>
      </c>
      <c r="U156" s="120">
        <v>5</v>
      </c>
      <c r="V156" s="116"/>
      <c r="W156" s="116"/>
      <c r="X156" s="116"/>
      <c r="Y156" s="120"/>
      <c r="Z156" s="120"/>
      <c r="AA156" s="116"/>
      <c r="AB156" s="117"/>
      <c r="AC156" s="118">
        <v>8</v>
      </c>
      <c r="AD156" s="118">
        <v>4</v>
      </c>
      <c r="AE156" s="118">
        <v>2</v>
      </c>
      <c r="AF156" s="118">
        <v>5</v>
      </c>
      <c r="AG156" s="117"/>
      <c r="AH156" s="117"/>
      <c r="AI156" s="116"/>
      <c r="AJ156" s="116"/>
      <c r="AK156" s="120"/>
      <c r="AL156" s="120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</row>
    <row r="157" spans="1:48" ht="21.1">
      <c r="A157" s="89" t="s">
        <v>794</v>
      </c>
      <c r="B157" s="219"/>
      <c r="C157" s="214"/>
      <c r="D157" s="133"/>
      <c r="E157" s="134"/>
      <c r="F157" s="135"/>
      <c r="G157" s="136"/>
      <c r="H157" s="96"/>
      <c r="I157" s="96"/>
      <c r="J157" s="128"/>
      <c r="K157" s="104"/>
      <c r="L157" s="75"/>
      <c r="M157" s="75"/>
      <c r="N157" s="75"/>
      <c r="O157" s="96" t="s">
        <v>375</v>
      </c>
      <c r="P157" s="163"/>
      <c r="Q157" s="109" t="s">
        <v>384</v>
      </c>
      <c r="R157" s="108"/>
      <c r="S157" s="100"/>
      <c r="T157" s="110"/>
      <c r="U157" s="110"/>
      <c r="V157" s="100"/>
      <c r="W157" s="100"/>
      <c r="X157" s="100"/>
      <c r="Y157" s="110"/>
      <c r="Z157" s="110"/>
      <c r="AA157" s="100"/>
      <c r="AB157" s="108"/>
      <c r="AC157" s="109" t="s">
        <v>375</v>
      </c>
      <c r="AD157" s="109" t="s">
        <v>375</v>
      </c>
      <c r="AE157" s="109"/>
      <c r="AF157" s="109">
        <v>10</v>
      </c>
      <c r="AG157" s="108"/>
      <c r="AH157" s="108"/>
      <c r="AI157" s="100"/>
      <c r="AJ157" s="100"/>
      <c r="AK157" s="110"/>
      <c r="AL157" s="110"/>
      <c r="AM157" s="100"/>
      <c r="AN157" s="100"/>
      <c r="AO157" s="100"/>
      <c r="AP157" s="100"/>
      <c r="AQ157" s="100"/>
      <c r="AR157" s="100"/>
      <c r="AS157" s="100"/>
      <c r="AT157" s="100"/>
      <c r="AU157" s="100"/>
      <c r="AV157" s="100"/>
    </row>
    <row r="158" spans="1:48" ht="16.3">
      <c r="A158" s="611" t="s">
        <v>1</v>
      </c>
      <c r="B158" s="221">
        <f>SUM(J158+K158+L158+M158+N158+S158+V158+W158+X158+AA158+AI158+AJ158+AI158+AM158+AP158+AQ158+AS158+AT158+AU158+AV158+AN158)</f>
        <v>0</v>
      </c>
      <c r="C158" s="215">
        <f>B158</f>
        <v>0</v>
      </c>
      <c r="D158" s="133"/>
      <c r="E158" s="134"/>
      <c r="F158" s="135"/>
      <c r="G158" s="136"/>
      <c r="H158" s="96"/>
      <c r="I158" s="96"/>
      <c r="J158" s="128"/>
      <c r="K158" s="104"/>
      <c r="L158" s="75"/>
      <c r="M158" s="75"/>
      <c r="N158" s="75"/>
      <c r="O158" s="96"/>
      <c r="P158" s="163"/>
      <c r="Q158" s="109">
        <v>1</v>
      </c>
      <c r="R158" s="108"/>
      <c r="S158" s="100"/>
      <c r="T158" s="110"/>
      <c r="U158" s="110"/>
      <c r="V158" s="100"/>
      <c r="W158" s="100"/>
      <c r="X158" s="100"/>
      <c r="Y158" s="110"/>
      <c r="Z158" s="110"/>
      <c r="AA158" s="100"/>
      <c r="AB158" s="108"/>
      <c r="AC158" s="109"/>
      <c r="AD158" s="109"/>
      <c r="AE158" s="109"/>
      <c r="AF158" s="109">
        <v>1</v>
      </c>
      <c r="AG158" s="108"/>
      <c r="AH158" s="108"/>
      <c r="AI158" s="100"/>
      <c r="AJ158" s="100"/>
      <c r="AK158" s="110"/>
      <c r="AL158" s="110"/>
      <c r="AM158" s="100"/>
      <c r="AN158" s="100"/>
      <c r="AO158" s="100"/>
      <c r="AP158" s="100"/>
      <c r="AQ158" s="100"/>
      <c r="AR158" s="100"/>
      <c r="AS158" s="100"/>
      <c r="AT158" s="100"/>
      <c r="AU158" s="100"/>
      <c r="AV158" s="100"/>
    </row>
    <row r="159" spans="1:48" ht="16.3">
      <c r="A159" s="611" t="s">
        <v>2</v>
      </c>
      <c r="B159" s="221">
        <f>SUM(J159+K159+L159+M159+N159+S159+V159+W159+X159+AA159+AI159+AJ159+AI159+AM159+AP159+AQ159+AS159+AT159+AU159+AV159)</f>
        <v>0</v>
      </c>
      <c r="C159" s="215">
        <f t="shared" ref="C159:C160" si="28">B159</f>
        <v>0</v>
      </c>
      <c r="D159" s="133"/>
      <c r="E159" s="134"/>
      <c r="F159" s="135"/>
      <c r="G159" s="136"/>
      <c r="H159" s="96"/>
      <c r="I159" s="96"/>
      <c r="J159" s="128"/>
      <c r="K159" s="104"/>
      <c r="L159" s="75"/>
      <c r="M159" s="75"/>
      <c r="N159" s="75"/>
      <c r="O159" s="96">
        <v>1</v>
      </c>
      <c r="P159" s="163"/>
      <c r="Q159" s="109"/>
      <c r="R159" s="108"/>
      <c r="S159" s="100"/>
      <c r="T159" s="110"/>
      <c r="U159" s="110"/>
      <c r="V159" s="100"/>
      <c r="W159" s="100"/>
      <c r="X159" s="100"/>
      <c r="Y159" s="110"/>
      <c r="Z159" s="110"/>
      <c r="AA159" s="100"/>
      <c r="AB159" s="108"/>
      <c r="AC159" s="109">
        <v>1</v>
      </c>
      <c r="AD159" s="109">
        <v>1</v>
      </c>
      <c r="AE159" s="109"/>
      <c r="AF159" s="109"/>
      <c r="AG159" s="108"/>
      <c r="AH159" s="108"/>
      <c r="AI159" s="100"/>
      <c r="AJ159" s="100"/>
      <c r="AK159" s="110"/>
      <c r="AL159" s="110"/>
      <c r="AM159" s="100"/>
      <c r="AN159" s="100"/>
      <c r="AO159" s="100"/>
      <c r="AP159" s="100"/>
      <c r="AQ159" s="100"/>
      <c r="AR159" s="100"/>
      <c r="AS159" s="100"/>
      <c r="AT159" s="100"/>
      <c r="AU159" s="100"/>
      <c r="AV159" s="100"/>
    </row>
    <row r="160" spans="1:48" ht="16.3">
      <c r="A160" s="91" t="s">
        <v>363</v>
      </c>
      <c r="B160" s="219">
        <f>SUM(B158+B159)</f>
        <v>0</v>
      </c>
      <c r="C160" s="214">
        <f t="shared" si="28"/>
        <v>0</v>
      </c>
      <c r="D160" s="133"/>
      <c r="E160" s="134"/>
      <c r="F160" s="135"/>
      <c r="G160" s="136"/>
      <c r="H160" s="96"/>
      <c r="I160" s="96"/>
      <c r="J160" s="128"/>
      <c r="K160" s="104"/>
      <c r="L160" s="75"/>
      <c r="M160" s="75"/>
      <c r="N160" s="75"/>
      <c r="O160" s="96"/>
      <c r="P160" s="163"/>
      <c r="Q160" s="109"/>
      <c r="R160" s="108"/>
      <c r="S160" s="100"/>
      <c r="T160" s="110"/>
      <c r="U160" s="110"/>
      <c r="V160" s="100"/>
      <c r="W160" s="100"/>
      <c r="X160" s="100"/>
      <c r="Y160" s="110"/>
      <c r="Z160" s="110"/>
      <c r="AA160" s="100"/>
      <c r="AB160" s="108"/>
      <c r="AC160" s="109"/>
      <c r="AD160" s="109"/>
      <c r="AE160" s="109"/>
      <c r="AF160" s="109"/>
      <c r="AG160" s="108"/>
      <c r="AH160" s="108"/>
      <c r="AI160" s="100"/>
      <c r="AJ160" s="100"/>
      <c r="AK160" s="110"/>
      <c r="AL160" s="110"/>
      <c r="AM160" s="100"/>
      <c r="AN160" s="100"/>
      <c r="AO160" s="100"/>
      <c r="AP160" s="100"/>
      <c r="AQ160" s="100"/>
      <c r="AR160" s="100"/>
      <c r="AS160" s="100"/>
      <c r="AT160" s="100"/>
      <c r="AU160" s="100"/>
      <c r="AV160" s="100"/>
    </row>
    <row r="161" spans="1:48" ht="16.3">
      <c r="A161" s="611" t="s">
        <v>5</v>
      </c>
      <c r="B161" s="221">
        <f>SUM(J161+K161+L161+M161+N161+S161+V161+W161+X161+AA161+AI161+AJ161+AI161+AM161+AP161+AQ161+AS161+AT161+AU161+AV161+AN161)</f>
        <v>0</v>
      </c>
      <c r="C161" s="215">
        <f>B161</f>
        <v>0</v>
      </c>
      <c r="D161" s="133"/>
      <c r="E161" s="134"/>
      <c r="F161" s="135"/>
      <c r="G161" s="136"/>
      <c r="H161" s="96"/>
      <c r="I161" s="96"/>
      <c r="J161" s="128"/>
      <c r="K161" s="104"/>
      <c r="L161" s="75"/>
      <c r="M161" s="75"/>
      <c r="N161" s="75"/>
      <c r="O161" s="96">
        <v>1</v>
      </c>
      <c r="P161" s="163"/>
      <c r="Q161" s="109">
        <v>3</v>
      </c>
      <c r="R161" s="108"/>
      <c r="S161" s="100"/>
      <c r="T161" s="110"/>
      <c r="U161" s="110"/>
      <c r="V161" s="100"/>
      <c r="W161" s="100"/>
      <c r="X161" s="100"/>
      <c r="Y161" s="110"/>
      <c r="Z161" s="110"/>
      <c r="AA161" s="100"/>
      <c r="AB161" s="108"/>
      <c r="AC161" s="109">
        <v>0</v>
      </c>
      <c r="AD161" s="109"/>
      <c r="AE161" s="109"/>
      <c r="AF161" s="109">
        <v>5</v>
      </c>
      <c r="AG161" s="108"/>
      <c r="AH161" s="108"/>
      <c r="AI161" s="100"/>
      <c r="AJ161" s="100"/>
      <c r="AK161" s="110"/>
      <c r="AL161" s="110"/>
      <c r="AM161" s="100"/>
      <c r="AN161" s="100"/>
      <c r="AO161" s="100"/>
      <c r="AP161" s="100"/>
      <c r="AQ161" s="100"/>
      <c r="AR161" s="100"/>
      <c r="AS161" s="100"/>
      <c r="AT161" s="100"/>
      <c r="AU161" s="100"/>
      <c r="AV161" s="100"/>
    </row>
    <row r="162" spans="1:48" ht="16.3">
      <c r="A162" s="611" t="s">
        <v>6</v>
      </c>
      <c r="B162" s="221">
        <f>SUM(J162+K162+L162+M162+N162+S162+V162+W162+X162+AA162+AI162+AJ162+AI162+AM162+AP162+AQ162+AS162+AT162+AU162+AV162)</f>
        <v>0</v>
      </c>
      <c r="C162" s="215">
        <f t="shared" ref="C162" si="29">B162</f>
        <v>0</v>
      </c>
      <c r="D162" s="133"/>
      <c r="E162" s="134"/>
      <c r="F162" s="135"/>
      <c r="G162" s="136"/>
      <c r="H162" s="96"/>
      <c r="I162" s="96"/>
      <c r="J162" s="128"/>
      <c r="K162" s="104"/>
      <c r="L162" s="75"/>
      <c r="M162" s="75"/>
      <c r="N162" s="75"/>
      <c r="O162" s="96">
        <v>1</v>
      </c>
      <c r="P162" s="163"/>
      <c r="Q162" s="109">
        <v>3</v>
      </c>
      <c r="R162" s="108"/>
      <c r="S162" s="100"/>
      <c r="T162" s="110"/>
      <c r="U162" s="110"/>
      <c r="V162" s="100"/>
      <c r="W162" s="100"/>
      <c r="X162" s="100"/>
      <c r="Y162" s="110"/>
      <c r="Z162" s="110"/>
      <c r="AA162" s="100"/>
      <c r="AB162" s="108"/>
      <c r="AC162" s="109">
        <v>2</v>
      </c>
      <c r="AD162" s="109"/>
      <c r="AE162" s="109"/>
      <c r="AF162" s="109">
        <v>5</v>
      </c>
      <c r="AG162" s="108"/>
      <c r="AH162" s="108"/>
      <c r="AI162" s="100"/>
      <c r="AJ162" s="100"/>
      <c r="AK162" s="110"/>
      <c r="AL162" s="110"/>
      <c r="AM162" s="100"/>
      <c r="AN162" s="100"/>
      <c r="AO162" s="100"/>
      <c r="AP162" s="100"/>
      <c r="AQ162" s="100"/>
      <c r="AR162" s="100"/>
      <c r="AS162" s="100"/>
      <c r="AT162" s="100"/>
      <c r="AU162" s="100"/>
      <c r="AV162" s="100"/>
    </row>
    <row r="163" spans="1:48" ht="16.3">
      <c r="A163" s="611" t="s">
        <v>368</v>
      </c>
      <c r="B163" s="221">
        <v>0</v>
      </c>
      <c r="C163" s="215">
        <v>0</v>
      </c>
      <c r="D163" s="133"/>
      <c r="E163" s="134"/>
      <c r="F163" s="135"/>
      <c r="G163" s="136"/>
      <c r="H163" s="96"/>
      <c r="I163" s="96"/>
      <c r="J163" s="128"/>
      <c r="K163" s="104"/>
      <c r="L163" s="75"/>
      <c r="M163" s="75"/>
      <c r="N163" s="75"/>
      <c r="O163" s="96">
        <v>100</v>
      </c>
      <c r="P163" s="163"/>
      <c r="Q163" s="109">
        <v>100</v>
      </c>
      <c r="R163" s="108"/>
      <c r="S163" s="100"/>
      <c r="T163" s="110"/>
      <c r="U163" s="110"/>
      <c r="V163" s="100"/>
      <c r="W163" s="100"/>
      <c r="X163" s="100"/>
      <c r="Y163" s="110"/>
      <c r="Z163" s="110"/>
      <c r="AA163" s="100"/>
      <c r="AB163" s="108"/>
      <c r="AC163" s="109">
        <v>0</v>
      </c>
      <c r="AD163" s="109"/>
      <c r="AE163" s="109"/>
      <c r="AF163" s="109">
        <v>100</v>
      </c>
      <c r="AG163" s="108"/>
      <c r="AH163" s="108"/>
      <c r="AI163" s="100"/>
      <c r="AJ163" s="100"/>
      <c r="AK163" s="110"/>
      <c r="AL163" s="110"/>
      <c r="AM163" s="100"/>
      <c r="AN163" s="100"/>
      <c r="AO163" s="100"/>
      <c r="AP163" s="100"/>
      <c r="AQ163" s="100"/>
      <c r="AR163" s="100"/>
      <c r="AS163" s="100"/>
      <c r="AT163" s="100"/>
      <c r="AU163" s="100"/>
      <c r="AV163" s="100"/>
    </row>
    <row r="164" spans="1:48" ht="16.3">
      <c r="A164" s="91" t="s">
        <v>3</v>
      </c>
      <c r="B164" s="219">
        <f t="shared" ref="B164:B165" si="30">SUM(J164+K164+L164+M164+N164+S164+V164+W164+X164+AA164+AI164+AJ164+AI164+AM164+AP164+AQ164+AS164+AT164+AU164+AV164)</f>
        <v>0</v>
      </c>
      <c r="C164" s="214">
        <f t="shared" ref="C164:C165" si="31">B164</f>
        <v>0</v>
      </c>
      <c r="D164" s="133"/>
      <c r="E164" s="134"/>
      <c r="F164" s="135"/>
      <c r="G164" s="136"/>
      <c r="H164" s="96"/>
      <c r="I164" s="96"/>
      <c r="J164" s="128"/>
      <c r="K164" s="104"/>
      <c r="L164" s="75"/>
      <c r="M164" s="75"/>
      <c r="N164" s="75"/>
      <c r="O164" s="96"/>
      <c r="P164" s="163"/>
      <c r="Q164" s="109"/>
      <c r="R164" s="108"/>
      <c r="S164" s="100"/>
      <c r="T164" s="110"/>
      <c r="U164" s="110"/>
      <c r="V164" s="100"/>
      <c r="W164" s="100"/>
      <c r="X164" s="100"/>
      <c r="Y164" s="110"/>
      <c r="Z164" s="110"/>
      <c r="AA164" s="100"/>
      <c r="AB164" s="108"/>
      <c r="AC164" s="109"/>
      <c r="AD164" s="109"/>
      <c r="AE164" s="109"/>
      <c r="AF164" s="109">
        <v>1</v>
      </c>
      <c r="AG164" s="108"/>
      <c r="AH164" s="108"/>
      <c r="AI164" s="100"/>
      <c r="AJ164" s="100"/>
      <c r="AK164" s="110"/>
      <c r="AL164" s="110"/>
      <c r="AM164" s="100"/>
      <c r="AN164" s="100"/>
      <c r="AO164" s="100"/>
      <c r="AP164" s="100"/>
      <c r="AQ164" s="100"/>
      <c r="AR164" s="100"/>
      <c r="AS164" s="100"/>
      <c r="AT164" s="100"/>
      <c r="AU164" s="100"/>
      <c r="AV164" s="100"/>
    </row>
    <row r="165" spans="1:48" ht="17" thickBot="1">
      <c r="A165" s="92" t="s">
        <v>4</v>
      </c>
      <c r="B165" s="219">
        <f t="shared" si="30"/>
        <v>0</v>
      </c>
      <c r="C165" s="214">
        <f t="shared" si="31"/>
        <v>0</v>
      </c>
      <c r="D165" s="133"/>
      <c r="E165" s="134"/>
      <c r="F165" s="135"/>
      <c r="G165" s="136"/>
      <c r="H165" s="114"/>
      <c r="I165" s="114"/>
      <c r="J165" s="129"/>
      <c r="K165" s="113"/>
      <c r="L165" s="112"/>
      <c r="M165" s="112"/>
      <c r="N165" s="112"/>
      <c r="O165" s="114">
        <v>2</v>
      </c>
      <c r="P165" s="164"/>
      <c r="Q165" s="114">
        <v>6</v>
      </c>
      <c r="R165" s="127"/>
      <c r="S165" s="100"/>
      <c r="T165" s="110"/>
      <c r="U165" s="110"/>
      <c r="V165" s="100"/>
      <c r="W165" s="100"/>
      <c r="X165" s="100"/>
      <c r="Y165" s="110"/>
      <c r="Z165" s="110"/>
      <c r="AA165" s="100"/>
      <c r="AB165" s="108"/>
      <c r="AC165" s="109">
        <v>0</v>
      </c>
      <c r="AD165" s="109"/>
      <c r="AE165" s="109"/>
      <c r="AF165" s="150">
        <v>15</v>
      </c>
      <c r="AG165" s="108"/>
      <c r="AH165" s="108"/>
      <c r="AI165" s="100"/>
      <c r="AJ165" s="100"/>
      <c r="AK165" s="110"/>
      <c r="AL165" s="110"/>
      <c r="AM165" s="100"/>
      <c r="AN165" s="100"/>
      <c r="AO165" s="100"/>
      <c r="AP165" s="100"/>
      <c r="AQ165" s="100"/>
      <c r="AR165" s="100"/>
      <c r="AS165" s="100"/>
      <c r="AT165" s="100"/>
      <c r="AU165" s="100"/>
      <c r="AV165" s="100"/>
    </row>
    <row r="166" spans="1:48" ht="21.1">
      <c r="A166" s="89" t="s">
        <v>15</v>
      </c>
      <c r="B166" s="223"/>
      <c r="C166" s="218"/>
      <c r="D166" s="153"/>
      <c r="E166" s="154"/>
      <c r="F166" s="155"/>
      <c r="G166" s="156"/>
      <c r="H166" s="96" t="s">
        <v>339</v>
      </c>
      <c r="I166" s="96" t="s">
        <v>339</v>
      </c>
      <c r="J166" s="128" t="s">
        <v>339</v>
      </c>
      <c r="K166" s="104" t="s">
        <v>339</v>
      </c>
      <c r="L166" s="75" t="s">
        <v>432</v>
      </c>
      <c r="M166" s="75" t="s">
        <v>375</v>
      </c>
      <c r="N166" s="75" t="s">
        <v>339</v>
      </c>
      <c r="O166" s="96" t="s">
        <v>339</v>
      </c>
      <c r="P166" s="163"/>
      <c r="Q166" s="109" t="s">
        <v>339</v>
      </c>
      <c r="R166" s="108"/>
      <c r="S166" s="102" t="s">
        <v>339</v>
      </c>
      <c r="T166" s="101" t="s">
        <v>339</v>
      </c>
      <c r="U166" s="101" t="s">
        <v>339</v>
      </c>
      <c r="V166" s="102" t="s">
        <v>339</v>
      </c>
      <c r="W166" s="102" t="s">
        <v>339</v>
      </c>
      <c r="X166" s="102" t="s">
        <v>339</v>
      </c>
      <c r="Y166" s="101" t="s">
        <v>339</v>
      </c>
      <c r="Z166" s="101" t="s">
        <v>339</v>
      </c>
      <c r="AA166" s="102" t="s">
        <v>339</v>
      </c>
      <c r="AB166" s="98"/>
      <c r="AC166" s="99" t="s">
        <v>339</v>
      </c>
      <c r="AD166" s="99" t="s">
        <v>339</v>
      </c>
      <c r="AE166" s="99" t="s">
        <v>378</v>
      </c>
      <c r="AF166" s="99" t="s">
        <v>378</v>
      </c>
      <c r="AG166" s="98"/>
      <c r="AH166" s="98"/>
      <c r="AI166" s="102"/>
      <c r="AJ166" s="102"/>
      <c r="AK166" s="101"/>
      <c r="AL166" s="101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</row>
    <row r="167" spans="1:48" ht="16.3">
      <c r="A167" s="611" t="s">
        <v>1</v>
      </c>
      <c r="B167" s="221">
        <f>SUM(J167+K167+L167+M167+N167+S167+V167+W167+X167+AA167+AI167+AJ167+AI167+AM167+AP167+AQ167+AS167+AT167+AU167+AV167+AN167)</f>
        <v>0</v>
      </c>
      <c r="C167" s="215">
        <f>SUM(K167+L167+M167+N167+J167+S167+W167+X167+V167+AA167+AJ167+AI167+AJ167+AM167+AN167+AQ167+AP167+AT167+AU167+AV167+AS167+AO167)+34</f>
        <v>34</v>
      </c>
      <c r="D167" s="133"/>
      <c r="E167" s="134"/>
      <c r="F167" s="135"/>
      <c r="G167" s="136"/>
      <c r="H167" s="96"/>
      <c r="I167" s="96"/>
      <c r="J167" s="128"/>
      <c r="K167" s="104"/>
      <c r="L167" s="75"/>
      <c r="M167" s="75"/>
      <c r="N167" s="75"/>
      <c r="O167" s="96"/>
      <c r="P167" s="105"/>
      <c r="Q167" s="96"/>
      <c r="R167" s="105"/>
      <c r="S167" s="75"/>
      <c r="T167" s="106"/>
      <c r="U167" s="106"/>
      <c r="V167" s="75"/>
      <c r="W167" s="75"/>
      <c r="X167" s="75"/>
      <c r="Y167" s="106"/>
      <c r="Z167" s="106"/>
      <c r="AA167" s="75"/>
      <c r="AB167" s="105"/>
      <c r="AC167" s="96"/>
      <c r="AD167" s="96"/>
      <c r="AE167" s="96">
        <v>1</v>
      </c>
      <c r="AF167" s="96">
        <v>1</v>
      </c>
      <c r="AG167" s="105"/>
      <c r="AH167" s="105"/>
      <c r="AI167" s="75"/>
      <c r="AJ167" s="75"/>
      <c r="AK167" s="106"/>
      <c r="AL167" s="106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</row>
    <row r="168" spans="1:48" ht="16.3">
      <c r="A168" s="611" t="s">
        <v>2</v>
      </c>
      <c r="B168" s="221">
        <f>SUM(J168+K168+L168+M168+N168+S168+V168+W168+X168+AA168+AI168+AJ168+AI168+AM168+AP168+AQ168+AS168+AT168+AU168+AV168)</f>
        <v>2</v>
      </c>
      <c r="C168" s="215">
        <f>SUM(K168+L168+M168+N168+J168+S168+W168+X168+V168+AA168+AJ168+AI168+AJ168+AM168+AN168+AQ168+AP168+AT168+AU168+AV168+AS168+AO168)+52</f>
        <v>54</v>
      </c>
      <c r="D168" s="133"/>
      <c r="E168" s="134"/>
      <c r="F168" s="135"/>
      <c r="G168" s="136"/>
      <c r="H168" s="96"/>
      <c r="I168" s="96"/>
      <c r="J168" s="128"/>
      <c r="K168" s="104"/>
      <c r="L168" s="75">
        <v>1</v>
      </c>
      <c r="M168" s="75">
        <v>1</v>
      </c>
      <c r="N168" s="75"/>
      <c r="O168" s="96"/>
      <c r="P168" s="163"/>
      <c r="Q168" s="109"/>
      <c r="R168" s="108"/>
      <c r="S168" s="100"/>
      <c r="T168" s="110"/>
      <c r="U168" s="110"/>
      <c r="V168" s="100"/>
      <c r="W168" s="100"/>
      <c r="X168" s="100"/>
      <c r="Y168" s="110"/>
      <c r="Z168" s="110"/>
      <c r="AA168" s="100"/>
      <c r="AB168" s="108"/>
      <c r="AC168" s="109"/>
      <c r="AD168" s="109"/>
      <c r="AE168" s="109"/>
      <c r="AF168" s="109"/>
      <c r="AG168" s="108"/>
      <c r="AH168" s="108"/>
      <c r="AI168" s="100"/>
      <c r="AJ168" s="100"/>
      <c r="AK168" s="110"/>
      <c r="AL168" s="110"/>
      <c r="AM168" s="100"/>
      <c r="AN168" s="100"/>
      <c r="AO168" s="100"/>
      <c r="AP168" s="100"/>
      <c r="AQ168" s="100"/>
      <c r="AR168" s="100"/>
      <c r="AS168" s="100"/>
      <c r="AT168" s="100"/>
      <c r="AU168" s="100"/>
      <c r="AV168" s="100"/>
    </row>
    <row r="169" spans="1:48" ht="16.3">
      <c r="A169" s="91" t="s">
        <v>363</v>
      </c>
      <c r="B169" s="219">
        <f>SUM(B167+B168)</f>
        <v>2</v>
      </c>
      <c r="C169" s="214">
        <f>SUM(C167+C168)</f>
        <v>88</v>
      </c>
      <c r="D169" s="133"/>
      <c r="E169" s="134"/>
      <c r="F169" s="135"/>
      <c r="G169" s="136"/>
      <c r="H169" s="96"/>
      <c r="I169" s="96"/>
      <c r="J169" s="128"/>
      <c r="K169" s="104"/>
      <c r="L169" s="75"/>
      <c r="M169" s="75"/>
      <c r="N169" s="75"/>
      <c r="O169" s="96"/>
      <c r="P169" s="163"/>
      <c r="Q169" s="109"/>
      <c r="R169" s="108"/>
      <c r="S169" s="100"/>
      <c r="T169" s="110"/>
      <c r="U169" s="110"/>
      <c r="V169" s="100"/>
      <c r="W169" s="100"/>
      <c r="X169" s="100"/>
      <c r="Y169" s="110"/>
      <c r="Z169" s="110"/>
      <c r="AA169" s="100"/>
      <c r="AB169" s="108"/>
      <c r="AC169" s="109"/>
      <c r="AD169" s="109"/>
      <c r="AE169" s="109"/>
      <c r="AF169" s="109"/>
      <c r="AG169" s="108"/>
      <c r="AH169" s="108"/>
      <c r="AI169" s="100"/>
      <c r="AJ169" s="100"/>
      <c r="AK169" s="110"/>
      <c r="AL169" s="11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</row>
    <row r="170" spans="1:48" ht="16.3">
      <c r="A170" s="611" t="s">
        <v>362</v>
      </c>
      <c r="B170" s="221">
        <f>SUM(J170+K170+L170+M170+N170+S170+V170+W170+X170+AA170+AI170+AJ170+AI170+AM170+AP170+AQ170+AS170+AT170+AU170+AV170)</f>
        <v>0</v>
      </c>
      <c r="C170" s="215">
        <f>SUM(K170+L170+M170+N170+J170+S170+W170+X170+V170+AA170+AJ170+AI170+AJ170+AM170+AN170+AQ170+AP170+AT170+AU170+AV170+AS170+AO170)+4</f>
        <v>4</v>
      </c>
      <c r="D170" s="133"/>
      <c r="E170" s="134"/>
      <c r="F170" s="135"/>
      <c r="G170" s="136"/>
      <c r="H170" s="96"/>
      <c r="I170" s="96"/>
      <c r="J170" s="128"/>
      <c r="K170" s="104"/>
      <c r="L170" s="75"/>
      <c r="M170" s="75"/>
      <c r="N170" s="75"/>
      <c r="O170" s="96"/>
      <c r="P170" s="163"/>
      <c r="Q170" s="109"/>
      <c r="R170" s="108"/>
      <c r="S170" s="100"/>
      <c r="T170" s="110"/>
      <c r="U170" s="110"/>
      <c r="V170" s="100"/>
      <c r="W170" s="100"/>
      <c r="X170" s="100"/>
      <c r="Y170" s="110"/>
      <c r="Z170" s="110"/>
      <c r="AA170" s="100"/>
      <c r="AB170" s="108"/>
      <c r="AC170" s="109"/>
      <c r="AD170" s="109"/>
      <c r="AE170" s="109"/>
      <c r="AF170" s="109"/>
      <c r="AG170" s="108"/>
      <c r="AH170" s="108"/>
      <c r="AI170" s="100"/>
      <c r="AJ170" s="100"/>
      <c r="AK170" s="110"/>
      <c r="AL170" s="110"/>
      <c r="AM170" s="100"/>
      <c r="AN170" s="100"/>
      <c r="AO170" s="100"/>
      <c r="AP170" s="100"/>
      <c r="AQ170" s="100"/>
      <c r="AR170" s="100"/>
      <c r="AS170" s="100"/>
      <c r="AT170" s="100"/>
      <c r="AU170" s="100"/>
      <c r="AV170" s="100"/>
    </row>
    <row r="171" spans="1:48" ht="16.3">
      <c r="A171" s="91" t="s">
        <v>3</v>
      </c>
      <c r="B171" s="219">
        <f>SUM(J171+K171+L171+M171+N171+S171+V171+W171+X171+AA171+AI171+AJ171+AI171+AM171+AP171+AQ171+AS171+AT171+AU171+AV171)</f>
        <v>0</v>
      </c>
      <c r="C171" s="214">
        <f>SUM(K171+L171+M171+N171+J171+S171+W171+X171+V171+AA171+AJ171+AI171+AJ171+AM171+AN171+AQ171+AP171+AT171+AU171+AV171+AS171+AO171)+16</f>
        <v>16</v>
      </c>
      <c r="D171" s="133"/>
      <c r="E171" s="134"/>
      <c r="F171" s="135"/>
      <c r="G171" s="136"/>
      <c r="H171" s="96"/>
      <c r="I171" s="96"/>
      <c r="J171" s="128"/>
      <c r="K171" s="104"/>
      <c r="L171" s="75"/>
      <c r="M171" s="75"/>
      <c r="N171" s="75"/>
      <c r="O171" s="96"/>
      <c r="P171" s="163"/>
      <c r="Q171" s="109"/>
      <c r="R171" s="108"/>
      <c r="S171" s="100"/>
      <c r="T171" s="110"/>
      <c r="U171" s="110"/>
      <c r="V171" s="100"/>
      <c r="W171" s="100"/>
      <c r="X171" s="100"/>
      <c r="Y171" s="110"/>
      <c r="Z171" s="110"/>
      <c r="AA171" s="100"/>
      <c r="AB171" s="108"/>
      <c r="AC171" s="109"/>
      <c r="AD171" s="109"/>
      <c r="AE171" s="109">
        <v>1</v>
      </c>
      <c r="AF171" s="109"/>
      <c r="AG171" s="108"/>
      <c r="AH171" s="108"/>
      <c r="AI171" s="100"/>
      <c r="AJ171" s="100"/>
      <c r="AK171" s="110"/>
      <c r="AL171" s="110"/>
      <c r="AM171" s="100"/>
      <c r="AN171" s="100"/>
      <c r="AO171" s="100"/>
      <c r="AP171" s="100"/>
      <c r="AQ171" s="100"/>
      <c r="AR171" s="100"/>
      <c r="AS171" s="100"/>
      <c r="AT171" s="100"/>
      <c r="AU171" s="100"/>
      <c r="AV171" s="100"/>
    </row>
    <row r="172" spans="1:48" ht="17" thickBot="1">
      <c r="A172" s="92" t="s">
        <v>4</v>
      </c>
      <c r="B172" s="220">
        <f>SUM(J172+K172+L172+M172+N172+S172+V172+W172+X172+AA172+AI172+AJ172+AI172+AM172+AP172+AQ172+AS172+AT172+AU172+AV172)</f>
        <v>0</v>
      </c>
      <c r="C172" s="217">
        <f>SUM(K172+L172+M172+N172+J172+S172+W172+X172+V172+AA172+AJ172+AI172+AJ172+AM172+AN172+AQ172+AP172+AT172+AU172+AV172+AS172+AO172)+80</f>
        <v>80</v>
      </c>
      <c r="D172" s="144"/>
      <c r="E172" s="145"/>
      <c r="F172" s="146"/>
      <c r="G172" s="147"/>
      <c r="H172" s="114"/>
      <c r="I172" s="114"/>
      <c r="J172" s="129"/>
      <c r="K172" s="113"/>
      <c r="L172" s="112"/>
      <c r="M172" s="112"/>
      <c r="N172" s="112"/>
      <c r="O172" s="114"/>
      <c r="P172" s="164"/>
      <c r="Q172" s="118"/>
      <c r="R172" s="117"/>
      <c r="S172" s="116"/>
      <c r="T172" s="120"/>
      <c r="U172" s="120"/>
      <c r="V172" s="116"/>
      <c r="W172" s="116"/>
      <c r="X172" s="116"/>
      <c r="Y172" s="120"/>
      <c r="Z172" s="120"/>
      <c r="AA172" s="116"/>
      <c r="AB172" s="117"/>
      <c r="AC172" s="118"/>
      <c r="AD172" s="118"/>
      <c r="AE172" s="118">
        <v>5</v>
      </c>
      <c r="AF172" s="118"/>
      <c r="AG172" s="117"/>
      <c r="AH172" s="117"/>
      <c r="AI172" s="116"/>
      <c r="AJ172" s="116"/>
      <c r="AK172" s="120"/>
      <c r="AL172" s="120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</row>
    <row r="173" spans="1:48" ht="21.1">
      <c r="A173" s="89" t="s">
        <v>73</v>
      </c>
      <c r="B173" s="219"/>
      <c r="C173" s="214"/>
      <c r="D173" s="133"/>
      <c r="E173" s="134"/>
      <c r="F173" s="135"/>
      <c r="G173" s="136"/>
      <c r="H173" s="96"/>
      <c r="I173" s="96"/>
      <c r="J173" s="128" t="s">
        <v>378</v>
      </c>
      <c r="K173" s="104" t="s">
        <v>378</v>
      </c>
      <c r="L173" s="75" t="s">
        <v>378</v>
      </c>
      <c r="M173" s="75" t="s">
        <v>378</v>
      </c>
      <c r="N173" s="75" t="s">
        <v>378</v>
      </c>
      <c r="O173" s="96"/>
      <c r="P173" s="163"/>
      <c r="Q173" s="109"/>
      <c r="R173" s="108"/>
      <c r="S173" s="100" t="s">
        <v>378</v>
      </c>
      <c r="T173" s="110" t="s">
        <v>378</v>
      </c>
      <c r="U173" s="110" t="s">
        <v>378</v>
      </c>
      <c r="V173" s="100" t="s">
        <v>378</v>
      </c>
      <c r="W173" s="100" t="s">
        <v>378</v>
      </c>
      <c r="X173" s="100" t="s">
        <v>375</v>
      </c>
      <c r="Y173" s="110" t="s">
        <v>339</v>
      </c>
      <c r="Z173" s="110" t="s">
        <v>339</v>
      </c>
      <c r="AA173" s="100" t="s">
        <v>339</v>
      </c>
      <c r="AB173" s="108"/>
      <c r="AC173" s="109" t="s">
        <v>339</v>
      </c>
      <c r="AD173" s="109" t="s">
        <v>339</v>
      </c>
      <c r="AE173" s="109" t="s">
        <v>339</v>
      </c>
      <c r="AF173" s="109"/>
      <c r="AG173" s="108"/>
      <c r="AH173" s="108"/>
      <c r="AI173" s="100"/>
      <c r="AJ173" s="100"/>
      <c r="AK173" s="110"/>
      <c r="AL173" s="110"/>
      <c r="AM173" s="100"/>
      <c r="AN173" s="100"/>
      <c r="AO173" s="100"/>
      <c r="AP173" s="100"/>
      <c r="AQ173" s="100"/>
      <c r="AR173" s="100"/>
      <c r="AS173" s="100"/>
      <c r="AT173" s="100"/>
      <c r="AU173" s="100"/>
      <c r="AV173" s="100"/>
    </row>
    <row r="174" spans="1:48" ht="16.3">
      <c r="A174" s="611" t="s">
        <v>1</v>
      </c>
      <c r="B174" s="221">
        <f>SUM(J174+K174+L174+M174+N174+S174+V174+W174+X174+AA174+AI174+AJ174+AI174+AM174+AP174+AQ174+AS174+AT174+AU174+AV174+AN174)+22</f>
        <v>30</v>
      </c>
      <c r="C174" s="215">
        <f>SUM(K174+L174+M174+N174+J174+S174+W174+X174+V174+AA174+AJ174+AI174+AJ174+AM174+AN174+AQ174+AP174+AT174+AU174+AV174+AS174+AO174)+36</f>
        <v>44</v>
      </c>
      <c r="D174" s="139"/>
      <c r="E174" s="140"/>
      <c r="F174" s="135"/>
      <c r="G174" s="136"/>
      <c r="H174" s="96"/>
      <c r="I174" s="96"/>
      <c r="J174" s="128">
        <v>1</v>
      </c>
      <c r="K174" s="104">
        <v>1</v>
      </c>
      <c r="L174" s="75">
        <v>1</v>
      </c>
      <c r="M174" s="75">
        <v>1</v>
      </c>
      <c r="N174" s="75">
        <v>1</v>
      </c>
      <c r="O174" s="96"/>
      <c r="P174" s="163"/>
      <c r="Q174" s="109"/>
      <c r="R174" s="108"/>
      <c r="S174" s="100">
        <v>1</v>
      </c>
      <c r="T174" s="110">
        <v>1</v>
      </c>
      <c r="U174" s="110">
        <v>1</v>
      </c>
      <c r="V174" s="100">
        <v>1</v>
      </c>
      <c r="W174" s="100">
        <v>1</v>
      </c>
      <c r="X174" s="100"/>
      <c r="Y174" s="110"/>
      <c r="Z174" s="110"/>
      <c r="AA174" s="100"/>
      <c r="AB174" s="108"/>
      <c r="AC174" s="109"/>
      <c r="AD174" s="109"/>
      <c r="AE174" s="109"/>
      <c r="AF174" s="109"/>
      <c r="AG174" s="108"/>
      <c r="AH174" s="108"/>
      <c r="AI174" s="100"/>
      <c r="AJ174" s="100"/>
      <c r="AK174" s="110"/>
      <c r="AL174" s="110"/>
      <c r="AM174" s="100"/>
      <c r="AN174" s="100"/>
      <c r="AO174" s="100"/>
      <c r="AP174" s="100"/>
      <c r="AQ174" s="100"/>
      <c r="AR174" s="100"/>
      <c r="AS174" s="100"/>
      <c r="AT174" s="100"/>
      <c r="AU174" s="100"/>
      <c r="AV174" s="100"/>
    </row>
    <row r="175" spans="1:48" ht="16.3">
      <c r="A175" s="611" t="s">
        <v>2</v>
      </c>
      <c r="B175" s="221">
        <f>SUM(J175+K175+L175+M175+N175+S175+V175+W175+X175+AA175+AI175+AJ175+AI175+AM175+AP175+AQ175+AS175+AT175+AU175+AV175)+9</f>
        <v>10</v>
      </c>
      <c r="C175" s="215">
        <f>SUM(K175+L175+M175+N175+J175+S175+W175+X175+V175+AA175+AJ175+AI175+AJ175+AM175+AN175+AQ175+AP175+AT175+AU175+AV175+AS175+AO175)+40</f>
        <v>41</v>
      </c>
      <c r="D175" s="139"/>
      <c r="E175" s="140"/>
      <c r="F175" s="135"/>
      <c r="G175" s="136"/>
      <c r="H175" s="96"/>
      <c r="I175" s="96"/>
      <c r="J175" s="128"/>
      <c r="K175" s="104"/>
      <c r="L175" s="75"/>
      <c r="M175" s="75"/>
      <c r="N175" s="75"/>
      <c r="O175" s="96"/>
      <c r="P175" s="163"/>
      <c r="Q175" s="109"/>
      <c r="R175" s="108"/>
      <c r="S175" s="100"/>
      <c r="T175" s="110"/>
      <c r="U175" s="110"/>
      <c r="V175" s="100"/>
      <c r="W175" s="100"/>
      <c r="X175" s="100">
        <v>1</v>
      </c>
      <c r="Y175" s="110"/>
      <c r="Z175" s="110"/>
      <c r="AA175" s="100"/>
      <c r="AB175" s="108"/>
      <c r="AC175" s="109"/>
      <c r="AD175" s="109"/>
      <c r="AE175" s="109"/>
      <c r="AF175" s="109"/>
      <c r="AG175" s="108"/>
      <c r="AH175" s="108"/>
      <c r="AI175" s="100"/>
      <c r="AJ175" s="100"/>
      <c r="AK175" s="110"/>
      <c r="AL175" s="110"/>
      <c r="AM175" s="100"/>
      <c r="AN175" s="100"/>
      <c r="AO175" s="100"/>
      <c r="AP175" s="100"/>
      <c r="AQ175" s="100"/>
      <c r="AR175" s="100"/>
      <c r="AS175" s="100"/>
      <c r="AT175" s="100"/>
      <c r="AU175" s="100"/>
      <c r="AV175" s="100"/>
    </row>
    <row r="176" spans="1:48" ht="16.3">
      <c r="A176" s="629" t="s">
        <v>363</v>
      </c>
      <c r="B176" s="219">
        <f>SUM(B174+B175)</f>
        <v>40</v>
      </c>
      <c r="C176" s="214">
        <f>SUM(C174+C175)</f>
        <v>85</v>
      </c>
      <c r="D176" s="133"/>
      <c r="E176" s="134"/>
      <c r="F176" s="135"/>
      <c r="G176" s="136"/>
      <c r="H176" s="96"/>
      <c r="I176" s="96"/>
      <c r="J176" s="128"/>
      <c r="K176" s="104"/>
      <c r="L176" s="75"/>
      <c r="M176" s="75"/>
      <c r="N176" s="75"/>
      <c r="O176" s="96"/>
      <c r="P176" s="163"/>
      <c r="Q176" s="109"/>
      <c r="R176" s="108"/>
      <c r="S176" s="100"/>
      <c r="T176" s="110"/>
      <c r="U176" s="110"/>
      <c r="V176" s="100"/>
      <c r="W176" s="100"/>
      <c r="X176" s="100"/>
      <c r="Y176" s="110"/>
      <c r="Z176" s="110"/>
      <c r="AA176" s="100"/>
      <c r="AB176" s="108"/>
      <c r="AC176" s="109"/>
      <c r="AD176" s="109"/>
      <c r="AE176" s="109"/>
      <c r="AF176" s="109"/>
      <c r="AG176" s="108"/>
      <c r="AH176" s="108"/>
      <c r="AI176" s="100"/>
      <c r="AJ176" s="100"/>
      <c r="AK176" s="110"/>
      <c r="AL176" s="110"/>
      <c r="AM176" s="100"/>
      <c r="AN176" s="100"/>
      <c r="AO176" s="100"/>
      <c r="AP176" s="100"/>
      <c r="AQ176" s="100"/>
      <c r="AR176" s="100"/>
      <c r="AS176" s="100"/>
      <c r="AT176" s="100"/>
      <c r="AU176" s="100"/>
      <c r="AV176" s="100"/>
    </row>
    <row r="177" spans="1:48" ht="16.3">
      <c r="A177" s="611" t="s">
        <v>362</v>
      </c>
      <c r="B177" s="221">
        <f>SUM(J177+K177+L177+M177+N177+S177+V177+W177+X177+AA177+AI177+AJ177+AI177+AM177+AP177+AQ177+AS177+AT177+AU177+AV177)</f>
        <v>0</v>
      </c>
      <c r="C177" s="215">
        <f>SUM(K177+L177+M177+N177+J177+S177+W177+X177+V177+AA177+AJ177+AI177+AJ177+AM177+AN177+AQ177+AP177+AT177+AU177+AV177+AS177+AO177)+1</f>
        <v>1</v>
      </c>
      <c r="D177" s="133"/>
      <c r="E177" s="134"/>
      <c r="F177" s="135"/>
      <c r="G177" s="136"/>
      <c r="H177" s="96"/>
      <c r="I177" s="96"/>
      <c r="J177" s="128"/>
      <c r="K177" s="104"/>
      <c r="L177" s="75"/>
      <c r="M177" s="75"/>
      <c r="N177" s="75"/>
      <c r="O177" s="96"/>
      <c r="P177" s="163"/>
      <c r="Q177" s="109"/>
      <c r="R177" s="108"/>
      <c r="S177" s="100"/>
      <c r="T177" s="110"/>
      <c r="U177" s="110"/>
      <c r="V177" s="100"/>
      <c r="W177" s="100"/>
      <c r="X177" s="100"/>
      <c r="Y177" s="110"/>
      <c r="Z177" s="110"/>
      <c r="AA177" s="100"/>
      <c r="AB177" s="108"/>
      <c r="AC177" s="109"/>
      <c r="AD177" s="109"/>
      <c r="AE177" s="109"/>
      <c r="AF177" s="109"/>
      <c r="AG177" s="108"/>
      <c r="AH177" s="108"/>
      <c r="AI177" s="100"/>
      <c r="AJ177" s="100"/>
      <c r="AK177" s="110"/>
      <c r="AL177" s="11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</row>
    <row r="178" spans="1:48" ht="16.3">
      <c r="A178" s="91" t="s">
        <v>3</v>
      </c>
      <c r="B178" s="219">
        <f>SUM(J178+K178+L178+M178+N178+S178+V178+W178+X178+AA178+AI178+AJ178+AI178+AM178+AP178+AQ178+AS178+AT178+AU178+AV178)+7</f>
        <v>9</v>
      </c>
      <c r="C178" s="214">
        <f>SUM(K178+L178+M178+N178+J178+S178+W178+X178+V178+AA178+AJ178+AI178+AJ178+AM178+AN178+AQ178+AP178+AT178+AU178+AV178+AS178+AO178)+11</f>
        <v>13</v>
      </c>
      <c r="D178" s="133"/>
      <c r="E178" s="134"/>
      <c r="F178" s="135"/>
      <c r="G178" s="136"/>
      <c r="H178" s="96"/>
      <c r="I178" s="96"/>
      <c r="J178" s="128"/>
      <c r="K178" s="104">
        <v>1</v>
      </c>
      <c r="L178" s="75"/>
      <c r="M178" s="75"/>
      <c r="N178" s="75">
        <v>1</v>
      </c>
      <c r="O178" s="96"/>
      <c r="P178" s="163"/>
      <c r="Q178" s="109"/>
      <c r="R178" s="108"/>
      <c r="S178" s="100"/>
      <c r="T178" s="110"/>
      <c r="U178" s="110">
        <v>2</v>
      </c>
      <c r="V178" s="100"/>
      <c r="W178" s="100"/>
      <c r="X178" s="100"/>
      <c r="Y178" s="110"/>
      <c r="Z178" s="110"/>
      <c r="AA178" s="100"/>
      <c r="AB178" s="108"/>
      <c r="AC178" s="109"/>
      <c r="AD178" s="109"/>
      <c r="AE178" s="109"/>
      <c r="AF178" s="109"/>
      <c r="AG178" s="108"/>
      <c r="AH178" s="108"/>
      <c r="AI178" s="100"/>
      <c r="AJ178" s="100"/>
      <c r="AK178" s="110"/>
      <c r="AL178" s="110"/>
      <c r="AM178" s="100"/>
      <c r="AN178" s="100"/>
      <c r="AO178" s="100"/>
      <c r="AP178" s="100"/>
      <c r="AQ178" s="100"/>
      <c r="AR178" s="100"/>
      <c r="AS178" s="100"/>
      <c r="AT178" s="100"/>
      <c r="AU178" s="100"/>
      <c r="AV178" s="100"/>
    </row>
    <row r="179" spans="1:48" ht="17" thickBot="1">
      <c r="A179" s="92" t="s">
        <v>4</v>
      </c>
      <c r="B179" s="220">
        <f>SUM(J179+K179+L179+M179+N179+S179+V179+W179+X179+AA179+AI179+AJ179+AI179+AM179+AP179+AQ179+AS179+AT179+AU179+AV179)+35</f>
        <v>45</v>
      </c>
      <c r="C179" s="217">
        <f>SUM(K179+L179+M179+N179+J179+S179+W179+X179+V179+AA179+AJ179+AI179+AJ179+AM179+AN179+AQ179+AP179+AT179+AU179+AV179+AS179+AO179)+55</f>
        <v>65</v>
      </c>
      <c r="D179" s="144"/>
      <c r="E179" s="145"/>
      <c r="F179" s="146"/>
      <c r="G179" s="147"/>
      <c r="H179" s="114"/>
      <c r="I179" s="114"/>
      <c r="J179" s="129"/>
      <c r="K179" s="113">
        <v>5</v>
      </c>
      <c r="L179" s="112"/>
      <c r="M179" s="112"/>
      <c r="N179" s="112">
        <v>5</v>
      </c>
      <c r="O179" s="114"/>
      <c r="P179" s="164"/>
      <c r="Q179" s="109"/>
      <c r="R179" s="108"/>
      <c r="S179" s="100"/>
      <c r="T179" s="110"/>
      <c r="U179" s="110">
        <v>10</v>
      </c>
      <c r="V179" s="100"/>
      <c r="W179" s="100"/>
      <c r="X179" s="100"/>
      <c r="Y179" s="110"/>
      <c r="Z179" s="110"/>
      <c r="AA179" s="100"/>
      <c r="AB179" s="108"/>
      <c r="AC179" s="109"/>
      <c r="AD179" s="109"/>
      <c r="AE179" s="109"/>
      <c r="AF179" s="109"/>
      <c r="AG179" s="108"/>
      <c r="AH179" s="108"/>
      <c r="AI179" s="100"/>
      <c r="AJ179" s="100"/>
      <c r="AK179" s="110"/>
      <c r="AL179" s="11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</row>
    <row r="180" spans="1:48" ht="21.1">
      <c r="A180" s="89" t="s">
        <v>526</v>
      </c>
      <c r="B180" s="219"/>
      <c r="C180" s="214"/>
      <c r="D180" s="133"/>
      <c r="E180" s="134"/>
      <c r="F180" s="135"/>
      <c r="G180" s="136"/>
      <c r="H180" s="96" t="s">
        <v>378</v>
      </c>
      <c r="I180" s="96" t="s">
        <v>378</v>
      </c>
      <c r="J180" s="128" t="s">
        <v>375</v>
      </c>
      <c r="K180" s="104" t="s">
        <v>393</v>
      </c>
      <c r="L180" s="75"/>
      <c r="M180" s="75"/>
      <c r="N180" s="75" t="s">
        <v>375</v>
      </c>
      <c r="O180" s="96" t="s">
        <v>636</v>
      </c>
      <c r="P180" s="163"/>
      <c r="Q180" s="99" t="s">
        <v>339</v>
      </c>
      <c r="R180" s="98"/>
      <c r="S180" s="102" t="s">
        <v>339</v>
      </c>
      <c r="T180" s="101" t="s">
        <v>339</v>
      </c>
      <c r="U180" s="101" t="s">
        <v>339</v>
      </c>
      <c r="V180" s="102" t="s">
        <v>339</v>
      </c>
      <c r="W180" s="102" t="s">
        <v>339</v>
      </c>
      <c r="X180" s="102" t="s">
        <v>339</v>
      </c>
      <c r="Y180" s="101" t="s">
        <v>375</v>
      </c>
      <c r="Z180" s="101" t="s">
        <v>393</v>
      </c>
      <c r="AA180" s="102" t="s">
        <v>375</v>
      </c>
      <c r="AB180" s="98"/>
      <c r="AC180" s="99" t="s">
        <v>378</v>
      </c>
      <c r="AD180" s="99" t="s">
        <v>378</v>
      </c>
      <c r="AE180" s="99"/>
      <c r="AF180" s="99"/>
      <c r="AG180" s="98"/>
      <c r="AH180" s="98"/>
      <c r="AI180" s="102"/>
      <c r="AJ180" s="102"/>
      <c r="AK180" s="101"/>
      <c r="AL180" s="101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</row>
    <row r="181" spans="1:48" ht="16.3">
      <c r="A181" s="611" t="s">
        <v>1</v>
      </c>
      <c r="B181" s="221">
        <f>SUM(J181+K181+L181+M181+N181+S181+V181+W181+X181+AA181+AI181+AJ181+AI181+AM181+AP181+AQ181+AS181+AT181+AU181+AV181+AN181)+1</f>
        <v>1</v>
      </c>
      <c r="C181" s="215">
        <f>SUM(K181+L181+M181+N181+J181+S181+W181+X181+V181+AA181+AJ181+AI181+AJ181+AM181+AN181+AQ181+AP181+AT181+AU181+AV181+AS181+AO181)+7</f>
        <v>7</v>
      </c>
      <c r="D181" s="133"/>
      <c r="E181" s="134"/>
      <c r="F181" s="135"/>
      <c r="G181" s="136"/>
      <c r="H181" s="96">
        <v>1</v>
      </c>
      <c r="I181" s="96">
        <v>1</v>
      </c>
      <c r="J181" s="128"/>
      <c r="K181" s="104"/>
      <c r="L181" s="75"/>
      <c r="M181" s="75"/>
      <c r="N181" s="75"/>
      <c r="O181" s="96">
        <v>1</v>
      </c>
      <c r="P181" s="105"/>
      <c r="Q181" s="96"/>
      <c r="R181" s="105"/>
      <c r="S181" s="75"/>
      <c r="T181" s="106"/>
      <c r="U181" s="106"/>
      <c r="V181" s="75"/>
      <c r="W181" s="75"/>
      <c r="X181" s="75"/>
      <c r="Y181" s="110"/>
      <c r="Z181" s="110"/>
      <c r="AA181" s="100"/>
      <c r="AB181" s="108"/>
      <c r="AC181" s="109">
        <v>1</v>
      </c>
      <c r="AD181" s="109">
        <v>1</v>
      </c>
      <c r="AE181" s="109"/>
      <c r="AF181" s="109"/>
      <c r="AG181" s="108"/>
      <c r="AH181" s="108"/>
      <c r="AI181" s="100"/>
      <c r="AJ181" s="100"/>
      <c r="AK181" s="110"/>
      <c r="AL181" s="110"/>
      <c r="AM181" s="100"/>
      <c r="AN181" s="100"/>
      <c r="AO181" s="100"/>
      <c r="AP181" s="100"/>
      <c r="AQ181" s="100"/>
      <c r="AR181" s="100"/>
      <c r="AS181" s="100"/>
      <c r="AT181" s="100"/>
      <c r="AU181" s="100"/>
      <c r="AV181" s="100"/>
    </row>
    <row r="182" spans="1:48" ht="16.3">
      <c r="A182" s="611" t="s">
        <v>2</v>
      </c>
      <c r="B182" s="221">
        <f>SUM(J182+K182+L182+M182+N182+S182+V182+W182+X182+AA182+AI182+AJ182+AI182+AM182+AP182+AQ182+AS182+AT182+AU182+AV182)+6</f>
        <v>9</v>
      </c>
      <c r="C182" s="215">
        <f>SUM(K182+L182+M182+N182+J182+S182+W182+X182+V182+AA182+AJ182+AI182+AJ182+AM182+AN182+AQ182+AP182+AT182+AU182+AV182+AS182+AO182)+30</f>
        <v>33</v>
      </c>
      <c r="D182" s="133"/>
      <c r="E182" s="134"/>
      <c r="F182" s="135"/>
      <c r="G182" s="136"/>
      <c r="H182" s="96"/>
      <c r="I182" s="96"/>
      <c r="J182" s="128">
        <v>1</v>
      </c>
      <c r="K182" s="104"/>
      <c r="L182" s="75"/>
      <c r="M182" s="75"/>
      <c r="N182" s="75">
        <v>1</v>
      </c>
      <c r="O182" s="96"/>
      <c r="P182" s="163"/>
      <c r="Q182" s="109"/>
      <c r="R182" s="108"/>
      <c r="S182" s="100"/>
      <c r="T182" s="110"/>
      <c r="U182" s="110"/>
      <c r="V182" s="100"/>
      <c r="W182" s="100"/>
      <c r="X182" s="100"/>
      <c r="Y182" s="110">
        <v>1</v>
      </c>
      <c r="Z182" s="110"/>
      <c r="AA182" s="100">
        <v>1</v>
      </c>
      <c r="AB182" s="108"/>
      <c r="AC182" s="109"/>
      <c r="AD182" s="109"/>
      <c r="AE182" s="109"/>
      <c r="AF182" s="109"/>
      <c r="AG182" s="108"/>
      <c r="AH182" s="108"/>
      <c r="AI182" s="100"/>
      <c r="AJ182" s="100"/>
      <c r="AK182" s="110"/>
      <c r="AL182" s="110"/>
      <c r="AM182" s="100"/>
      <c r="AN182" s="100"/>
      <c r="AO182" s="100"/>
      <c r="AP182" s="100"/>
      <c r="AQ182" s="100"/>
      <c r="AR182" s="100"/>
      <c r="AS182" s="100"/>
      <c r="AT182" s="100"/>
      <c r="AU182" s="100"/>
      <c r="AV182" s="100"/>
    </row>
    <row r="183" spans="1:48" ht="16.3">
      <c r="A183" s="629" t="s">
        <v>363</v>
      </c>
      <c r="B183" s="219">
        <f>SUM(B181+B182)</f>
        <v>10</v>
      </c>
      <c r="C183" s="214">
        <f>SUM(C181+C182)</f>
        <v>40</v>
      </c>
      <c r="D183" s="133"/>
      <c r="E183" s="134"/>
      <c r="F183" s="135"/>
      <c r="G183" s="136"/>
      <c r="H183" s="96"/>
      <c r="I183" s="96"/>
      <c r="J183" s="128"/>
      <c r="K183" s="104"/>
      <c r="L183" s="75"/>
      <c r="M183" s="75"/>
      <c r="N183" s="75"/>
      <c r="O183" s="96"/>
      <c r="P183" s="163"/>
      <c r="Q183" s="109"/>
      <c r="R183" s="108"/>
      <c r="S183" s="100"/>
      <c r="T183" s="110"/>
      <c r="U183" s="110"/>
      <c r="V183" s="100"/>
      <c r="W183" s="100"/>
      <c r="X183" s="100"/>
      <c r="Y183" s="110"/>
      <c r="Z183" s="110"/>
      <c r="AA183" s="100"/>
      <c r="AB183" s="108"/>
      <c r="AC183" s="109"/>
      <c r="AD183" s="109"/>
      <c r="AE183" s="109"/>
      <c r="AF183" s="109"/>
      <c r="AG183" s="108"/>
      <c r="AH183" s="108"/>
      <c r="AI183" s="100"/>
      <c r="AJ183" s="100"/>
      <c r="AK183" s="110"/>
      <c r="AL183" s="11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</row>
    <row r="184" spans="1:48" ht="16.3">
      <c r="A184" s="91" t="s">
        <v>3</v>
      </c>
      <c r="B184" s="219">
        <f>SUM(J184+K184+L184+M184+N184+S184+V184+W184+X184+AA184+AI184+AJ184+AI184+AM184+AP184+AQ184+AS184+AT184+AU184+AV184)</f>
        <v>0</v>
      </c>
      <c r="C184" s="214">
        <f>SUM(K184+L184+M184+N184+J184+S184+W184+X184+V184+AA184+AJ184+AI184+AJ184+AM184+AN184+AQ184+AP184+AT184+AU184+AV184+AS184+AO184)</f>
        <v>0</v>
      </c>
      <c r="D184" s="133"/>
      <c r="E184" s="134"/>
      <c r="F184" s="135"/>
      <c r="G184" s="136"/>
      <c r="H184" s="96"/>
      <c r="I184" s="96"/>
      <c r="J184" s="128"/>
      <c r="K184" s="104"/>
      <c r="L184" s="75"/>
      <c r="M184" s="75"/>
      <c r="N184" s="75"/>
      <c r="O184" s="96"/>
      <c r="P184" s="163"/>
      <c r="Q184" s="109"/>
      <c r="R184" s="108"/>
      <c r="S184" s="100"/>
      <c r="T184" s="110"/>
      <c r="U184" s="110"/>
      <c r="V184" s="100"/>
      <c r="W184" s="100"/>
      <c r="X184" s="100"/>
      <c r="Y184" s="110"/>
      <c r="Z184" s="110"/>
      <c r="AA184" s="100"/>
      <c r="AB184" s="108"/>
      <c r="AC184" s="109"/>
      <c r="AD184" s="109"/>
      <c r="AE184" s="109"/>
      <c r="AF184" s="109"/>
      <c r="AG184" s="108"/>
      <c r="AH184" s="108"/>
      <c r="AI184" s="100"/>
      <c r="AJ184" s="100"/>
      <c r="AK184" s="110"/>
      <c r="AL184" s="11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</row>
    <row r="185" spans="1:48" ht="17" thickBot="1">
      <c r="A185" s="92" t="s">
        <v>4</v>
      </c>
      <c r="B185" s="220">
        <f>SUM(J185+K185+L185+M185+N185+S185+V185+W185+X185+AA185+AI185+AJ185+AI185+AM185+AP185+AQ185+AS185+AT185+AU185+AV185)</f>
        <v>0</v>
      </c>
      <c r="C185" s="217">
        <f>SUM(K185+L185+M185+N185+J185+S185+W185+X185+V185+AA185+AJ185+AI185+AJ185+AM185+AN185+AQ185+AP185+AT185+AU185+AV185+AS185+AO185)</f>
        <v>0</v>
      </c>
      <c r="D185" s="144"/>
      <c r="E185" s="145"/>
      <c r="F185" s="146"/>
      <c r="G185" s="147"/>
      <c r="H185" s="114"/>
      <c r="I185" s="114"/>
      <c r="J185" s="129"/>
      <c r="K185" s="113"/>
      <c r="L185" s="112"/>
      <c r="M185" s="112"/>
      <c r="N185" s="112"/>
      <c r="O185" s="114"/>
      <c r="P185" s="164"/>
      <c r="Q185" s="109"/>
      <c r="R185" s="108"/>
      <c r="S185" s="116"/>
      <c r="T185" s="120"/>
      <c r="U185" s="119"/>
      <c r="V185" s="100"/>
      <c r="W185" s="100"/>
      <c r="X185" s="100"/>
      <c r="Y185" s="110"/>
      <c r="Z185" s="110"/>
      <c r="AA185" s="100"/>
      <c r="AB185" s="108"/>
      <c r="AC185" s="118"/>
      <c r="AD185" s="114"/>
      <c r="AE185" s="109"/>
      <c r="AF185" s="109"/>
      <c r="AG185" s="108"/>
      <c r="AH185" s="108"/>
      <c r="AI185" s="100"/>
      <c r="AJ185" s="100"/>
      <c r="AK185" s="110"/>
      <c r="AL185" s="11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</row>
    <row r="186" spans="1:48" ht="21.1">
      <c r="A186" s="89" t="s">
        <v>417</v>
      </c>
      <c r="B186" s="219"/>
      <c r="C186" s="214"/>
      <c r="D186" s="133"/>
      <c r="E186" s="134"/>
      <c r="F186" s="135"/>
      <c r="G186" s="136"/>
      <c r="H186" s="96" t="s">
        <v>339</v>
      </c>
      <c r="I186" s="96" t="s">
        <v>339</v>
      </c>
      <c r="J186" s="128" t="s">
        <v>339</v>
      </c>
      <c r="K186" s="104" t="s">
        <v>339</v>
      </c>
      <c r="L186" s="75" t="s">
        <v>339</v>
      </c>
      <c r="M186" s="75" t="s">
        <v>339</v>
      </c>
      <c r="N186" s="75" t="s">
        <v>339</v>
      </c>
      <c r="O186" s="96" t="s">
        <v>339</v>
      </c>
      <c r="P186" s="163"/>
      <c r="Q186" s="99" t="s">
        <v>339</v>
      </c>
      <c r="R186" s="98"/>
      <c r="S186" s="100" t="s">
        <v>375</v>
      </c>
      <c r="T186" s="110" t="s">
        <v>375</v>
      </c>
      <c r="U186" s="110" t="s">
        <v>375</v>
      </c>
      <c r="V186" s="102" t="s">
        <v>375</v>
      </c>
      <c r="W186" s="102" t="s">
        <v>375</v>
      </c>
      <c r="X186" s="102" t="s">
        <v>378</v>
      </c>
      <c r="Y186" s="101" t="s">
        <v>378</v>
      </c>
      <c r="Z186" s="101" t="s">
        <v>378</v>
      </c>
      <c r="AA186" s="102" t="s">
        <v>378</v>
      </c>
      <c r="AB186" s="98"/>
      <c r="AC186" s="109" t="s">
        <v>984</v>
      </c>
      <c r="AD186" s="109" t="s">
        <v>984</v>
      </c>
      <c r="AE186" s="99" t="s">
        <v>984</v>
      </c>
      <c r="AF186" s="99"/>
      <c r="AG186" s="98"/>
      <c r="AH186" s="98"/>
      <c r="AI186" s="102"/>
      <c r="AJ186" s="102"/>
      <c r="AK186" s="101"/>
      <c r="AL186" s="101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</row>
    <row r="187" spans="1:48" ht="16.3">
      <c r="A187" s="611" t="s">
        <v>1</v>
      </c>
      <c r="B187" s="221">
        <f>SUM(J187+K187+L187+M187+N187+S187+V187+W187+X187+AA187+AI187+AJ187+AI187+AM187+AP187+AQ187+AS187+AT187+AU187+AV187+AN187)</f>
        <v>2</v>
      </c>
      <c r="C187" s="215">
        <f>B187</f>
        <v>2</v>
      </c>
      <c r="D187" s="133"/>
      <c r="E187" s="134"/>
      <c r="F187" s="135"/>
      <c r="G187" s="136"/>
      <c r="H187" s="96"/>
      <c r="I187" s="96"/>
      <c r="J187" s="128"/>
      <c r="K187" s="104"/>
      <c r="L187" s="75"/>
      <c r="M187" s="75"/>
      <c r="N187" s="75"/>
      <c r="O187" s="96"/>
      <c r="P187" s="163"/>
      <c r="Q187" s="109"/>
      <c r="R187" s="108"/>
      <c r="S187" s="100"/>
      <c r="T187" s="110"/>
      <c r="U187" s="110"/>
      <c r="V187" s="100"/>
      <c r="W187" s="100"/>
      <c r="X187" s="100">
        <v>1</v>
      </c>
      <c r="Y187" s="110">
        <v>1</v>
      </c>
      <c r="Z187" s="110">
        <v>1</v>
      </c>
      <c r="AA187" s="100">
        <v>1</v>
      </c>
      <c r="AB187" s="108"/>
      <c r="AC187" s="109"/>
      <c r="AD187" s="109"/>
      <c r="AE187" s="109"/>
      <c r="AF187" s="109"/>
      <c r="AG187" s="108"/>
      <c r="AH187" s="108"/>
      <c r="AI187" s="100"/>
      <c r="AJ187" s="100"/>
      <c r="AK187" s="110"/>
      <c r="AL187" s="110"/>
      <c r="AM187" s="100"/>
      <c r="AN187" s="100"/>
      <c r="AO187" s="100"/>
      <c r="AP187" s="100"/>
      <c r="AQ187" s="100"/>
      <c r="AR187" s="100"/>
      <c r="AS187" s="100"/>
      <c r="AT187" s="100"/>
      <c r="AU187" s="100"/>
      <c r="AV187" s="100"/>
    </row>
    <row r="188" spans="1:48" ht="16.3">
      <c r="A188" s="611" t="s">
        <v>2</v>
      </c>
      <c r="B188" s="221">
        <f>SUM(J188+K188+L188+M188+N188+S188+V188+W188+X188+AA188+AI188+AJ188+AI188+AM188+AP188+AQ188+AS188+AT188+AU188+AV188)</f>
        <v>3</v>
      </c>
      <c r="C188" s="215">
        <f t="shared" ref="C188:C191" si="32">B188</f>
        <v>3</v>
      </c>
      <c r="D188" s="133"/>
      <c r="E188" s="134"/>
      <c r="F188" s="135"/>
      <c r="G188" s="136"/>
      <c r="H188" s="96"/>
      <c r="I188" s="96"/>
      <c r="J188" s="128"/>
      <c r="K188" s="104"/>
      <c r="L188" s="75"/>
      <c r="M188" s="75"/>
      <c r="N188" s="75"/>
      <c r="O188" s="96"/>
      <c r="P188" s="163"/>
      <c r="Q188" s="109"/>
      <c r="R188" s="108"/>
      <c r="S188" s="100">
        <v>1</v>
      </c>
      <c r="T188" s="110">
        <v>1</v>
      </c>
      <c r="U188" s="110">
        <v>1</v>
      </c>
      <c r="V188" s="100">
        <v>1</v>
      </c>
      <c r="W188" s="100">
        <v>1</v>
      </c>
      <c r="X188" s="100"/>
      <c r="Y188" s="110"/>
      <c r="Z188" s="110"/>
      <c r="AA188" s="100"/>
      <c r="AB188" s="108"/>
      <c r="AC188" s="109"/>
      <c r="AD188" s="109"/>
      <c r="AE188" s="109"/>
      <c r="AF188" s="109"/>
      <c r="AG188" s="108"/>
      <c r="AH188" s="108"/>
      <c r="AI188" s="100"/>
      <c r="AJ188" s="100"/>
      <c r="AK188" s="110"/>
      <c r="AL188" s="110"/>
      <c r="AM188" s="100"/>
      <c r="AN188" s="100"/>
      <c r="AO188" s="100"/>
      <c r="AP188" s="100"/>
      <c r="AQ188" s="100"/>
      <c r="AR188" s="100"/>
      <c r="AS188" s="100"/>
      <c r="AT188" s="100"/>
      <c r="AU188" s="100"/>
      <c r="AV188" s="100"/>
    </row>
    <row r="189" spans="1:48" ht="16.3">
      <c r="A189" s="629" t="s">
        <v>363</v>
      </c>
      <c r="B189" s="219">
        <f>SUM(B187+B188)</f>
        <v>5</v>
      </c>
      <c r="C189" s="214">
        <f t="shared" si="32"/>
        <v>5</v>
      </c>
      <c r="D189" s="133"/>
      <c r="E189" s="134"/>
      <c r="F189" s="135"/>
      <c r="G189" s="136"/>
      <c r="H189" s="96"/>
      <c r="I189" s="96"/>
      <c r="J189" s="128"/>
      <c r="K189" s="104"/>
      <c r="L189" s="75"/>
      <c r="M189" s="75"/>
      <c r="N189" s="75"/>
      <c r="O189" s="96"/>
      <c r="P189" s="163"/>
      <c r="Q189" s="109"/>
      <c r="R189" s="108"/>
      <c r="S189" s="100"/>
      <c r="T189" s="110"/>
      <c r="U189" s="110"/>
      <c r="V189" s="100"/>
      <c r="W189" s="100"/>
      <c r="X189" s="100"/>
      <c r="Y189" s="110"/>
      <c r="Z189" s="110"/>
      <c r="AA189" s="100"/>
      <c r="AB189" s="108"/>
      <c r="AC189" s="109"/>
      <c r="AD189" s="109"/>
      <c r="AE189" s="109"/>
      <c r="AF189" s="109"/>
      <c r="AG189" s="108"/>
      <c r="AH189" s="108"/>
      <c r="AI189" s="100"/>
      <c r="AJ189" s="100"/>
      <c r="AK189" s="110"/>
      <c r="AL189" s="110"/>
      <c r="AM189" s="100"/>
      <c r="AN189" s="100"/>
      <c r="AO189" s="100"/>
      <c r="AP189" s="100"/>
      <c r="AQ189" s="100"/>
      <c r="AR189" s="100"/>
      <c r="AS189" s="100"/>
      <c r="AT189" s="100"/>
      <c r="AU189" s="100"/>
      <c r="AV189" s="100"/>
    </row>
    <row r="190" spans="1:48" ht="16.3">
      <c r="A190" s="91" t="s">
        <v>3</v>
      </c>
      <c r="B190" s="219">
        <f>SUM(J190+K190+L190+M190+N190+S190+V190+W190+X190+AA190+AI190+AJ190+AI190+AM190+AP190+AQ190+AS190+AT190+AU190+AV190)</f>
        <v>0</v>
      </c>
      <c r="C190" s="214">
        <f t="shared" si="32"/>
        <v>0</v>
      </c>
      <c r="D190" s="133"/>
      <c r="E190" s="134"/>
      <c r="F190" s="135"/>
      <c r="G190" s="136"/>
      <c r="H190" s="96"/>
      <c r="I190" s="96"/>
      <c r="J190" s="128"/>
      <c r="K190" s="104"/>
      <c r="L190" s="75"/>
      <c r="M190" s="75"/>
      <c r="N190" s="75"/>
      <c r="O190" s="96"/>
      <c r="P190" s="163"/>
      <c r="Q190" s="109"/>
      <c r="R190" s="108"/>
      <c r="S190" s="100"/>
      <c r="T190" s="110"/>
      <c r="U190" s="110"/>
      <c r="V190" s="100"/>
      <c r="W190" s="100"/>
      <c r="X190" s="100"/>
      <c r="Y190" s="110"/>
      <c r="Z190" s="110"/>
      <c r="AA190" s="100"/>
      <c r="AB190" s="108"/>
      <c r="AC190" s="109"/>
      <c r="AD190" s="109"/>
      <c r="AE190" s="109"/>
      <c r="AF190" s="109"/>
      <c r="AG190" s="108"/>
      <c r="AH190" s="108"/>
      <c r="AI190" s="100"/>
      <c r="AJ190" s="100"/>
      <c r="AK190" s="110"/>
      <c r="AL190" s="110"/>
      <c r="AM190" s="100"/>
      <c r="AN190" s="100"/>
      <c r="AO190" s="100"/>
      <c r="AP190" s="100"/>
      <c r="AQ190" s="100"/>
      <c r="AR190" s="100"/>
      <c r="AS190" s="100"/>
      <c r="AT190" s="100"/>
      <c r="AU190" s="100"/>
      <c r="AV190" s="100"/>
    </row>
    <row r="191" spans="1:48" ht="17" thickBot="1">
      <c r="A191" s="92" t="s">
        <v>4</v>
      </c>
      <c r="B191" s="220">
        <f>SUM(J191+K191+L191+M191+N191+S191+V191+W191+X191+AA191+AI191+AJ191+AI191+AM191+AP191+AQ191+AS191+AT191+AU191+AV191)</f>
        <v>0</v>
      </c>
      <c r="C191" s="217">
        <f t="shared" si="32"/>
        <v>0</v>
      </c>
      <c r="D191" s="144"/>
      <c r="E191" s="145"/>
      <c r="F191" s="146"/>
      <c r="G191" s="147"/>
      <c r="H191" s="114"/>
      <c r="I191" s="114"/>
      <c r="J191" s="129"/>
      <c r="K191" s="113"/>
      <c r="L191" s="112"/>
      <c r="M191" s="112"/>
      <c r="N191" s="112"/>
      <c r="O191" s="114"/>
      <c r="P191" s="164"/>
      <c r="Q191" s="118"/>
      <c r="R191" s="117"/>
      <c r="S191" s="116"/>
      <c r="T191" s="120"/>
      <c r="U191" s="120"/>
      <c r="V191" s="116"/>
      <c r="W191" s="116"/>
      <c r="X191" s="116"/>
      <c r="Y191" s="120"/>
      <c r="Z191" s="120"/>
      <c r="AA191" s="116"/>
      <c r="AB191" s="117"/>
      <c r="AC191" s="118"/>
      <c r="AD191" s="118"/>
      <c r="AE191" s="118"/>
      <c r="AF191" s="118"/>
      <c r="AG191" s="117"/>
      <c r="AH191" s="117"/>
      <c r="AI191" s="116"/>
      <c r="AJ191" s="116"/>
      <c r="AK191" s="120"/>
      <c r="AL191" s="120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</row>
    <row r="192" spans="1:48" ht="21.1">
      <c r="A192" s="89" t="s">
        <v>1048</v>
      </c>
      <c r="B192" s="219"/>
      <c r="C192" s="214"/>
      <c r="D192" s="133"/>
      <c r="E192" s="134"/>
      <c r="F192" s="135"/>
      <c r="G192" s="136"/>
      <c r="H192" s="96"/>
      <c r="I192" s="96"/>
      <c r="J192" s="128"/>
      <c r="K192" s="104"/>
      <c r="L192" s="75"/>
      <c r="M192" s="75"/>
      <c r="N192" s="75"/>
      <c r="O192" s="96"/>
      <c r="P192" s="163"/>
      <c r="Q192" s="109"/>
      <c r="R192" s="108"/>
      <c r="S192" s="100"/>
      <c r="T192" s="110"/>
      <c r="U192" s="110"/>
      <c r="V192" s="100"/>
      <c r="W192" s="100"/>
      <c r="X192" s="100"/>
      <c r="Y192" s="110"/>
      <c r="Z192" s="110"/>
      <c r="AA192" s="100"/>
      <c r="AB192" s="108"/>
      <c r="AC192" s="109"/>
      <c r="AD192" s="109"/>
      <c r="AE192" s="109"/>
      <c r="AF192" s="109" t="s">
        <v>375</v>
      </c>
      <c r="AG192" s="108"/>
      <c r="AH192" s="108"/>
      <c r="AI192" s="100"/>
      <c r="AJ192" s="100"/>
      <c r="AK192" s="110"/>
      <c r="AL192" s="11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</row>
    <row r="193" spans="1:48" ht="16.3">
      <c r="A193" s="611" t="s">
        <v>1</v>
      </c>
      <c r="B193" s="221">
        <f>SUM(J193+K193+L193+M193+N193+S193+V193+W193+X193+AA193+AI193+AJ193+AI193+AM193+AP193+AQ193+AS193+AT193+AU193+AV193+AN193)</f>
        <v>0</v>
      </c>
      <c r="C193" s="215">
        <f>B193</f>
        <v>0</v>
      </c>
      <c r="D193" s="133"/>
      <c r="E193" s="134"/>
      <c r="F193" s="135"/>
      <c r="G193" s="136"/>
      <c r="H193" s="96"/>
      <c r="I193" s="96"/>
      <c r="J193" s="128"/>
      <c r="K193" s="104"/>
      <c r="L193" s="75"/>
      <c r="M193" s="75"/>
      <c r="N193" s="75"/>
      <c r="O193" s="96"/>
      <c r="P193" s="163"/>
      <c r="Q193" s="109"/>
      <c r="R193" s="108"/>
      <c r="S193" s="100"/>
      <c r="T193" s="110"/>
      <c r="U193" s="110"/>
      <c r="V193" s="100"/>
      <c r="W193" s="100"/>
      <c r="X193" s="100"/>
      <c r="Y193" s="110"/>
      <c r="Z193" s="110"/>
      <c r="AA193" s="100"/>
      <c r="AB193" s="108"/>
      <c r="AC193" s="109"/>
      <c r="AD193" s="109"/>
      <c r="AE193" s="109"/>
      <c r="AF193" s="109"/>
      <c r="AG193" s="108"/>
      <c r="AH193" s="108"/>
      <c r="AI193" s="100"/>
      <c r="AJ193" s="100"/>
      <c r="AK193" s="110"/>
      <c r="AL193" s="110"/>
      <c r="AM193" s="100"/>
      <c r="AN193" s="100"/>
      <c r="AO193" s="100"/>
      <c r="AP193" s="100"/>
      <c r="AQ193" s="100"/>
      <c r="AR193" s="100"/>
      <c r="AS193" s="100"/>
      <c r="AT193" s="100"/>
      <c r="AU193" s="100"/>
      <c r="AV193" s="100"/>
    </row>
    <row r="194" spans="1:48" ht="16.3">
      <c r="A194" s="611" t="s">
        <v>2</v>
      </c>
      <c r="B194" s="221">
        <f>SUM(J194+K194+L194+M194+N194+S194+V194+W194+X194+AA194+AI194+AJ194+AI194+AM194+AP194+AQ194+AS194+AT194+AU194+AV194)</f>
        <v>0</v>
      </c>
      <c r="C194" s="215">
        <f t="shared" ref="C194:C197" si="33">B194</f>
        <v>0</v>
      </c>
      <c r="D194" s="133"/>
      <c r="E194" s="134"/>
      <c r="F194" s="135"/>
      <c r="G194" s="136"/>
      <c r="H194" s="96"/>
      <c r="I194" s="96"/>
      <c r="J194" s="128"/>
      <c r="K194" s="104"/>
      <c r="L194" s="75"/>
      <c r="M194" s="75"/>
      <c r="N194" s="75"/>
      <c r="O194" s="96"/>
      <c r="P194" s="163"/>
      <c r="Q194" s="109"/>
      <c r="R194" s="108"/>
      <c r="S194" s="100"/>
      <c r="T194" s="110"/>
      <c r="U194" s="110"/>
      <c r="V194" s="100"/>
      <c r="W194" s="100"/>
      <c r="X194" s="100"/>
      <c r="Y194" s="110"/>
      <c r="Z194" s="110"/>
      <c r="AA194" s="100"/>
      <c r="AB194" s="108"/>
      <c r="AC194" s="109"/>
      <c r="AD194" s="109"/>
      <c r="AE194" s="109"/>
      <c r="AF194" s="109">
        <v>1</v>
      </c>
      <c r="AG194" s="108"/>
      <c r="AH194" s="108"/>
      <c r="AI194" s="100"/>
      <c r="AJ194" s="100"/>
      <c r="AK194" s="110"/>
      <c r="AL194" s="11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</row>
    <row r="195" spans="1:48" ht="16.3">
      <c r="A195" s="91" t="s">
        <v>363</v>
      </c>
      <c r="B195" s="219">
        <f>SUM(B193+B194)</f>
        <v>0</v>
      </c>
      <c r="C195" s="214">
        <f t="shared" si="33"/>
        <v>0</v>
      </c>
      <c r="D195" s="133"/>
      <c r="E195" s="134"/>
      <c r="F195" s="135"/>
      <c r="G195" s="136"/>
      <c r="H195" s="96"/>
      <c r="I195" s="96"/>
      <c r="J195" s="128"/>
      <c r="K195" s="104"/>
      <c r="L195" s="75"/>
      <c r="M195" s="75"/>
      <c r="N195" s="75"/>
      <c r="O195" s="96"/>
      <c r="P195" s="163"/>
      <c r="Q195" s="109"/>
      <c r="R195" s="108"/>
      <c r="S195" s="100"/>
      <c r="T195" s="110"/>
      <c r="U195" s="110"/>
      <c r="V195" s="100"/>
      <c r="W195" s="100"/>
      <c r="X195" s="100"/>
      <c r="Y195" s="110"/>
      <c r="Z195" s="110"/>
      <c r="AA195" s="100"/>
      <c r="AB195" s="108"/>
      <c r="AC195" s="109"/>
      <c r="AD195" s="109"/>
      <c r="AE195" s="109"/>
      <c r="AF195" s="109"/>
      <c r="AG195" s="108"/>
      <c r="AH195" s="108"/>
      <c r="AI195" s="100"/>
      <c r="AJ195" s="100"/>
      <c r="AK195" s="110"/>
      <c r="AL195" s="11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</row>
    <row r="196" spans="1:48" ht="16.3">
      <c r="A196" s="91" t="s">
        <v>3</v>
      </c>
      <c r="B196" s="219">
        <f>SUM(J196+K196+L196+M196+N196+S196+V196+W196+X196+AA196+AI196+AJ196+AI196+AM196+AP196+AQ196+AS196+AT196+AU196+AV196)</f>
        <v>0</v>
      </c>
      <c r="C196" s="214">
        <f t="shared" si="33"/>
        <v>0</v>
      </c>
      <c r="D196" s="133"/>
      <c r="E196" s="134"/>
      <c r="F196" s="135"/>
      <c r="G196" s="136"/>
      <c r="H196" s="96"/>
      <c r="I196" s="96"/>
      <c r="J196" s="128"/>
      <c r="K196" s="104"/>
      <c r="L196" s="75"/>
      <c r="M196" s="75"/>
      <c r="N196" s="75"/>
      <c r="O196" s="96"/>
      <c r="P196" s="163"/>
      <c r="Q196" s="109"/>
      <c r="R196" s="108"/>
      <c r="S196" s="100"/>
      <c r="T196" s="110"/>
      <c r="U196" s="110"/>
      <c r="V196" s="100"/>
      <c r="W196" s="100"/>
      <c r="X196" s="100"/>
      <c r="Y196" s="110"/>
      <c r="Z196" s="110"/>
      <c r="AA196" s="100"/>
      <c r="AB196" s="108"/>
      <c r="AC196" s="109"/>
      <c r="AD196" s="109"/>
      <c r="AE196" s="109"/>
      <c r="AF196" s="109"/>
      <c r="AG196" s="108"/>
      <c r="AH196" s="108"/>
      <c r="AI196" s="100"/>
      <c r="AJ196" s="100"/>
      <c r="AK196" s="110"/>
      <c r="AL196" s="110"/>
      <c r="AM196" s="100"/>
      <c r="AN196" s="100"/>
      <c r="AO196" s="100"/>
      <c r="AP196" s="100"/>
      <c r="AQ196" s="100"/>
      <c r="AR196" s="100"/>
      <c r="AS196" s="100"/>
      <c r="AT196" s="100"/>
      <c r="AU196" s="100"/>
      <c r="AV196" s="100"/>
    </row>
    <row r="197" spans="1:48" ht="17" thickBot="1">
      <c r="A197" s="91" t="s">
        <v>4</v>
      </c>
      <c r="B197" s="219">
        <f>SUM(J197+K197+L197+M197+N197+S197+V197+W197+X197+AA197+AI197+AJ197+AI197+AM197+AP197+AQ197+AS197+AT197+AU197+AV197)</f>
        <v>0</v>
      </c>
      <c r="C197" s="214">
        <f t="shared" si="33"/>
        <v>0</v>
      </c>
      <c r="D197" s="133"/>
      <c r="E197" s="134"/>
      <c r="F197" s="135"/>
      <c r="G197" s="136"/>
      <c r="H197" s="96"/>
      <c r="I197" s="96"/>
      <c r="J197" s="128"/>
      <c r="K197" s="104"/>
      <c r="L197" s="75"/>
      <c r="M197" s="75"/>
      <c r="N197" s="75"/>
      <c r="O197" s="96"/>
      <c r="P197" s="163"/>
      <c r="Q197" s="109"/>
      <c r="R197" s="108"/>
      <c r="S197" s="100"/>
      <c r="T197" s="110"/>
      <c r="U197" s="110"/>
      <c r="V197" s="100"/>
      <c r="W197" s="100"/>
      <c r="X197" s="100"/>
      <c r="Y197" s="110"/>
      <c r="Z197" s="110"/>
      <c r="AA197" s="100"/>
      <c r="AB197" s="108"/>
      <c r="AC197" s="109"/>
      <c r="AD197" s="109"/>
      <c r="AE197" s="109"/>
      <c r="AF197" s="109"/>
      <c r="AG197" s="108"/>
      <c r="AH197" s="108"/>
      <c r="AI197" s="100"/>
      <c r="AJ197" s="100"/>
      <c r="AK197" s="110"/>
      <c r="AL197" s="11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100"/>
    </row>
    <row r="198" spans="1:48" ht="21.1">
      <c r="A198" s="90" t="s">
        <v>127</v>
      </c>
      <c r="B198" s="223"/>
      <c r="C198" s="218"/>
      <c r="D198" s="153"/>
      <c r="E198" s="154"/>
      <c r="F198" s="155"/>
      <c r="G198" s="156"/>
      <c r="H198" s="124" t="s">
        <v>375</v>
      </c>
      <c r="I198" s="124" t="s">
        <v>375</v>
      </c>
      <c r="J198" s="165"/>
      <c r="K198" s="123"/>
      <c r="L198" s="122"/>
      <c r="M198" s="122"/>
      <c r="N198" s="122"/>
      <c r="O198" s="124" t="s">
        <v>375</v>
      </c>
      <c r="P198" s="166"/>
      <c r="Q198" s="99">
        <v>9</v>
      </c>
      <c r="R198" s="98"/>
      <c r="S198" s="102"/>
      <c r="T198" s="101"/>
      <c r="U198" s="101"/>
      <c r="V198" s="102"/>
      <c r="W198" s="102"/>
      <c r="X198" s="102"/>
      <c r="Y198" s="101"/>
      <c r="Z198" s="101"/>
      <c r="AA198" s="102"/>
      <c r="AB198" s="98"/>
      <c r="AC198" s="99" t="s">
        <v>375</v>
      </c>
      <c r="AD198" s="99" t="s">
        <v>375</v>
      </c>
      <c r="AE198" s="99" t="s">
        <v>375</v>
      </c>
      <c r="AF198" s="99"/>
      <c r="AG198" s="98"/>
      <c r="AH198" s="98"/>
      <c r="AI198" s="102"/>
      <c r="AJ198" s="102"/>
      <c r="AK198" s="101"/>
      <c r="AL198" s="101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</row>
    <row r="199" spans="1:48" ht="16.3">
      <c r="A199" s="611" t="s">
        <v>1</v>
      </c>
      <c r="B199" s="221">
        <f>SUM(J199+K199+L199+M199+N199+S199+V199+W199+X199+AA199+AI199+AJ199+AI199+AM199+AP199+AQ199+AS199+AT199+AU199+AV199+AN199)</f>
        <v>0</v>
      </c>
      <c r="C199" s="215">
        <f>B199</f>
        <v>0</v>
      </c>
      <c r="D199" s="133"/>
      <c r="E199" s="134"/>
      <c r="F199" s="135"/>
      <c r="G199" s="136"/>
      <c r="H199" s="96"/>
      <c r="I199" s="96"/>
      <c r="J199" s="128"/>
      <c r="K199" s="104"/>
      <c r="L199" s="75"/>
      <c r="M199" s="75"/>
      <c r="N199" s="75"/>
      <c r="O199" s="96"/>
      <c r="P199" s="163"/>
      <c r="Q199" s="109">
        <v>1</v>
      </c>
      <c r="R199" s="108"/>
      <c r="S199" s="100"/>
      <c r="T199" s="110"/>
      <c r="U199" s="110"/>
      <c r="V199" s="100"/>
      <c r="W199" s="100"/>
      <c r="X199" s="100"/>
      <c r="Y199" s="110"/>
      <c r="Z199" s="110"/>
      <c r="AA199" s="100"/>
      <c r="AB199" s="108"/>
      <c r="AC199" s="109"/>
      <c r="AD199" s="109"/>
      <c r="AE199" s="109"/>
      <c r="AF199" s="109"/>
      <c r="AG199" s="108"/>
      <c r="AH199" s="108"/>
      <c r="AI199" s="100"/>
      <c r="AJ199" s="100"/>
      <c r="AK199" s="110"/>
      <c r="AL199" s="110"/>
      <c r="AM199" s="100"/>
      <c r="AN199" s="100"/>
      <c r="AO199" s="100"/>
      <c r="AP199" s="100"/>
      <c r="AQ199" s="100"/>
      <c r="AR199" s="100"/>
      <c r="AS199" s="100"/>
      <c r="AT199" s="100"/>
      <c r="AU199" s="100"/>
      <c r="AV199" s="100"/>
    </row>
    <row r="200" spans="1:48" ht="16.3">
      <c r="A200" s="611" t="s">
        <v>2</v>
      </c>
      <c r="B200" s="221">
        <f>SUM(J200+K200+L200+M200+N200+S200+V200+W200+X200+AA200+AI200+AJ200+AI200+AM200+AP200+AQ200+AS200+AT200+AU200+AV200)</f>
        <v>0</v>
      </c>
      <c r="C200" s="215">
        <f t="shared" ref="C200:C203" si="34">B200</f>
        <v>0</v>
      </c>
      <c r="D200" s="133"/>
      <c r="E200" s="134"/>
      <c r="F200" s="135"/>
      <c r="G200" s="136"/>
      <c r="H200" s="96">
        <v>1</v>
      </c>
      <c r="I200" s="96">
        <v>1</v>
      </c>
      <c r="J200" s="128"/>
      <c r="K200" s="104"/>
      <c r="L200" s="75"/>
      <c r="M200" s="75"/>
      <c r="N200" s="75"/>
      <c r="O200" s="96">
        <v>1</v>
      </c>
      <c r="P200" s="163"/>
      <c r="Q200" s="109"/>
      <c r="R200" s="108"/>
      <c r="S200" s="100"/>
      <c r="T200" s="110"/>
      <c r="U200" s="110"/>
      <c r="V200" s="100"/>
      <c r="W200" s="100"/>
      <c r="X200" s="100"/>
      <c r="Y200" s="110"/>
      <c r="Z200" s="110"/>
      <c r="AA200" s="100"/>
      <c r="AB200" s="108"/>
      <c r="AC200" s="109">
        <v>1</v>
      </c>
      <c r="AD200" s="109">
        <v>1</v>
      </c>
      <c r="AE200" s="109">
        <v>1</v>
      </c>
      <c r="AF200" s="109"/>
      <c r="AG200" s="108"/>
      <c r="AH200" s="108"/>
      <c r="AI200" s="100"/>
      <c r="AJ200" s="100"/>
      <c r="AK200" s="110"/>
      <c r="AL200" s="110"/>
      <c r="AM200" s="100"/>
      <c r="AN200" s="100"/>
      <c r="AO200" s="100"/>
      <c r="AP200" s="100"/>
      <c r="AQ200" s="100"/>
      <c r="AR200" s="100"/>
      <c r="AS200" s="100"/>
      <c r="AT200" s="100"/>
      <c r="AU200" s="100"/>
      <c r="AV200" s="100"/>
    </row>
    <row r="201" spans="1:48" ht="16.3">
      <c r="A201" s="629" t="s">
        <v>363</v>
      </c>
      <c r="B201" s="219">
        <f>SUM(B199+B200)</f>
        <v>0</v>
      </c>
      <c r="C201" s="214">
        <f t="shared" si="34"/>
        <v>0</v>
      </c>
      <c r="D201" s="133"/>
      <c r="E201" s="134"/>
      <c r="F201" s="135"/>
      <c r="G201" s="136"/>
      <c r="H201" s="96"/>
      <c r="I201" s="96"/>
      <c r="J201" s="128"/>
      <c r="K201" s="104"/>
      <c r="L201" s="75"/>
      <c r="M201" s="75"/>
      <c r="N201" s="75"/>
      <c r="O201" s="96"/>
      <c r="P201" s="163"/>
      <c r="Q201" s="109"/>
      <c r="R201" s="108"/>
      <c r="S201" s="100"/>
      <c r="T201" s="110"/>
      <c r="U201" s="110"/>
      <c r="V201" s="100"/>
      <c r="W201" s="100"/>
      <c r="X201" s="100"/>
      <c r="Y201" s="110"/>
      <c r="Z201" s="110"/>
      <c r="AA201" s="100"/>
      <c r="AB201" s="108"/>
      <c r="AC201" s="109"/>
      <c r="AD201" s="109"/>
      <c r="AE201" s="109"/>
      <c r="AF201" s="109"/>
      <c r="AG201" s="108"/>
      <c r="AH201" s="108"/>
      <c r="AI201" s="100"/>
      <c r="AJ201" s="100"/>
      <c r="AK201" s="110"/>
      <c r="AL201" s="110"/>
      <c r="AM201" s="100"/>
      <c r="AN201" s="100"/>
      <c r="AO201" s="100"/>
      <c r="AP201" s="100"/>
      <c r="AQ201" s="100"/>
      <c r="AR201" s="100"/>
      <c r="AS201" s="100"/>
      <c r="AT201" s="100"/>
      <c r="AU201" s="100"/>
      <c r="AV201" s="100"/>
    </row>
    <row r="202" spans="1:48" ht="16.3">
      <c r="A202" s="91" t="s">
        <v>3</v>
      </c>
      <c r="B202" s="219">
        <f>SUM(J202+K202+L202+M202+N202+S202+V202+W202+X202+AA202+AI202+AJ202+AI202+AM202+AP202+AQ202+AS202+AT202+AU202+AV202)</f>
        <v>0</v>
      </c>
      <c r="C202" s="214">
        <f t="shared" si="34"/>
        <v>0</v>
      </c>
      <c r="D202" s="133"/>
      <c r="E202" s="134"/>
      <c r="F202" s="135"/>
      <c r="G202" s="136"/>
      <c r="H202" s="96"/>
      <c r="I202" s="96"/>
      <c r="J202" s="128"/>
      <c r="K202" s="104"/>
      <c r="L202" s="75"/>
      <c r="M202" s="75"/>
      <c r="N202" s="75"/>
      <c r="O202" s="96"/>
      <c r="P202" s="163"/>
      <c r="Q202" s="109">
        <v>1</v>
      </c>
      <c r="R202" s="108"/>
      <c r="S202" s="100"/>
      <c r="T202" s="110"/>
      <c r="U202" s="110"/>
      <c r="V202" s="100"/>
      <c r="W202" s="100"/>
      <c r="X202" s="100"/>
      <c r="Y202" s="110"/>
      <c r="Z202" s="110"/>
      <c r="AA202" s="100"/>
      <c r="AB202" s="108"/>
      <c r="AC202" s="109"/>
      <c r="AD202" s="109"/>
      <c r="AE202" s="109"/>
      <c r="AF202" s="109"/>
      <c r="AG202" s="108"/>
      <c r="AH202" s="108"/>
      <c r="AI202" s="100"/>
      <c r="AJ202" s="100"/>
      <c r="AK202" s="110"/>
      <c r="AL202" s="110"/>
      <c r="AM202" s="100"/>
      <c r="AN202" s="100"/>
      <c r="AO202" s="100"/>
      <c r="AP202" s="100"/>
      <c r="AQ202" s="100"/>
      <c r="AR202" s="100"/>
      <c r="AS202" s="100"/>
      <c r="AT202" s="100"/>
      <c r="AU202" s="100"/>
      <c r="AV202" s="100"/>
    </row>
    <row r="203" spans="1:48" ht="17" thickBot="1">
      <c r="A203" s="92" t="s">
        <v>4</v>
      </c>
      <c r="B203" s="220">
        <f>SUM(J203+K203+L203+M203+N203+S203+V203+W203+X203+AA203+AI203+AJ203+AI203+AM203+AP203+AQ203+AS203+AT203+AU203+AV203)</f>
        <v>0</v>
      </c>
      <c r="C203" s="217">
        <f t="shared" si="34"/>
        <v>0</v>
      </c>
      <c r="D203" s="144"/>
      <c r="E203" s="145"/>
      <c r="F203" s="146"/>
      <c r="G203" s="147"/>
      <c r="H203" s="114"/>
      <c r="I203" s="114"/>
      <c r="J203" s="129"/>
      <c r="K203" s="113"/>
      <c r="L203" s="112"/>
      <c r="M203" s="112"/>
      <c r="N203" s="112"/>
      <c r="O203" s="114"/>
      <c r="P203" s="164"/>
      <c r="Q203" s="118">
        <v>5</v>
      </c>
      <c r="R203" s="117"/>
      <c r="S203" s="116"/>
      <c r="T203" s="120"/>
      <c r="U203" s="120"/>
      <c r="V203" s="112"/>
      <c r="W203" s="100"/>
      <c r="X203" s="100"/>
      <c r="Y203" s="110"/>
      <c r="Z203" s="110"/>
      <c r="AA203" s="100"/>
      <c r="AB203" s="108"/>
      <c r="AC203" s="109"/>
      <c r="AD203" s="109"/>
      <c r="AE203" s="109"/>
      <c r="AF203" s="109"/>
      <c r="AG203" s="108"/>
      <c r="AH203" s="108"/>
      <c r="AI203" s="100"/>
      <c r="AJ203" s="100"/>
      <c r="AK203" s="110"/>
      <c r="AL203" s="11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</row>
    <row r="204" spans="1:48" ht="21.1">
      <c r="A204" s="89" t="s">
        <v>121</v>
      </c>
      <c r="B204" s="219"/>
      <c r="C204" s="214"/>
      <c r="D204" s="133"/>
      <c r="E204" s="134"/>
      <c r="F204" s="135"/>
      <c r="G204" s="136"/>
      <c r="H204" s="96"/>
      <c r="I204" s="96"/>
      <c r="J204" s="128">
        <v>1</v>
      </c>
      <c r="K204" s="104" t="s">
        <v>369</v>
      </c>
      <c r="L204" s="75" t="s">
        <v>369</v>
      </c>
      <c r="M204" s="75" t="s">
        <v>369</v>
      </c>
      <c r="N204" s="75" t="s">
        <v>369</v>
      </c>
      <c r="O204" s="96" t="s">
        <v>775</v>
      </c>
      <c r="P204" s="163"/>
      <c r="Q204" s="109" t="s">
        <v>775</v>
      </c>
      <c r="R204" s="108"/>
      <c r="S204" s="100" t="s">
        <v>369</v>
      </c>
      <c r="T204" s="110"/>
      <c r="U204" s="110" t="s">
        <v>369</v>
      </c>
      <c r="V204" s="100" t="s">
        <v>339</v>
      </c>
      <c r="W204" s="102" t="s">
        <v>339</v>
      </c>
      <c r="X204" s="102" t="s">
        <v>339</v>
      </c>
      <c r="Y204" s="101" t="s">
        <v>339</v>
      </c>
      <c r="Z204" s="101" t="s">
        <v>339</v>
      </c>
      <c r="AA204" s="102" t="s">
        <v>339</v>
      </c>
      <c r="AB204" s="98"/>
      <c r="AC204" s="99" t="s">
        <v>339</v>
      </c>
      <c r="AD204" s="99" t="s">
        <v>339</v>
      </c>
      <c r="AE204" s="99" t="s">
        <v>339</v>
      </c>
      <c r="AF204" s="99" t="s">
        <v>339</v>
      </c>
      <c r="AG204" s="98"/>
      <c r="AH204" s="98"/>
      <c r="AI204" s="102"/>
      <c r="AJ204" s="102"/>
      <c r="AK204" s="101"/>
      <c r="AL204" s="101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</row>
    <row r="205" spans="1:48" ht="16.3">
      <c r="A205" s="611" t="s">
        <v>1</v>
      </c>
      <c r="B205" s="221">
        <f>SUM(J205+K205+L205+M205+N205+S205+V205+W205+X205+AA205+AI205+AJ205+AI205+AM205+AP205+AQ205+AS205+AT205+AU205+AV205+AN205)+27</f>
        <v>33</v>
      </c>
      <c r="C205" s="215">
        <f>B205</f>
        <v>33</v>
      </c>
      <c r="D205" s="139"/>
      <c r="E205" s="140"/>
      <c r="F205" s="135"/>
      <c r="G205" s="136"/>
      <c r="H205" s="96"/>
      <c r="I205" s="96"/>
      <c r="J205" s="128">
        <v>1</v>
      </c>
      <c r="K205" s="104">
        <v>1</v>
      </c>
      <c r="L205" s="75">
        <v>1</v>
      </c>
      <c r="M205" s="75">
        <v>1</v>
      </c>
      <c r="N205" s="75">
        <v>1</v>
      </c>
      <c r="O205" s="96"/>
      <c r="P205" s="163"/>
      <c r="Q205" s="109"/>
      <c r="R205" s="108"/>
      <c r="S205" s="100">
        <v>1</v>
      </c>
      <c r="T205" s="110"/>
      <c r="U205" s="110">
        <v>1</v>
      </c>
      <c r="V205" s="100"/>
      <c r="W205" s="100"/>
      <c r="X205" s="100"/>
      <c r="Y205" s="110"/>
      <c r="Z205" s="110"/>
      <c r="AA205" s="100"/>
      <c r="AB205" s="108"/>
      <c r="AC205" s="109"/>
      <c r="AD205" s="109"/>
      <c r="AE205" s="109"/>
      <c r="AF205" s="109"/>
      <c r="AG205" s="108"/>
      <c r="AH205" s="108"/>
      <c r="AI205" s="100"/>
      <c r="AJ205" s="100"/>
      <c r="AK205" s="110"/>
      <c r="AL205" s="11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</row>
    <row r="206" spans="1:48" ht="16.3">
      <c r="A206" s="611" t="s">
        <v>2</v>
      </c>
      <c r="B206" s="221">
        <f>SUM(J206+K206+L206+M206+N206+S206+V206+W206+X206+AA206+AI206+AJ206+AI206+AM206+AP206+AQ206+AS206+AT206+AU206+AV206)+23</f>
        <v>23</v>
      </c>
      <c r="C206" s="215">
        <f t="shared" ref="C206:C209" si="35">B206</f>
        <v>23</v>
      </c>
      <c r="D206" s="139"/>
      <c r="E206" s="140"/>
      <c r="F206" s="135"/>
      <c r="G206" s="136"/>
      <c r="H206" s="96"/>
      <c r="I206" s="96"/>
      <c r="J206" s="128"/>
      <c r="K206" s="104"/>
      <c r="L206" s="75"/>
      <c r="M206" s="75"/>
      <c r="N206" s="75"/>
      <c r="O206" s="96"/>
      <c r="P206" s="163"/>
      <c r="Q206" s="109"/>
      <c r="R206" s="108"/>
      <c r="S206" s="100"/>
      <c r="T206" s="110"/>
      <c r="U206" s="110"/>
      <c r="V206" s="100"/>
      <c r="W206" s="100"/>
      <c r="X206" s="100"/>
      <c r="Y206" s="110"/>
      <c r="Z206" s="110"/>
      <c r="AA206" s="100"/>
      <c r="AB206" s="108"/>
      <c r="AC206" s="109"/>
      <c r="AD206" s="109"/>
      <c r="AE206" s="109"/>
      <c r="AF206" s="109"/>
      <c r="AG206" s="108"/>
      <c r="AH206" s="108"/>
      <c r="AI206" s="100"/>
      <c r="AJ206" s="100"/>
      <c r="AK206" s="110"/>
      <c r="AL206" s="110"/>
      <c r="AM206" s="100"/>
      <c r="AN206" s="100"/>
      <c r="AO206" s="100"/>
      <c r="AP206" s="100"/>
      <c r="AQ206" s="100"/>
      <c r="AR206" s="100"/>
      <c r="AS206" s="100"/>
      <c r="AT206" s="100"/>
      <c r="AU206" s="100"/>
      <c r="AV206" s="100"/>
    </row>
    <row r="207" spans="1:48" ht="16.3">
      <c r="A207" s="629" t="s">
        <v>363</v>
      </c>
      <c r="B207" s="219">
        <f>SUM(B205+B206)</f>
        <v>56</v>
      </c>
      <c r="C207" s="214">
        <f t="shared" si="35"/>
        <v>56</v>
      </c>
      <c r="D207" s="133"/>
      <c r="E207" s="134"/>
      <c r="F207" s="135"/>
      <c r="G207" s="136"/>
      <c r="H207" s="96"/>
      <c r="I207" s="96"/>
      <c r="J207" s="128"/>
      <c r="K207" s="104"/>
      <c r="L207" s="75"/>
      <c r="M207" s="75"/>
      <c r="N207" s="75"/>
      <c r="O207" s="96"/>
      <c r="P207" s="163"/>
      <c r="Q207" s="109"/>
      <c r="R207" s="108"/>
      <c r="S207" s="100"/>
      <c r="T207" s="110"/>
      <c r="U207" s="110"/>
      <c r="V207" s="100"/>
      <c r="W207" s="100"/>
      <c r="X207" s="100"/>
      <c r="Y207" s="110"/>
      <c r="Z207" s="110"/>
      <c r="AA207" s="100"/>
      <c r="AB207" s="108"/>
      <c r="AC207" s="109"/>
      <c r="AD207" s="109"/>
      <c r="AE207" s="109"/>
      <c r="AF207" s="109"/>
      <c r="AG207" s="108"/>
      <c r="AH207" s="108"/>
      <c r="AI207" s="100"/>
      <c r="AJ207" s="100"/>
      <c r="AK207" s="110"/>
      <c r="AL207" s="11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</row>
    <row r="208" spans="1:48" ht="16.3">
      <c r="A208" s="91" t="s">
        <v>3</v>
      </c>
      <c r="B208" s="219">
        <f>SUM(J208+K208+L208+M208+N208+S208+V208+W208+X208+AA208+AI208+AJ208+AI208+AM208+AP208+AQ208+AS208+AT208+AU208+AV208)+3</f>
        <v>3</v>
      </c>
      <c r="C208" s="214">
        <f t="shared" si="35"/>
        <v>3</v>
      </c>
      <c r="D208" s="133"/>
      <c r="E208" s="134"/>
      <c r="F208" s="135"/>
      <c r="G208" s="136"/>
      <c r="H208" s="96"/>
      <c r="I208" s="96"/>
      <c r="J208" s="128"/>
      <c r="K208" s="104"/>
      <c r="L208" s="75"/>
      <c r="M208" s="75"/>
      <c r="N208" s="75"/>
      <c r="O208" s="96"/>
      <c r="P208" s="163"/>
      <c r="Q208" s="109"/>
      <c r="R208" s="108"/>
      <c r="S208" s="100"/>
      <c r="T208" s="110"/>
      <c r="U208" s="110">
        <v>1</v>
      </c>
      <c r="V208" s="100"/>
      <c r="W208" s="100"/>
      <c r="X208" s="100"/>
      <c r="Y208" s="110"/>
      <c r="Z208" s="110"/>
      <c r="AA208" s="100"/>
      <c r="AB208" s="108"/>
      <c r="AC208" s="109"/>
      <c r="AD208" s="109"/>
      <c r="AE208" s="109"/>
      <c r="AF208" s="109"/>
      <c r="AG208" s="108"/>
      <c r="AH208" s="108"/>
      <c r="AI208" s="100"/>
      <c r="AJ208" s="100"/>
      <c r="AK208" s="110"/>
      <c r="AL208" s="11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</row>
    <row r="209" spans="1:48" ht="17" thickBot="1">
      <c r="A209" s="92" t="s">
        <v>4</v>
      </c>
      <c r="B209" s="220">
        <f>SUM(J209+K209+L209+M209+N209+S209+V209+W209+X209+AA209+AI209+AJ209+AI209+AM209+AP209+AQ209+AS209+AT209+AU209+AV209)+15</f>
        <v>15</v>
      </c>
      <c r="C209" s="217">
        <f t="shared" si="35"/>
        <v>15</v>
      </c>
      <c r="D209" s="144"/>
      <c r="E209" s="145"/>
      <c r="F209" s="146"/>
      <c r="G209" s="147"/>
      <c r="H209" s="114"/>
      <c r="I209" s="114"/>
      <c r="J209" s="129"/>
      <c r="K209" s="113"/>
      <c r="L209" s="112"/>
      <c r="M209" s="112"/>
      <c r="N209" s="112"/>
      <c r="O209" s="114"/>
      <c r="P209" s="164"/>
      <c r="Q209" s="118"/>
      <c r="R209" s="117"/>
      <c r="S209" s="116"/>
      <c r="T209" s="120"/>
      <c r="U209" s="120">
        <v>5</v>
      </c>
      <c r="V209" s="116"/>
      <c r="W209" s="116"/>
      <c r="X209" s="116"/>
      <c r="Y209" s="120"/>
      <c r="Z209" s="120"/>
      <c r="AA209" s="116"/>
      <c r="AB209" s="117"/>
      <c r="AC209" s="118"/>
      <c r="AD209" s="118"/>
      <c r="AE209" s="118"/>
      <c r="AF209" s="118"/>
      <c r="AG209" s="117"/>
      <c r="AH209" s="117"/>
      <c r="AI209" s="116"/>
      <c r="AJ209" s="116"/>
      <c r="AK209" s="120"/>
      <c r="AL209" s="120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</row>
    <row r="210" spans="1:48" ht="21.1">
      <c r="A210" s="89" t="s">
        <v>527</v>
      </c>
      <c r="B210" s="219"/>
      <c r="C210" s="214"/>
      <c r="D210" s="133"/>
      <c r="E210" s="134"/>
      <c r="F210" s="135"/>
      <c r="G210" s="136"/>
      <c r="H210" s="124" t="s">
        <v>394</v>
      </c>
      <c r="I210" s="124" t="s">
        <v>394</v>
      </c>
      <c r="J210" s="165" t="s">
        <v>394</v>
      </c>
      <c r="K210" s="123" t="s">
        <v>394</v>
      </c>
      <c r="L210" s="75" t="s">
        <v>432</v>
      </c>
      <c r="M210" s="122" t="s">
        <v>375</v>
      </c>
      <c r="N210" s="122" t="s">
        <v>375</v>
      </c>
      <c r="O210" s="124"/>
      <c r="P210" s="166"/>
      <c r="Q210" s="99" t="s">
        <v>394</v>
      </c>
      <c r="R210" s="98"/>
      <c r="S210" s="102" t="s">
        <v>375</v>
      </c>
      <c r="T210" s="101" t="s">
        <v>369</v>
      </c>
      <c r="U210" s="101" t="s">
        <v>375</v>
      </c>
      <c r="V210" s="102" t="s">
        <v>375</v>
      </c>
      <c r="W210" s="102" t="s">
        <v>375</v>
      </c>
      <c r="X210" s="102"/>
      <c r="Y210" s="101"/>
      <c r="Z210" s="101"/>
      <c r="AA210" s="102"/>
      <c r="AB210" s="98"/>
      <c r="AC210" s="99"/>
      <c r="AD210" s="99"/>
      <c r="AE210" s="99"/>
      <c r="AF210" s="99"/>
      <c r="AG210" s="98"/>
      <c r="AH210" s="98"/>
      <c r="AI210" s="102"/>
      <c r="AJ210" s="102"/>
      <c r="AK210" s="101"/>
      <c r="AL210" s="101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</row>
    <row r="211" spans="1:48" ht="16.3">
      <c r="A211" s="611" t="s">
        <v>1</v>
      </c>
      <c r="B211" s="221">
        <f>SUM(J211+K211+L211+M211+N211+S211+V211+W211+X211+AA211+AI211+AJ211+AI211+AM211+AP211+AQ211+AS211+AT211+AU211+AV211+AN211)</f>
        <v>0</v>
      </c>
      <c r="C211" s="215">
        <f>B211</f>
        <v>0</v>
      </c>
      <c r="D211" s="133"/>
      <c r="E211" s="134"/>
      <c r="F211" s="135"/>
      <c r="G211" s="136"/>
      <c r="H211" s="96"/>
      <c r="I211" s="96"/>
      <c r="J211" s="128"/>
      <c r="K211" s="104"/>
      <c r="L211" s="75"/>
      <c r="M211" s="75"/>
      <c r="N211" s="75"/>
      <c r="O211" s="96"/>
      <c r="P211" s="163"/>
      <c r="Q211" s="109"/>
      <c r="R211" s="108"/>
      <c r="S211" s="100"/>
      <c r="T211" s="110">
        <v>1</v>
      </c>
      <c r="U211" s="110"/>
      <c r="V211" s="100"/>
      <c r="W211" s="100"/>
      <c r="X211" s="100"/>
      <c r="Y211" s="110"/>
      <c r="Z211" s="110"/>
      <c r="AA211" s="100"/>
      <c r="AB211" s="108"/>
      <c r="AC211" s="109"/>
      <c r="AD211" s="109"/>
      <c r="AE211" s="109"/>
      <c r="AF211" s="109"/>
      <c r="AG211" s="108"/>
      <c r="AH211" s="108"/>
      <c r="AI211" s="100"/>
      <c r="AJ211" s="100"/>
      <c r="AK211" s="110"/>
      <c r="AL211" s="110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100"/>
    </row>
    <row r="212" spans="1:48" ht="16.3">
      <c r="A212" s="611" t="s">
        <v>2</v>
      </c>
      <c r="B212" s="221">
        <f>SUM(J212+K212+L212+M212+N212+S212+V212+W212+X212+AA212+AI212+AJ212+AI212+AM212+AP212+AQ212+AS212+AT212+AU212+AV212)</f>
        <v>6</v>
      </c>
      <c r="C212" s="215">
        <f t="shared" ref="C212:C215" si="36">B212</f>
        <v>6</v>
      </c>
      <c r="D212" s="133"/>
      <c r="E212" s="134"/>
      <c r="F212" s="135"/>
      <c r="G212" s="136"/>
      <c r="H212" s="96"/>
      <c r="I212" s="96"/>
      <c r="J212" s="128"/>
      <c r="K212" s="104"/>
      <c r="L212" s="75">
        <v>1</v>
      </c>
      <c r="M212" s="75">
        <v>1</v>
      </c>
      <c r="N212" s="75">
        <v>1</v>
      </c>
      <c r="O212" s="96"/>
      <c r="P212" s="163"/>
      <c r="Q212" s="109"/>
      <c r="R212" s="108"/>
      <c r="S212" s="100">
        <v>1</v>
      </c>
      <c r="T212" s="110"/>
      <c r="U212" s="110">
        <v>1</v>
      </c>
      <c r="V212" s="100">
        <v>1</v>
      </c>
      <c r="W212" s="100">
        <v>1</v>
      </c>
      <c r="X212" s="100"/>
      <c r="Y212" s="110"/>
      <c r="Z212" s="110"/>
      <c r="AA212" s="100"/>
      <c r="AB212" s="108"/>
      <c r="AC212" s="109"/>
      <c r="AD212" s="109"/>
      <c r="AE212" s="109"/>
      <c r="AF212" s="109"/>
      <c r="AG212" s="108"/>
      <c r="AH212" s="108"/>
      <c r="AI212" s="100"/>
      <c r="AJ212" s="100"/>
      <c r="AK212" s="110"/>
      <c r="AL212" s="110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100"/>
    </row>
    <row r="213" spans="1:48" ht="16.3">
      <c r="A213" s="91" t="s">
        <v>363</v>
      </c>
      <c r="B213" s="219">
        <f>SUM(B211+B212)</f>
        <v>6</v>
      </c>
      <c r="C213" s="214">
        <f t="shared" si="36"/>
        <v>6</v>
      </c>
      <c r="D213" s="133"/>
      <c r="E213" s="134"/>
      <c r="F213" s="135"/>
      <c r="G213" s="136"/>
      <c r="H213" s="96"/>
      <c r="I213" s="96"/>
      <c r="J213" s="128"/>
      <c r="K213" s="104"/>
      <c r="L213" s="75"/>
      <c r="M213" s="75"/>
      <c r="N213" s="75"/>
      <c r="O213" s="96"/>
      <c r="P213" s="163"/>
      <c r="Q213" s="109"/>
      <c r="R213" s="108"/>
      <c r="S213" s="100"/>
      <c r="T213" s="110"/>
      <c r="U213" s="110"/>
      <c r="V213" s="100"/>
      <c r="W213" s="100"/>
      <c r="X213" s="100"/>
      <c r="Y213" s="110"/>
      <c r="Z213" s="110"/>
      <c r="AA213" s="100"/>
      <c r="AB213" s="108"/>
      <c r="AC213" s="109"/>
      <c r="AD213" s="109"/>
      <c r="AE213" s="109"/>
      <c r="AF213" s="109"/>
      <c r="AG213" s="108"/>
      <c r="AH213" s="108"/>
      <c r="AI213" s="100"/>
      <c r="AJ213" s="100"/>
      <c r="AK213" s="110"/>
      <c r="AL213" s="11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100"/>
    </row>
    <row r="214" spans="1:48" ht="16.3">
      <c r="A214" s="91" t="s">
        <v>3</v>
      </c>
      <c r="B214" s="219">
        <f>SUM(J214+K214+L214+M214+N214+S214+V214+W214+X214+AA214+AI214+AJ214+AI214+AM214+AP214+AQ214+AS214+AT214+AU214+AV214)</f>
        <v>0</v>
      </c>
      <c r="C214" s="214">
        <f t="shared" si="36"/>
        <v>0</v>
      </c>
      <c r="D214" s="133"/>
      <c r="E214" s="134"/>
      <c r="F214" s="135"/>
      <c r="G214" s="136"/>
      <c r="H214" s="96"/>
      <c r="I214" s="96"/>
      <c r="J214" s="128"/>
      <c r="K214" s="104"/>
      <c r="L214" s="75"/>
      <c r="M214" s="75"/>
      <c r="N214" s="75"/>
      <c r="O214" s="96"/>
      <c r="P214" s="163"/>
      <c r="Q214" s="109"/>
      <c r="R214" s="108"/>
      <c r="S214" s="100"/>
      <c r="T214" s="110"/>
      <c r="U214" s="110"/>
      <c r="V214" s="100"/>
      <c r="W214" s="100"/>
      <c r="X214" s="100"/>
      <c r="Y214" s="110"/>
      <c r="Z214" s="110"/>
      <c r="AA214" s="100"/>
      <c r="AB214" s="108"/>
      <c r="AC214" s="109"/>
      <c r="AD214" s="109"/>
      <c r="AE214" s="109"/>
      <c r="AF214" s="109"/>
      <c r="AG214" s="108"/>
      <c r="AH214" s="108"/>
      <c r="AI214" s="100"/>
      <c r="AJ214" s="100"/>
      <c r="AK214" s="110"/>
      <c r="AL214" s="110"/>
      <c r="AM214" s="100"/>
      <c r="AN214" s="100"/>
      <c r="AO214" s="100"/>
      <c r="AP214" s="100"/>
      <c r="AQ214" s="100"/>
      <c r="AR214" s="100"/>
      <c r="AS214" s="100"/>
      <c r="AT214" s="100"/>
      <c r="AU214" s="100"/>
      <c r="AV214" s="100"/>
    </row>
    <row r="215" spans="1:48" ht="17" thickBot="1">
      <c r="A215" s="92" t="s">
        <v>4</v>
      </c>
      <c r="B215" s="220">
        <f>SUM(J215+K215+L215+M215+N215+S215+V215+W215+X215+AA215+AI215+AJ215+AI215+AM215+AP215+AQ215+AS215+AT215+AU215+AV215)</f>
        <v>0</v>
      </c>
      <c r="C215" s="217">
        <f t="shared" si="36"/>
        <v>0</v>
      </c>
      <c r="D215" s="144"/>
      <c r="E215" s="145"/>
      <c r="F215" s="146"/>
      <c r="G215" s="147"/>
      <c r="H215" s="114"/>
      <c r="I215" s="114"/>
      <c r="J215" s="129"/>
      <c r="K215" s="113"/>
      <c r="L215" s="112"/>
      <c r="M215" s="112"/>
      <c r="N215" s="112"/>
      <c r="O215" s="114"/>
      <c r="P215" s="164"/>
      <c r="Q215" s="118"/>
      <c r="R215" s="117"/>
      <c r="S215" s="116"/>
      <c r="T215" s="120"/>
      <c r="U215" s="120"/>
      <c r="V215" s="116"/>
      <c r="W215" s="116"/>
      <c r="X215" s="116"/>
      <c r="Y215" s="120"/>
      <c r="Z215" s="120"/>
      <c r="AA215" s="116"/>
      <c r="AB215" s="117"/>
      <c r="AC215" s="118"/>
      <c r="AD215" s="118"/>
      <c r="AE215" s="118"/>
      <c r="AF215" s="118"/>
      <c r="AG215" s="117"/>
      <c r="AH215" s="117"/>
      <c r="AI215" s="116"/>
      <c r="AJ215" s="116"/>
      <c r="AK215" s="120"/>
      <c r="AL215" s="120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</row>
    <row r="216" spans="1:48" ht="21.1">
      <c r="A216" s="89" t="s">
        <v>202</v>
      </c>
      <c r="B216" s="219"/>
      <c r="C216" s="214"/>
      <c r="D216" s="133"/>
      <c r="E216" s="134"/>
      <c r="F216" s="135"/>
      <c r="G216" s="136"/>
      <c r="H216" s="96" t="s">
        <v>369</v>
      </c>
      <c r="I216" s="96" t="s">
        <v>369</v>
      </c>
      <c r="J216" s="128" t="s">
        <v>375</v>
      </c>
      <c r="K216" s="104"/>
      <c r="L216" s="75"/>
      <c r="M216" s="75"/>
      <c r="N216" s="75"/>
      <c r="O216" s="96"/>
      <c r="P216" s="163"/>
      <c r="Q216" s="109" t="s">
        <v>369</v>
      </c>
      <c r="R216" s="108"/>
      <c r="S216" s="100" t="s">
        <v>339</v>
      </c>
      <c r="T216" s="110" t="s">
        <v>339</v>
      </c>
      <c r="U216" s="110" t="s">
        <v>339</v>
      </c>
      <c r="V216" s="100" t="s">
        <v>339</v>
      </c>
      <c r="W216" s="100" t="s">
        <v>339</v>
      </c>
      <c r="X216" s="100" t="s">
        <v>339</v>
      </c>
      <c r="Y216" s="110" t="s">
        <v>339</v>
      </c>
      <c r="Z216" s="110" t="s">
        <v>339</v>
      </c>
      <c r="AA216" s="100" t="s">
        <v>339</v>
      </c>
      <c r="AB216" s="108"/>
      <c r="AC216" s="109" t="s">
        <v>339</v>
      </c>
      <c r="AD216" s="109" t="s">
        <v>339</v>
      </c>
      <c r="AE216" s="109" t="s">
        <v>339</v>
      </c>
      <c r="AF216" s="109"/>
      <c r="AG216" s="108"/>
      <c r="AH216" s="108"/>
      <c r="AI216" s="100"/>
      <c r="AJ216" s="100"/>
      <c r="AK216" s="110"/>
      <c r="AL216" s="11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</row>
    <row r="217" spans="1:48" ht="16.3">
      <c r="A217" s="585" t="s">
        <v>1</v>
      </c>
      <c r="B217" s="221">
        <f>SUM(J217+K217+L217+M217+N217+S217+V217+W217+X217+AA217+AI217+AJ217+AI217+AM217+AP217+AQ217+AS217+AT217+AU217+AV217+AN217)+5</f>
        <v>5</v>
      </c>
      <c r="C217" s="215">
        <f>B217</f>
        <v>5</v>
      </c>
      <c r="D217" s="133"/>
      <c r="E217" s="134"/>
      <c r="F217" s="135"/>
      <c r="G217" s="136"/>
      <c r="H217" s="96">
        <v>1</v>
      </c>
      <c r="I217" s="96">
        <v>1</v>
      </c>
      <c r="J217" s="128"/>
      <c r="K217" s="104"/>
      <c r="L217" s="75"/>
      <c r="M217" s="75"/>
      <c r="N217" s="75"/>
      <c r="O217" s="96"/>
      <c r="P217" s="163"/>
      <c r="Q217" s="109">
        <v>1</v>
      </c>
      <c r="R217" s="108"/>
      <c r="S217" s="100"/>
      <c r="T217" s="110"/>
      <c r="U217" s="110"/>
      <c r="V217" s="100"/>
      <c r="W217" s="100"/>
      <c r="X217" s="100"/>
      <c r="Y217" s="110"/>
      <c r="Z217" s="110"/>
      <c r="AA217" s="100"/>
      <c r="AB217" s="108"/>
      <c r="AC217" s="109"/>
      <c r="AD217" s="109"/>
      <c r="AE217" s="109"/>
      <c r="AF217" s="109"/>
      <c r="AG217" s="108"/>
      <c r="AH217" s="108"/>
      <c r="AI217" s="100"/>
      <c r="AJ217" s="100"/>
      <c r="AK217" s="110"/>
      <c r="AL217" s="110"/>
      <c r="AM217" s="100"/>
      <c r="AN217" s="100"/>
      <c r="AO217" s="100"/>
      <c r="AP217" s="100"/>
      <c r="AQ217" s="100"/>
      <c r="AR217" s="100"/>
      <c r="AS217" s="100"/>
      <c r="AT217" s="100"/>
      <c r="AU217" s="100"/>
      <c r="AV217" s="100"/>
    </row>
    <row r="218" spans="1:48" ht="16.3">
      <c r="A218" s="585" t="s">
        <v>2</v>
      </c>
      <c r="B218" s="221">
        <f>SUM(J218+K218+L218+M218+N218+S218+V218+W218+X218+AA218+AI218+AJ218+AI218+AM218+AP218+AQ218+AS218+AT218+AU218+AV218)+29</f>
        <v>30</v>
      </c>
      <c r="C218" s="215">
        <f t="shared" ref="C218:C221" si="37">B218</f>
        <v>30</v>
      </c>
      <c r="D218" s="133"/>
      <c r="E218" s="134"/>
      <c r="F218" s="135"/>
      <c r="G218" s="136"/>
      <c r="H218" s="96"/>
      <c r="I218" s="96"/>
      <c r="J218" s="128">
        <v>1</v>
      </c>
      <c r="K218" s="104"/>
      <c r="L218" s="75"/>
      <c r="M218" s="75"/>
      <c r="N218" s="75"/>
      <c r="O218" s="96"/>
      <c r="P218" s="163"/>
      <c r="Q218" s="109"/>
      <c r="R218" s="108"/>
      <c r="S218" s="100"/>
      <c r="T218" s="110"/>
      <c r="U218" s="110"/>
      <c r="V218" s="100"/>
      <c r="W218" s="100"/>
      <c r="X218" s="100"/>
      <c r="Y218" s="110"/>
      <c r="Z218" s="110"/>
      <c r="AA218" s="100"/>
      <c r="AB218" s="108"/>
      <c r="AC218" s="109"/>
      <c r="AD218" s="109"/>
      <c r="AE218" s="109"/>
      <c r="AF218" s="109"/>
      <c r="AG218" s="108"/>
      <c r="AH218" s="108"/>
      <c r="AI218" s="100"/>
      <c r="AJ218" s="100"/>
      <c r="AK218" s="110"/>
      <c r="AL218" s="110"/>
      <c r="AM218" s="100"/>
      <c r="AN218" s="100"/>
      <c r="AO218" s="100"/>
      <c r="AP218" s="100"/>
      <c r="AQ218" s="100"/>
      <c r="AR218" s="100"/>
      <c r="AS218" s="100"/>
      <c r="AT218" s="100"/>
      <c r="AU218" s="100"/>
      <c r="AV218" s="100"/>
    </row>
    <row r="219" spans="1:48" ht="16.3">
      <c r="A219" s="91" t="s">
        <v>363</v>
      </c>
      <c r="B219" s="219">
        <f>SUM(B217+B218)</f>
        <v>35</v>
      </c>
      <c r="C219" s="214">
        <f t="shared" si="37"/>
        <v>35</v>
      </c>
      <c r="D219" s="133"/>
      <c r="E219" s="134"/>
      <c r="F219" s="135"/>
      <c r="G219" s="136"/>
      <c r="H219" s="96"/>
      <c r="I219" s="96"/>
      <c r="J219" s="128"/>
      <c r="K219" s="104"/>
      <c r="L219" s="75"/>
      <c r="M219" s="75"/>
      <c r="N219" s="75"/>
      <c r="O219" s="96"/>
      <c r="P219" s="163"/>
      <c r="Q219" s="109"/>
      <c r="R219" s="108"/>
      <c r="S219" s="100"/>
      <c r="T219" s="110"/>
      <c r="U219" s="110"/>
      <c r="V219" s="100"/>
      <c r="W219" s="100"/>
      <c r="X219" s="100"/>
      <c r="Y219" s="110"/>
      <c r="Z219" s="110"/>
      <c r="AA219" s="100"/>
      <c r="AB219" s="108"/>
      <c r="AC219" s="109"/>
      <c r="AD219" s="109"/>
      <c r="AE219" s="109"/>
      <c r="AF219" s="109"/>
      <c r="AG219" s="108"/>
      <c r="AH219" s="108"/>
      <c r="AI219" s="100"/>
      <c r="AJ219" s="100"/>
      <c r="AK219" s="110"/>
      <c r="AL219" s="11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</row>
    <row r="220" spans="1:48" ht="16.3">
      <c r="A220" s="585" t="s">
        <v>362</v>
      </c>
      <c r="B220" s="221">
        <f>SUM(J220+K220+L220+M220+N220+S220+V220+W220+X220+AA220+AI220+AJ220+AI220+AM220+AP220+AQ220+AS220+AT220+AU220+AV220)+1</f>
        <v>1</v>
      </c>
      <c r="C220" s="215">
        <f t="shared" si="37"/>
        <v>1</v>
      </c>
      <c r="D220" s="133"/>
      <c r="E220" s="134"/>
      <c r="F220" s="135"/>
      <c r="G220" s="136"/>
      <c r="H220" s="96"/>
      <c r="I220" s="96"/>
      <c r="J220" s="128"/>
      <c r="K220" s="104"/>
      <c r="L220" s="75"/>
      <c r="M220" s="75"/>
      <c r="N220" s="75"/>
      <c r="O220" s="96"/>
      <c r="P220" s="163"/>
      <c r="Q220" s="109"/>
      <c r="R220" s="108"/>
      <c r="S220" s="100"/>
      <c r="T220" s="110"/>
      <c r="U220" s="110"/>
      <c r="V220" s="100"/>
      <c r="W220" s="100"/>
      <c r="X220" s="100"/>
      <c r="Y220" s="110"/>
      <c r="Z220" s="110"/>
      <c r="AA220" s="100"/>
      <c r="AB220" s="108"/>
      <c r="AC220" s="109"/>
      <c r="AD220" s="109"/>
      <c r="AE220" s="109"/>
      <c r="AF220" s="109"/>
      <c r="AG220" s="108"/>
      <c r="AH220" s="108"/>
      <c r="AI220" s="100"/>
      <c r="AJ220" s="100"/>
      <c r="AK220" s="110"/>
      <c r="AL220" s="11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</row>
    <row r="221" spans="1:48" ht="16.3">
      <c r="A221" s="91" t="s">
        <v>3</v>
      </c>
      <c r="B221" s="219">
        <f>SUM(J221+K221+L221+M221+N221+S221+V221+W221+X221+AA221+AI221+AJ221+AI221+AM221+AP221+AQ221+AS221+AT221+AU221+AV221)+1</f>
        <v>1</v>
      </c>
      <c r="C221" s="214">
        <f t="shared" si="37"/>
        <v>1</v>
      </c>
      <c r="D221" s="133"/>
      <c r="E221" s="134"/>
      <c r="F221" s="135"/>
      <c r="G221" s="136"/>
      <c r="H221" s="96"/>
      <c r="I221" s="96">
        <v>1</v>
      </c>
      <c r="J221" s="128"/>
      <c r="K221" s="104"/>
      <c r="L221" s="75"/>
      <c r="M221" s="75"/>
      <c r="N221" s="75"/>
      <c r="O221" s="96"/>
      <c r="P221" s="163"/>
      <c r="Q221" s="109"/>
      <c r="R221" s="108"/>
      <c r="S221" s="100"/>
      <c r="T221" s="110"/>
      <c r="U221" s="110"/>
      <c r="V221" s="100"/>
      <c r="W221" s="100"/>
      <c r="X221" s="100"/>
      <c r="Y221" s="110"/>
      <c r="Z221" s="110"/>
      <c r="AA221" s="100"/>
      <c r="AB221" s="108"/>
      <c r="AC221" s="109"/>
      <c r="AD221" s="109"/>
      <c r="AE221" s="109"/>
      <c r="AF221" s="109"/>
      <c r="AG221" s="108"/>
      <c r="AH221" s="108"/>
      <c r="AI221" s="100"/>
      <c r="AJ221" s="100"/>
      <c r="AK221" s="110"/>
      <c r="AL221" s="110"/>
      <c r="AM221" s="100"/>
      <c r="AN221" s="100"/>
      <c r="AO221" s="100"/>
      <c r="AP221" s="100"/>
      <c r="AQ221" s="100"/>
      <c r="AR221" s="100"/>
      <c r="AS221" s="100"/>
      <c r="AT221" s="100"/>
      <c r="AU221" s="100"/>
      <c r="AV221" s="100"/>
    </row>
    <row r="222" spans="1:48" ht="17" thickBot="1">
      <c r="A222" s="92" t="s">
        <v>4</v>
      </c>
      <c r="B222" s="220">
        <f>SUM(J222+K222+L222+M222+N222+S222+V222+W222+X222+AA222+AI222+AJ222+AI222+AM222+AP222+AQ222+AS222+AT222+AU222+AV222)+5</f>
        <v>5</v>
      </c>
      <c r="C222" s="217">
        <f t="shared" ref="C222" si="38">B222</f>
        <v>5</v>
      </c>
      <c r="D222" s="144"/>
      <c r="E222" s="145"/>
      <c r="F222" s="146"/>
      <c r="G222" s="147"/>
      <c r="H222" s="114"/>
      <c r="I222" s="114">
        <v>5</v>
      </c>
      <c r="J222" s="129"/>
      <c r="K222" s="113"/>
      <c r="L222" s="112"/>
      <c r="M222" s="112"/>
      <c r="N222" s="112"/>
      <c r="O222" s="114"/>
      <c r="P222" s="164"/>
      <c r="Q222" s="118"/>
      <c r="R222" s="117"/>
      <c r="S222" s="116"/>
      <c r="T222" s="120"/>
      <c r="U222" s="120"/>
      <c r="V222" s="116"/>
      <c r="W222" s="116"/>
      <c r="X222" s="116"/>
      <c r="Y222" s="120"/>
      <c r="Z222" s="120"/>
      <c r="AA222" s="116"/>
      <c r="AB222" s="117"/>
      <c r="AC222" s="118"/>
      <c r="AD222" s="118"/>
      <c r="AE222" s="118"/>
      <c r="AF222" s="118"/>
      <c r="AG222" s="117"/>
      <c r="AH222" s="117"/>
      <c r="AI222" s="116"/>
      <c r="AJ222" s="116"/>
      <c r="AK222" s="120"/>
      <c r="AL222" s="120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</row>
    <row r="223" spans="1:48" ht="21.1">
      <c r="A223" s="89" t="s">
        <v>596</v>
      </c>
      <c r="B223" s="219"/>
      <c r="C223" s="214"/>
      <c r="D223" s="133"/>
      <c r="E223" s="134"/>
      <c r="F223" s="135"/>
      <c r="G223" s="136"/>
      <c r="H223" s="96" t="s">
        <v>375</v>
      </c>
      <c r="I223" s="96" t="s">
        <v>375</v>
      </c>
      <c r="J223" s="128"/>
      <c r="K223" s="104"/>
      <c r="L223" s="75"/>
      <c r="M223" s="104"/>
      <c r="N223" s="75"/>
      <c r="O223" s="96"/>
      <c r="P223" s="163"/>
      <c r="Q223" s="109" t="s">
        <v>375</v>
      </c>
      <c r="R223" s="108"/>
      <c r="S223" s="100"/>
      <c r="T223" s="110"/>
      <c r="U223" s="110"/>
      <c r="V223" s="100"/>
      <c r="W223" s="100"/>
      <c r="X223" s="100"/>
      <c r="Y223" s="110"/>
      <c r="Z223" s="110"/>
      <c r="AA223" s="100"/>
      <c r="AB223" s="108"/>
      <c r="AC223" s="109" t="s">
        <v>441</v>
      </c>
      <c r="AD223" s="109" t="s">
        <v>375</v>
      </c>
      <c r="AE223" s="109" t="s">
        <v>339</v>
      </c>
      <c r="AF223" s="109"/>
      <c r="AG223" s="108"/>
      <c r="AH223" s="108"/>
      <c r="AI223" s="100"/>
      <c r="AJ223" s="100"/>
      <c r="AK223" s="110"/>
      <c r="AL223" s="11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</row>
    <row r="224" spans="1:48" ht="16.3">
      <c r="A224" s="585" t="s">
        <v>1</v>
      </c>
      <c r="B224" s="221">
        <f>SUM(J224+K224+L224+M224+N224+S224+V224+W224+X224+AA224+AI224+AJ224+AI224+AM224+AP224+AQ224+AS224+AT224+AU224+AV224+AN224)</f>
        <v>0</v>
      </c>
      <c r="C224" s="215">
        <f>B224</f>
        <v>0</v>
      </c>
      <c r="D224" s="133"/>
      <c r="E224" s="134"/>
      <c r="F224" s="135"/>
      <c r="G224" s="136"/>
      <c r="H224" s="96"/>
      <c r="I224" s="96"/>
      <c r="J224" s="128"/>
      <c r="K224" s="104"/>
      <c r="L224" s="75"/>
      <c r="M224" s="104"/>
      <c r="N224" s="75"/>
      <c r="O224" s="96"/>
      <c r="P224" s="163"/>
      <c r="Q224" s="109"/>
      <c r="R224" s="108"/>
      <c r="S224" s="100"/>
      <c r="T224" s="110"/>
      <c r="U224" s="110"/>
      <c r="V224" s="100"/>
      <c r="W224" s="100"/>
      <c r="X224" s="100"/>
      <c r="Y224" s="110"/>
      <c r="Z224" s="110"/>
      <c r="AA224" s="100"/>
      <c r="AB224" s="108"/>
      <c r="AC224" s="109"/>
      <c r="AD224" s="109"/>
      <c r="AE224" s="109"/>
      <c r="AF224" s="109"/>
      <c r="AG224" s="108"/>
      <c r="AH224" s="108"/>
      <c r="AI224" s="100"/>
      <c r="AJ224" s="100"/>
      <c r="AK224" s="110"/>
      <c r="AL224" s="110"/>
      <c r="AM224" s="100"/>
      <c r="AN224" s="100"/>
      <c r="AO224" s="100"/>
      <c r="AP224" s="100"/>
      <c r="AQ224" s="100"/>
      <c r="AR224" s="100"/>
      <c r="AS224" s="100"/>
      <c r="AT224" s="100"/>
      <c r="AU224" s="100"/>
      <c r="AV224" s="100"/>
    </row>
    <row r="225" spans="1:48" ht="16.3">
      <c r="A225" s="585" t="s">
        <v>2</v>
      </c>
      <c r="B225" s="221">
        <f>SUM(J225+K225+L225+M225+N225+S225+V225+W225+X225+AA225+AI225+AJ225+AI225+AM225+AP225+AQ225+AS225+AT225+AU225+AV225)</f>
        <v>0</v>
      </c>
      <c r="C225" s="215">
        <f t="shared" ref="C225:C229" si="39">B225</f>
        <v>0</v>
      </c>
      <c r="D225" s="133"/>
      <c r="E225" s="134"/>
      <c r="F225" s="135"/>
      <c r="G225" s="136"/>
      <c r="H225" s="96">
        <v>1</v>
      </c>
      <c r="I225" s="96">
        <v>1</v>
      </c>
      <c r="J225" s="128"/>
      <c r="K225" s="104"/>
      <c r="L225" s="75"/>
      <c r="M225" s="104"/>
      <c r="N225" s="75"/>
      <c r="O225" s="96"/>
      <c r="P225" s="163"/>
      <c r="Q225" s="109">
        <v>1</v>
      </c>
      <c r="R225" s="108"/>
      <c r="S225" s="100"/>
      <c r="T225" s="110"/>
      <c r="U225" s="110"/>
      <c r="V225" s="100"/>
      <c r="W225" s="100"/>
      <c r="X225" s="100"/>
      <c r="Y225" s="110"/>
      <c r="Z225" s="110"/>
      <c r="AA225" s="100"/>
      <c r="AB225" s="108"/>
      <c r="AC225" s="109">
        <v>1</v>
      </c>
      <c r="AD225" s="109">
        <v>1</v>
      </c>
      <c r="AE225" s="109"/>
      <c r="AF225" s="109"/>
      <c r="AG225" s="108"/>
      <c r="AH225" s="108"/>
      <c r="AI225" s="100"/>
      <c r="AJ225" s="100"/>
      <c r="AK225" s="110"/>
      <c r="AL225" s="110"/>
      <c r="AM225" s="100"/>
      <c r="AN225" s="100"/>
      <c r="AO225" s="100"/>
      <c r="AP225" s="100"/>
      <c r="AQ225" s="100"/>
      <c r="AR225" s="100"/>
      <c r="AS225" s="100"/>
      <c r="AT225" s="100"/>
      <c r="AU225" s="100"/>
      <c r="AV225" s="100"/>
    </row>
    <row r="226" spans="1:48" ht="16.3">
      <c r="A226" s="91" t="s">
        <v>363</v>
      </c>
      <c r="B226" s="219">
        <f>SUM(B224+B225)</f>
        <v>0</v>
      </c>
      <c r="C226" s="214">
        <f t="shared" si="39"/>
        <v>0</v>
      </c>
      <c r="D226" s="133"/>
      <c r="E226" s="134"/>
      <c r="F226" s="135"/>
      <c r="G226" s="136"/>
      <c r="H226" s="96"/>
      <c r="I226" s="96"/>
      <c r="J226" s="128"/>
      <c r="K226" s="104"/>
      <c r="L226" s="75"/>
      <c r="M226" s="104"/>
      <c r="N226" s="75"/>
      <c r="O226" s="96"/>
      <c r="P226" s="163"/>
      <c r="Q226" s="109"/>
      <c r="R226" s="108"/>
      <c r="S226" s="100"/>
      <c r="T226" s="110"/>
      <c r="U226" s="110"/>
      <c r="V226" s="100"/>
      <c r="W226" s="100"/>
      <c r="X226" s="100"/>
      <c r="Y226" s="110"/>
      <c r="Z226" s="110"/>
      <c r="AA226" s="100"/>
      <c r="AB226" s="108"/>
      <c r="AC226" s="109"/>
      <c r="AD226" s="109"/>
      <c r="AE226" s="109"/>
      <c r="AF226" s="109"/>
      <c r="AG226" s="108"/>
      <c r="AH226" s="108"/>
      <c r="AI226" s="100"/>
      <c r="AJ226" s="100"/>
      <c r="AK226" s="110"/>
      <c r="AL226" s="110"/>
      <c r="AM226" s="100"/>
      <c r="AN226" s="100"/>
      <c r="AO226" s="100"/>
      <c r="AP226" s="100"/>
      <c r="AQ226" s="100"/>
      <c r="AR226" s="100"/>
      <c r="AS226" s="100"/>
      <c r="AT226" s="100"/>
      <c r="AU226" s="100"/>
      <c r="AV226" s="100"/>
    </row>
    <row r="227" spans="1:48" ht="16.3">
      <c r="A227" s="91" t="s">
        <v>362</v>
      </c>
      <c r="B227" s="221">
        <f>SUM(J227+K227+L227+M227+N227+S227+V227+W227+X227+AA227+AI227+AJ227+AI227+AM227+AP227+AQ227+AS227+AT227+AU227+AV227+AN227)</f>
        <v>0</v>
      </c>
      <c r="C227" s="215">
        <f>B227</f>
        <v>0</v>
      </c>
      <c r="D227" s="133"/>
      <c r="E227" s="134"/>
      <c r="F227" s="135"/>
      <c r="G227" s="136"/>
      <c r="H227" s="96"/>
      <c r="I227" s="96"/>
      <c r="J227" s="128"/>
      <c r="K227" s="104"/>
      <c r="L227" s="75"/>
      <c r="M227" s="104"/>
      <c r="N227" s="75"/>
      <c r="O227" s="96"/>
      <c r="P227" s="163"/>
      <c r="Q227" s="109"/>
      <c r="R227" s="108"/>
      <c r="S227" s="100"/>
      <c r="T227" s="110"/>
      <c r="U227" s="110"/>
      <c r="V227" s="100"/>
      <c r="W227" s="100"/>
      <c r="X227" s="100"/>
      <c r="Y227" s="110"/>
      <c r="Z227" s="110"/>
      <c r="AA227" s="100"/>
      <c r="AB227" s="108"/>
      <c r="AC227" s="109">
        <v>1</v>
      </c>
      <c r="AD227" s="109"/>
      <c r="AE227" s="109"/>
      <c r="AF227" s="109"/>
      <c r="AG227" s="108"/>
      <c r="AH227" s="108"/>
      <c r="AI227" s="100"/>
      <c r="AJ227" s="100"/>
      <c r="AK227" s="110"/>
      <c r="AL227" s="11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</row>
    <row r="228" spans="1:48" ht="16.3">
      <c r="A228" s="91" t="s">
        <v>3</v>
      </c>
      <c r="B228" s="219">
        <f>SUM(J228+K228+L228+M228+N228+S228+V228+W228+X228+AA228+AI228+AJ228+AI228+AM228+AP228+AQ228+AS228+AT228+AU228+AV228)</f>
        <v>0</v>
      </c>
      <c r="C228" s="214">
        <f t="shared" si="39"/>
        <v>0</v>
      </c>
      <c r="D228" s="133"/>
      <c r="E228" s="134"/>
      <c r="F228" s="135"/>
      <c r="G228" s="136"/>
      <c r="H228" s="96"/>
      <c r="I228" s="96"/>
      <c r="J228" s="128"/>
      <c r="K228" s="104"/>
      <c r="L228" s="75"/>
      <c r="M228" s="104"/>
      <c r="N228" s="75"/>
      <c r="O228" s="96"/>
      <c r="P228" s="163"/>
      <c r="Q228" s="109"/>
      <c r="R228" s="108"/>
      <c r="S228" s="100"/>
      <c r="T228" s="110"/>
      <c r="U228" s="110"/>
      <c r="V228" s="100"/>
      <c r="W228" s="100"/>
      <c r="X228" s="100"/>
      <c r="Y228" s="110"/>
      <c r="Z228" s="110"/>
      <c r="AA228" s="100"/>
      <c r="AB228" s="108"/>
      <c r="AC228" s="109"/>
      <c r="AD228" s="109"/>
      <c r="AE228" s="109"/>
      <c r="AF228" s="109"/>
      <c r="AG228" s="108"/>
      <c r="AH228" s="108"/>
      <c r="AI228" s="100"/>
      <c r="AJ228" s="100"/>
      <c r="AK228" s="110"/>
      <c r="AL228" s="11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</row>
    <row r="229" spans="1:48" ht="17" thickBot="1">
      <c r="A229" s="92" t="s">
        <v>4</v>
      </c>
      <c r="B229" s="220">
        <f>SUM(J229+K229+L229+M229+N229+S229+V229+W229+X229+AA229+AI229+AJ229+AI229+AM229+AP229+AQ229+AS229+AT229+AU229+AV229)</f>
        <v>0</v>
      </c>
      <c r="C229" s="217">
        <f t="shared" si="39"/>
        <v>0</v>
      </c>
      <c r="D229" s="144"/>
      <c r="E229" s="145"/>
      <c r="F229" s="146"/>
      <c r="G229" s="147"/>
      <c r="H229" s="114"/>
      <c r="I229" s="114"/>
      <c r="J229" s="129"/>
      <c r="K229" s="113"/>
      <c r="L229" s="112"/>
      <c r="M229" s="113"/>
      <c r="N229" s="112"/>
      <c r="O229" s="114"/>
      <c r="P229" s="164"/>
      <c r="Q229" s="118"/>
      <c r="R229" s="117"/>
      <c r="S229" s="116"/>
      <c r="T229" s="120"/>
      <c r="U229" s="120"/>
      <c r="V229" s="116"/>
      <c r="W229" s="116"/>
      <c r="X229" s="116"/>
      <c r="Y229" s="120"/>
      <c r="Z229" s="120"/>
      <c r="AA229" s="116"/>
      <c r="AB229" s="117"/>
      <c r="AC229" s="118"/>
      <c r="AD229" s="118"/>
      <c r="AE229" s="118"/>
      <c r="AF229" s="118"/>
      <c r="AG229" s="117"/>
      <c r="AH229" s="117"/>
      <c r="AI229" s="116"/>
      <c r="AJ229" s="116"/>
      <c r="AK229" s="120"/>
      <c r="AL229" s="120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</row>
    <row r="230" spans="1:48" ht="21.1">
      <c r="A230" s="89" t="s">
        <v>266</v>
      </c>
      <c r="B230" s="219"/>
      <c r="C230" s="214"/>
      <c r="D230" s="133"/>
      <c r="E230" s="134"/>
      <c r="F230" s="135"/>
      <c r="G230" s="136"/>
      <c r="H230" s="96"/>
      <c r="I230" s="96"/>
      <c r="J230" s="75"/>
      <c r="K230" s="128" t="s">
        <v>375</v>
      </c>
      <c r="L230" s="75"/>
      <c r="M230" s="104"/>
      <c r="N230" s="75"/>
      <c r="O230" s="96" t="s">
        <v>369</v>
      </c>
      <c r="P230" s="163"/>
      <c r="Q230" s="109" t="s">
        <v>339</v>
      </c>
      <c r="R230" s="108"/>
      <c r="S230" s="100" t="s">
        <v>339</v>
      </c>
      <c r="T230" s="110" t="s">
        <v>339</v>
      </c>
      <c r="U230" s="110" t="s">
        <v>339</v>
      </c>
      <c r="V230" s="100" t="s">
        <v>339</v>
      </c>
      <c r="W230" s="100" t="s">
        <v>339</v>
      </c>
      <c r="X230" s="100" t="s">
        <v>375</v>
      </c>
      <c r="Y230" s="110" t="s">
        <v>369</v>
      </c>
      <c r="Z230" s="110" t="s">
        <v>369</v>
      </c>
      <c r="AA230" s="100" t="s">
        <v>369</v>
      </c>
      <c r="AB230" s="108"/>
      <c r="AC230" s="109"/>
      <c r="AD230" s="109"/>
      <c r="AE230" s="109"/>
      <c r="AF230" s="109" t="s">
        <v>375</v>
      </c>
      <c r="AG230" s="108"/>
      <c r="AH230" s="108"/>
      <c r="AI230" s="100"/>
      <c r="AJ230" s="100"/>
      <c r="AK230" s="110"/>
      <c r="AL230" s="11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100"/>
    </row>
    <row r="231" spans="1:48" ht="16.3">
      <c r="A231" s="611" t="s">
        <v>1</v>
      </c>
      <c r="B231" s="221">
        <f>SUM(J231+K231+L231+M231+N231+S231+V231+W231+X231+AA231+AI231+AJ231+AI231+AM231+AP231+AQ231+AS231+AT231+AU231+AV231+AN231)+26</f>
        <v>27</v>
      </c>
      <c r="C231" s="215">
        <f>SUM(K231+L231+M231+N231+J231+S231+W231+X231+V231+AA231+AJ231+AI231+AJ231+AM231+AN231+AQ231+AP231+AT231+AU231+AV231+AS231+AO231)+27</f>
        <v>28</v>
      </c>
      <c r="D231" s="133"/>
      <c r="E231" s="134"/>
      <c r="F231" s="135"/>
      <c r="G231" s="136"/>
      <c r="H231" s="96"/>
      <c r="I231" s="96"/>
      <c r="J231" s="75"/>
      <c r="K231" s="128"/>
      <c r="L231" s="75"/>
      <c r="M231" s="128"/>
      <c r="N231" s="75"/>
      <c r="O231" s="96">
        <v>1</v>
      </c>
      <c r="P231" s="163"/>
      <c r="Q231" s="109"/>
      <c r="R231" s="108"/>
      <c r="S231" s="100"/>
      <c r="T231" s="110"/>
      <c r="U231" s="110"/>
      <c r="V231" s="100"/>
      <c r="W231" s="100"/>
      <c r="X231" s="100"/>
      <c r="Y231" s="110">
        <v>1</v>
      </c>
      <c r="Z231" s="110">
        <v>1</v>
      </c>
      <c r="AA231" s="100">
        <v>1</v>
      </c>
      <c r="AB231" s="108"/>
      <c r="AC231" s="109"/>
      <c r="AD231" s="109"/>
      <c r="AE231" s="109"/>
      <c r="AF231" s="109"/>
      <c r="AG231" s="108"/>
      <c r="AH231" s="108"/>
      <c r="AI231" s="100"/>
      <c r="AJ231" s="100"/>
      <c r="AK231" s="110"/>
      <c r="AL231" s="11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</row>
    <row r="232" spans="1:48" ht="16.3">
      <c r="A232" s="611" t="s">
        <v>2</v>
      </c>
      <c r="B232" s="221">
        <f>SUM(J232+K232+L232+M232+N232+S232+V232+W232+X232+AA232+AI232+AJ232+AI232+AM232+AP232+AQ232+AS232+AT232+AU232+AV232)+58</f>
        <v>60</v>
      </c>
      <c r="C232" s="215">
        <f>SUM(K232+L232+M232+N232+J232+S232+W232+X232+V232+AA232+AJ232+AI232+AJ232+AM232+AN232+AQ232+AP232+AT232+AU232+AV232+AS232+AO232)+66</f>
        <v>68</v>
      </c>
      <c r="D232" s="133"/>
      <c r="E232" s="134"/>
      <c r="F232" s="135"/>
      <c r="G232" s="136"/>
      <c r="H232" s="96"/>
      <c r="I232" s="96"/>
      <c r="J232" s="75"/>
      <c r="K232" s="128">
        <v>1</v>
      </c>
      <c r="L232" s="75"/>
      <c r="M232" s="128"/>
      <c r="N232" s="75"/>
      <c r="O232" s="96"/>
      <c r="P232" s="105"/>
      <c r="Q232" s="109"/>
      <c r="R232" s="108"/>
      <c r="S232" s="100"/>
      <c r="T232" s="110"/>
      <c r="U232" s="110"/>
      <c r="V232" s="100"/>
      <c r="W232" s="100"/>
      <c r="X232" s="100">
        <v>1</v>
      </c>
      <c r="Y232" s="110"/>
      <c r="Z232" s="110"/>
      <c r="AA232" s="100"/>
      <c r="AB232" s="108"/>
      <c r="AC232" s="109"/>
      <c r="AD232" s="109"/>
      <c r="AE232" s="109"/>
      <c r="AF232" s="109">
        <v>1</v>
      </c>
      <c r="AG232" s="108"/>
      <c r="AH232" s="108"/>
      <c r="AI232" s="100"/>
      <c r="AJ232" s="100"/>
      <c r="AK232" s="110"/>
      <c r="AL232" s="11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</row>
    <row r="233" spans="1:48" ht="16.3">
      <c r="A233" s="91" t="s">
        <v>363</v>
      </c>
      <c r="B233" s="219">
        <f>SUM(B231+B232)</f>
        <v>87</v>
      </c>
      <c r="C233" s="214">
        <f>SUM(C231+C232)</f>
        <v>96</v>
      </c>
      <c r="D233" s="133"/>
      <c r="E233" s="134"/>
      <c r="F233" s="135"/>
      <c r="G233" s="136"/>
      <c r="H233" s="96"/>
      <c r="I233" s="96"/>
      <c r="J233" s="75"/>
      <c r="K233" s="128"/>
      <c r="L233" s="75"/>
      <c r="M233" s="128"/>
      <c r="N233" s="75"/>
      <c r="O233" s="96"/>
      <c r="P233" s="163"/>
      <c r="Q233" s="109"/>
      <c r="R233" s="108"/>
      <c r="S233" s="100"/>
      <c r="T233" s="110"/>
      <c r="U233" s="110"/>
      <c r="V233" s="100"/>
      <c r="W233" s="100"/>
      <c r="X233" s="100"/>
      <c r="Y233" s="110"/>
      <c r="Z233" s="110"/>
      <c r="AA233" s="100"/>
      <c r="AB233" s="108"/>
      <c r="AC233" s="109"/>
      <c r="AD233" s="109"/>
      <c r="AE233" s="109"/>
      <c r="AF233" s="109"/>
      <c r="AG233" s="108"/>
      <c r="AH233" s="108"/>
      <c r="AI233" s="100"/>
      <c r="AJ233" s="100"/>
      <c r="AK233" s="110"/>
      <c r="AL233" s="11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</row>
    <row r="234" spans="1:48" ht="16.3">
      <c r="A234" s="611" t="s">
        <v>362</v>
      </c>
      <c r="B234" s="221">
        <f>SUM(J234+K234+L234+M234+N234+S234+V234+W234+X234+AA234+AI234+AJ234+AI234+AM234+AP234+AQ234+AS234+AT234+AU234+AV234)+2</f>
        <v>2</v>
      </c>
      <c r="C234" s="215">
        <f>SUM(K234+L234+M234+N234+J234+S234+W234+X234+V234+AA234+AJ234+AI234+AJ234+AM234+AN234+AQ234+AP234+AT234+AU234+AV234+AS234+AO234)+2</f>
        <v>2</v>
      </c>
      <c r="D234" s="133"/>
      <c r="E234" s="134"/>
      <c r="F234" s="135"/>
      <c r="G234" s="136"/>
      <c r="H234" s="96"/>
      <c r="I234" s="96"/>
      <c r="J234" s="75"/>
      <c r="K234" s="128"/>
      <c r="L234" s="75"/>
      <c r="M234" s="128"/>
      <c r="N234" s="75"/>
      <c r="O234" s="96"/>
      <c r="P234" s="163"/>
      <c r="Q234" s="109"/>
      <c r="R234" s="108"/>
      <c r="S234" s="100"/>
      <c r="T234" s="110"/>
      <c r="U234" s="110"/>
      <c r="V234" s="100"/>
      <c r="W234" s="100"/>
      <c r="X234" s="100"/>
      <c r="Y234" s="110"/>
      <c r="Z234" s="110"/>
      <c r="AA234" s="100"/>
      <c r="AB234" s="108"/>
      <c r="AC234" s="109"/>
      <c r="AD234" s="109"/>
      <c r="AE234" s="109"/>
      <c r="AF234" s="109"/>
      <c r="AG234" s="108"/>
      <c r="AH234" s="108"/>
      <c r="AI234" s="100"/>
      <c r="AJ234" s="100"/>
      <c r="AK234" s="110"/>
      <c r="AL234" s="110"/>
      <c r="AM234" s="100"/>
      <c r="AN234" s="100"/>
      <c r="AO234" s="100"/>
      <c r="AP234" s="100"/>
      <c r="AQ234" s="100"/>
      <c r="AR234" s="100"/>
      <c r="AS234" s="100"/>
      <c r="AT234" s="100"/>
      <c r="AU234" s="100"/>
      <c r="AV234" s="100"/>
    </row>
    <row r="235" spans="1:48" ht="16.3">
      <c r="A235" s="91" t="s">
        <v>3</v>
      </c>
      <c r="B235" s="219">
        <f>SUM(J235+K235+L235+M235+N235+S235+V235+W235+X235+AA235+AI235+AJ235+AI235+AM235+AP235+AQ235+AS235+AT235+AU235+AV235)</f>
        <v>0</v>
      </c>
      <c r="C235" s="214">
        <f>SUM(K235+L235+M235+N235+J235+S235+W235+X235+V235+AA235+AJ235+AI235+AJ235+AM235+AN235+AQ235+AP235+AT235+AU235+AV235+AS235+AO235)</f>
        <v>0</v>
      </c>
      <c r="D235" s="133"/>
      <c r="E235" s="134"/>
      <c r="F235" s="135"/>
      <c r="G235" s="136"/>
      <c r="H235" s="96"/>
      <c r="I235" s="96"/>
      <c r="J235" s="75"/>
      <c r="K235" s="128"/>
      <c r="L235" s="75"/>
      <c r="M235" s="128"/>
      <c r="N235" s="75"/>
      <c r="O235" s="96"/>
      <c r="P235" s="163"/>
      <c r="Q235" s="109"/>
      <c r="R235" s="108"/>
      <c r="S235" s="100"/>
      <c r="T235" s="110"/>
      <c r="U235" s="110"/>
      <c r="V235" s="100"/>
      <c r="W235" s="100"/>
      <c r="X235" s="100"/>
      <c r="Y235" s="110"/>
      <c r="Z235" s="110"/>
      <c r="AA235" s="100"/>
      <c r="AB235" s="108"/>
      <c r="AC235" s="109"/>
      <c r="AD235" s="109"/>
      <c r="AE235" s="109"/>
      <c r="AF235" s="109"/>
      <c r="AG235" s="108"/>
      <c r="AH235" s="108"/>
      <c r="AI235" s="100"/>
      <c r="AJ235" s="100"/>
      <c r="AK235" s="110"/>
      <c r="AL235" s="11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</row>
    <row r="236" spans="1:48" ht="17" thickBot="1">
      <c r="A236" s="92" t="s">
        <v>4</v>
      </c>
      <c r="B236" s="220">
        <f>SUM(J236+K236+L236+M236+N236+S236+V236+W236+X236+AA236+AI236+AJ236+AI236+AM236+AP236+AQ236+AS236+AT236+AU236+AV236)</f>
        <v>0</v>
      </c>
      <c r="C236" s="217">
        <f>SUM(K236+L236+M236+N236+J236+S236+W236+X236+V236+AA236+AJ236+AI236+AJ236+AM236+AN236+AQ236+AP236+AT236+AU236+AV236+AS236+AO236)</f>
        <v>0</v>
      </c>
      <c r="D236" s="144"/>
      <c r="E236" s="145"/>
      <c r="F236" s="146"/>
      <c r="G236" s="147"/>
      <c r="H236" s="114"/>
      <c r="I236" s="114"/>
      <c r="J236" s="112"/>
      <c r="K236" s="129"/>
      <c r="L236" s="112"/>
      <c r="M236" s="129"/>
      <c r="N236" s="112"/>
      <c r="O236" s="114"/>
      <c r="P236" s="164"/>
      <c r="Q236" s="118"/>
      <c r="R236" s="117"/>
      <c r="S236" s="116"/>
      <c r="T236" s="120"/>
      <c r="U236" s="120"/>
      <c r="V236" s="116"/>
      <c r="W236" s="116"/>
      <c r="X236" s="116"/>
      <c r="Y236" s="120"/>
      <c r="Z236" s="120"/>
      <c r="AA236" s="116"/>
      <c r="AB236" s="117"/>
      <c r="AC236" s="118"/>
      <c r="AD236" s="118"/>
      <c r="AE236" s="118"/>
      <c r="AF236" s="118"/>
      <c r="AG236" s="117"/>
      <c r="AH236" s="117"/>
      <c r="AI236" s="116"/>
      <c r="AJ236" s="116"/>
      <c r="AK236" s="120"/>
      <c r="AL236" s="120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</row>
    <row r="237" spans="1:48" ht="21.1">
      <c r="A237" s="89" t="s">
        <v>751</v>
      </c>
      <c r="B237" s="219"/>
      <c r="C237" s="214"/>
      <c r="D237" s="133"/>
      <c r="E237" s="134"/>
      <c r="F237" s="135"/>
      <c r="G237" s="136"/>
      <c r="H237" s="96" t="s">
        <v>339</v>
      </c>
      <c r="I237" s="96" t="s">
        <v>339</v>
      </c>
      <c r="J237" s="128" t="s">
        <v>339</v>
      </c>
      <c r="K237" s="104" t="s">
        <v>339</v>
      </c>
      <c r="L237" s="75" t="s">
        <v>339</v>
      </c>
      <c r="M237" s="75" t="s">
        <v>339</v>
      </c>
      <c r="N237" s="75" t="s">
        <v>339</v>
      </c>
      <c r="O237" s="96" t="s">
        <v>339</v>
      </c>
      <c r="P237" s="163"/>
      <c r="Q237" s="109" t="s">
        <v>339</v>
      </c>
      <c r="R237" s="108"/>
      <c r="S237" s="100" t="s">
        <v>339</v>
      </c>
      <c r="T237" s="110" t="s">
        <v>339</v>
      </c>
      <c r="U237" s="110" t="s">
        <v>339</v>
      </c>
      <c r="V237" s="100" t="s">
        <v>339</v>
      </c>
      <c r="W237" s="100" t="s">
        <v>339</v>
      </c>
      <c r="X237" s="100" t="s">
        <v>339</v>
      </c>
      <c r="Y237" s="110" t="s">
        <v>339</v>
      </c>
      <c r="Z237" s="110" t="s">
        <v>339</v>
      </c>
      <c r="AA237" s="100" t="s">
        <v>339</v>
      </c>
      <c r="AB237" s="108"/>
      <c r="AC237" s="109" t="s">
        <v>369</v>
      </c>
      <c r="AD237" s="109" t="s">
        <v>369</v>
      </c>
      <c r="AE237" s="109" t="s">
        <v>339</v>
      </c>
      <c r="AF237" s="109"/>
      <c r="AG237" s="108"/>
      <c r="AH237" s="108"/>
      <c r="AI237" s="100"/>
      <c r="AJ237" s="100"/>
      <c r="AK237" s="110"/>
      <c r="AL237" s="110"/>
      <c r="AM237" s="100"/>
      <c r="AN237" s="100"/>
      <c r="AO237" s="100"/>
      <c r="AP237" s="100"/>
      <c r="AQ237" s="100"/>
      <c r="AR237" s="100"/>
      <c r="AS237" s="100"/>
      <c r="AT237" s="100"/>
      <c r="AU237" s="100"/>
      <c r="AV237" s="100"/>
    </row>
    <row r="238" spans="1:48" ht="16.3">
      <c r="A238" s="585" t="s">
        <v>1</v>
      </c>
      <c r="B238" s="221">
        <f>SUM(J238+K238+L238+M238+N238+S238+V238+W238+X238+AA238+AI238+AJ238+AI238+AM238+AP238+AQ238+AS238+AT238+AU238+AV238+AN238)</f>
        <v>0</v>
      </c>
      <c r="C238" s="215">
        <f>B238</f>
        <v>0</v>
      </c>
      <c r="D238" s="133"/>
      <c r="E238" s="134"/>
      <c r="F238" s="135"/>
      <c r="G238" s="136"/>
      <c r="H238" s="96"/>
      <c r="I238" s="96"/>
      <c r="J238" s="128"/>
      <c r="K238" s="104"/>
      <c r="L238" s="75"/>
      <c r="M238" s="75"/>
      <c r="N238" s="75"/>
      <c r="O238" s="96"/>
      <c r="P238" s="163"/>
      <c r="Q238" s="109"/>
      <c r="R238" s="108"/>
      <c r="S238" s="100"/>
      <c r="T238" s="110"/>
      <c r="U238" s="110"/>
      <c r="V238" s="100"/>
      <c r="W238" s="100"/>
      <c r="X238" s="100"/>
      <c r="Y238" s="110"/>
      <c r="Z238" s="110"/>
      <c r="AA238" s="100"/>
      <c r="AB238" s="108"/>
      <c r="AC238" s="109">
        <v>1</v>
      </c>
      <c r="AD238" s="109">
        <v>1</v>
      </c>
      <c r="AE238" s="109"/>
      <c r="AF238" s="109"/>
      <c r="AG238" s="108"/>
      <c r="AH238" s="108"/>
      <c r="AI238" s="100"/>
      <c r="AJ238" s="100"/>
      <c r="AK238" s="110"/>
      <c r="AL238" s="110"/>
      <c r="AM238" s="100"/>
      <c r="AN238" s="100"/>
      <c r="AO238" s="100"/>
      <c r="AP238" s="100"/>
      <c r="AQ238" s="100"/>
      <c r="AR238" s="100"/>
      <c r="AS238" s="100"/>
      <c r="AT238" s="100"/>
      <c r="AU238" s="100"/>
      <c r="AV238" s="100"/>
    </row>
    <row r="239" spans="1:48" ht="16.3">
      <c r="A239" s="585" t="s">
        <v>2</v>
      </c>
      <c r="B239" s="221">
        <f>SUM(J239+K239+L239+M239+N239+S239+V239+W239+X239+AA239+AI239+AJ239+AI239+AM239+AP239+AQ239+AS239+AT239+AU239+AV239)</f>
        <v>0</v>
      </c>
      <c r="C239" s="215">
        <f t="shared" ref="C239:C242" si="40">B239</f>
        <v>0</v>
      </c>
      <c r="D239" s="133"/>
      <c r="E239" s="134"/>
      <c r="F239" s="135"/>
      <c r="G239" s="136"/>
      <c r="H239" s="96"/>
      <c r="I239" s="96"/>
      <c r="J239" s="128"/>
      <c r="K239" s="104"/>
      <c r="L239" s="75"/>
      <c r="M239" s="75"/>
      <c r="N239" s="75"/>
      <c r="O239" s="96"/>
      <c r="P239" s="163"/>
      <c r="Q239" s="109"/>
      <c r="R239" s="108"/>
      <c r="S239" s="100"/>
      <c r="T239" s="110"/>
      <c r="U239" s="110"/>
      <c r="V239" s="100"/>
      <c r="W239" s="100"/>
      <c r="X239" s="100"/>
      <c r="Y239" s="110"/>
      <c r="Z239" s="110"/>
      <c r="AA239" s="100"/>
      <c r="AB239" s="108"/>
      <c r="AC239" s="109"/>
      <c r="AD239" s="109"/>
      <c r="AE239" s="109"/>
      <c r="AF239" s="109"/>
      <c r="AG239" s="108"/>
      <c r="AH239" s="108"/>
      <c r="AI239" s="100"/>
      <c r="AJ239" s="100"/>
      <c r="AK239" s="110"/>
      <c r="AL239" s="110"/>
      <c r="AM239" s="100"/>
      <c r="AN239" s="100"/>
      <c r="AO239" s="100"/>
      <c r="AP239" s="100"/>
      <c r="AQ239" s="100"/>
      <c r="AR239" s="100"/>
      <c r="AS239" s="100"/>
      <c r="AT239" s="100"/>
      <c r="AU239" s="100"/>
      <c r="AV239" s="100"/>
    </row>
    <row r="240" spans="1:48" ht="16.3">
      <c r="A240" s="91" t="s">
        <v>363</v>
      </c>
      <c r="B240" s="219">
        <f>SUM(B238+B239)</f>
        <v>0</v>
      </c>
      <c r="C240" s="214">
        <f t="shared" si="40"/>
        <v>0</v>
      </c>
      <c r="D240" s="133"/>
      <c r="E240" s="134"/>
      <c r="F240" s="135"/>
      <c r="G240" s="136"/>
      <c r="H240" s="96"/>
      <c r="I240" s="96"/>
      <c r="J240" s="128"/>
      <c r="K240" s="104"/>
      <c r="L240" s="75"/>
      <c r="M240" s="75"/>
      <c r="N240" s="75"/>
      <c r="O240" s="96"/>
      <c r="P240" s="163"/>
      <c r="Q240" s="109"/>
      <c r="R240" s="108"/>
      <c r="S240" s="100"/>
      <c r="T240" s="110"/>
      <c r="U240" s="110"/>
      <c r="V240" s="100"/>
      <c r="W240" s="100"/>
      <c r="X240" s="100"/>
      <c r="Y240" s="110"/>
      <c r="Z240" s="110"/>
      <c r="AA240" s="100"/>
      <c r="AB240" s="108"/>
      <c r="AC240" s="109"/>
      <c r="AD240" s="109"/>
      <c r="AE240" s="109"/>
      <c r="AF240" s="109"/>
      <c r="AG240" s="108"/>
      <c r="AH240" s="108"/>
      <c r="AI240" s="100"/>
      <c r="AJ240" s="100"/>
      <c r="AK240" s="110"/>
      <c r="AL240" s="11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</row>
    <row r="241" spans="1:48" ht="16.3">
      <c r="A241" s="91" t="s">
        <v>3</v>
      </c>
      <c r="B241" s="219">
        <f>SUM(J241+K241+L241+M241+N241+S241+V241+W241+X241+AA241+AI241+AJ241+AI241+AM241+AP241+AQ241+AS241+AT241+AU241+AV241)</f>
        <v>0</v>
      </c>
      <c r="C241" s="214">
        <f t="shared" si="40"/>
        <v>0</v>
      </c>
      <c r="D241" s="133"/>
      <c r="E241" s="134"/>
      <c r="F241" s="135"/>
      <c r="G241" s="136"/>
      <c r="H241" s="96"/>
      <c r="I241" s="96"/>
      <c r="J241" s="128"/>
      <c r="K241" s="104"/>
      <c r="L241" s="75"/>
      <c r="M241" s="75"/>
      <c r="N241" s="75"/>
      <c r="O241" s="96"/>
      <c r="P241" s="163"/>
      <c r="Q241" s="109"/>
      <c r="R241" s="108"/>
      <c r="S241" s="100"/>
      <c r="T241" s="110"/>
      <c r="U241" s="110"/>
      <c r="V241" s="100"/>
      <c r="W241" s="100"/>
      <c r="X241" s="100"/>
      <c r="Y241" s="110"/>
      <c r="Z241" s="110"/>
      <c r="AA241" s="100"/>
      <c r="AB241" s="108"/>
      <c r="AC241" s="109"/>
      <c r="AD241" s="109"/>
      <c r="AE241" s="109"/>
      <c r="AF241" s="109"/>
      <c r="AG241" s="108"/>
      <c r="AH241" s="108"/>
      <c r="AI241" s="100"/>
      <c r="AJ241" s="100"/>
      <c r="AK241" s="110"/>
      <c r="AL241" s="110"/>
      <c r="AM241" s="100"/>
      <c r="AN241" s="100"/>
      <c r="AO241" s="100"/>
      <c r="AP241" s="100"/>
      <c r="AQ241" s="100"/>
      <c r="AR241" s="100"/>
      <c r="AS241" s="100"/>
      <c r="AT241" s="100"/>
      <c r="AU241" s="100"/>
      <c r="AV241" s="100"/>
    </row>
    <row r="242" spans="1:48" ht="17" thickBot="1">
      <c r="A242" s="92" t="s">
        <v>4</v>
      </c>
      <c r="B242" s="220">
        <f>SUM(J242+K242+L242+M242+N242+S242+V242+W242+X242+AA242+AI242+AJ242+AI242+AM242+AP242+AQ242+AS242+AT242+AU242+AV242)</f>
        <v>0</v>
      </c>
      <c r="C242" s="217">
        <f t="shared" si="40"/>
        <v>0</v>
      </c>
      <c r="D242" s="144"/>
      <c r="E242" s="145"/>
      <c r="F242" s="146"/>
      <c r="G242" s="147"/>
      <c r="H242" s="114"/>
      <c r="I242" s="114"/>
      <c r="J242" s="129"/>
      <c r="K242" s="113"/>
      <c r="L242" s="112"/>
      <c r="M242" s="112"/>
      <c r="N242" s="112"/>
      <c r="O242" s="114"/>
      <c r="P242" s="164"/>
      <c r="Q242" s="118"/>
      <c r="R242" s="117"/>
      <c r="S242" s="116"/>
      <c r="T242" s="120"/>
      <c r="U242" s="120"/>
      <c r="V242" s="116"/>
      <c r="W242" s="116"/>
      <c r="X242" s="116"/>
      <c r="Y242" s="120"/>
      <c r="Z242" s="120"/>
      <c r="AA242" s="116"/>
      <c r="AB242" s="117"/>
      <c r="AC242" s="118"/>
      <c r="AD242" s="118"/>
      <c r="AE242" s="118"/>
      <c r="AF242" s="118"/>
      <c r="AG242" s="117"/>
      <c r="AH242" s="117"/>
      <c r="AI242" s="116"/>
      <c r="AJ242" s="116"/>
      <c r="AK242" s="120"/>
      <c r="AL242" s="120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</row>
    <row r="243" spans="1:48" ht="21.1">
      <c r="A243" s="89" t="s">
        <v>793</v>
      </c>
      <c r="B243" s="219"/>
      <c r="C243" s="214"/>
      <c r="D243" s="133"/>
      <c r="E243" s="134"/>
      <c r="F243" s="135"/>
      <c r="G243" s="136"/>
      <c r="H243" s="96"/>
      <c r="I243" s="96"/>
      <c r="J243" s="128"/>
      <c r="K243" s="104"/>
      <c r="L243" s="75"/>
      <c r="M243" s="75"/>
      <c r="N243" s="75"/>
      <c r="O243" s="96" t="s">
        <v>375</v>
      </c>
      <c r="P243" s="163"/>
      <c r="Q243" s="109" t="s">
        <v>370</v>
      </c>
      <c r="R243" s="108"/>
      <c r="S243" s="100"/>
      <c r="T243" s="110" t="s">
        <v>375</v>
      </c>
      <c r="U243" s="110" t="s">
        <v>375</v>
      </c>
      <c r="V243" s="100" t="s">
        <v>369</v>
      </c>
      <c r="W243" s="100" t="s">
        <v>369</v>
      </c>
      <c r="X243" s="100" t="s">
        <v>369</v>
      </c>
      <c r="Y243" s="110" t="s">
        <v>375</v>
      </c>
      <c r="Z243" s="110" t="s">
        <v>375</v>
      </c>
      <c r="AA243" s="100" t="s">
        <v>375</v>
      </c>
      <c r="AB243" s="108"/>
      <c r="AC243" s="99" t="s">
        <v>816</v>
      </c>
      <c r="AD243" s="109"/>
      <c r="AE243" s="109"/>
      <c r="AF243" s="109" t="s">
        <v>375</v>
      </c>
      <c r="AG243" s="108"/>
      <c r="AH243" s="108"/>
      <c r="AI243" s="100"/>
      <c r="AJ243" s="100"/>
      <c r="AK243" s="110"/>
      <c r="AL243" s="110"/>
      <c r="AM243" s="100"/>
      <c r="AN243" s="100"/>
      <c r="AO243" s="100"/>
      <c r="AP243" s="100"/>
      <c r="AQ243" s="100"/>
      <c r="AR243" s="100"/>
      <c r="AS243" s="100"/>
      <c r="AT243" s="100"/>
      <c r="AU243" s="100"/>
      <c r="AV243" s="100"/>
    </row>
    <row r="244" spans="1:48" ht="16.3">
      <c r="A244" s="585" t="s">
        <v>1</v>
      </c>
      <c r="B244" s="221">
        <f>SUM(J244+K244+L244+M244+N244+S244+V244+W244+X244+AA244+AI244+AJ244+AI244+AM244+AP244+AQ244+AS244+AT244+AU244+AV244+AN244)</f>
        <v>3</v>
      </c>
      <c r="C244" s="215">
        <f>B244</f>
        <v>3</v>
      </c>
      <c r="D244" s="133"/>
      <c r="E244" s="134"/>
      <c r="F244" s="135"/>
      <c r="G244" s="136"/>
      <c r="H244" s="96"/>
      <c r="I244" s="96"/>
      <c r="J244" s="128"/>
      <c r="K244" s="104"/>
      <c r="L244" s="75"/>
      <c r="M244" s="75"/>
      <c r="N244" s="75"/>
      <c r="O244" s="96"/>
      <c r="P244" s="163"/>
      <c r="Q244" s="109">
        <v>1</v>
      </c>
      <c r="R244" s="108"/>
      <c r="S244" s="100"/>
      <c r="T244" s="110"/>
      <c r="U244" s="110"/>
      <c r="V244" s="100">
        <v>1</v>
      </c>
      <c r="W244" s="100">
        <v>1</v>
      </c>
      <c r="X244" s="100">
        <v>1</v>
      </c>
      <c r="Y244" s="110"/>
      <c r="Z244" s="110"/>
      <c r="AA244" s="100"/>
      <c r="AB244" s="108"/>
      <c r="AC244" s="109"/>
      <c r="AD244" s="109"/>
      <c r="AE244" s="109"/>
      <c r="AF244" s="109"/>
      <c r="AG244" s="108"/>
      <c r="AH244" s="108"/>
      <c r="AI244" s="100"/>
      <c r="AJ244" s="100"/>
      <c r="AK244" s="110"/>
      <c r="AL244" s="110"/>
      <c r="AM244" s="100"/>
      <c r="AN244" s="100"/>
      <c r="AO244" s="100"/>
      <c r="AP244" s="100"/>
      <c r="AQ244" s="100"/>
      <c r="AR244" s="100"/>
      <c r="AS244" s="100"/>
      <c r="AT244" s="100"/>
      <c r="AU244" s="100"/>
      <c r="AV244" s="100"/>
    </row>
    <row r="245" spans="1:48" ht="16.3">
      <c r="A245" s="585" t="s">
        <v>2</v>
      </c>
      <c r="B245" s="221">
        <f>SUM(J245+K245+L245+M245+N245+S245+V245+W245+X245+AA245+AI245+AJ245+AI245+AM245+AP245+AQ245+AS245+AT245+AU245+AV245)+1</f>
        <v>2</v>
      </c>
      <c r="C245" s="215">
        <f t="shared" ref="C245:C248" si="41">B245</f>
        <v>2</v>
      </c>
      <c r="D245" s="133"/>
      <c r="E245" s="134"/>
      <c r="F245" s="135"/>
      <c r="G245" s="136"/>
      <c r="H245" s="96"/>
      <c r="I245" s="96"/>
      <c r="J245" s="128"/>
      <c r="K245" s="104"/>
      <c r="L245" s="75"/>
      <c r="M245" s="75"/>
      <c r="N245" s="75"/>
      <c r="O245" s="96">
        <v>1</v>
      </c>
      <c r="P245" s="163"/>
      <c r="Q245" s="109"/>
      <c r="R245" s="108"/>
      <c r="S245" s="100"/>
      <c r="T245" s="110">
        <v>1</v>
      </c>
      <c r="U245" s="110">
        <v>1</v>
      </c>
      <c r="V245" s="100"/>
      <c r="W245" s="100"/>
      <c r="X245" s="100"/>
      <c r="Y245" s="110">
        <v>1</v>
      </c>
      <c r="Z245" s="110">
        <v>1</v>
      </c>
      <c r="AA245" s="100">
        <v>1</v>
      </c>
      <c r="AB245" s="108"/>
      <c r="AC245" s="109"/>
      <c r="AD245" s="109"/>
      <c r="AE245" s="109"/>
      <c r="AF245" s="109">
        <v>1</v>
      </c>
      <c r="AG245" s="108"/>
      <c r="AH245" s="108"/>
      <c r="AI245" s="100"/>
      <c r="AJ245" s="100"/>
      <c r="AK245" s="110"/>
      <c r="AL245" s="110"/>
      <c r="AM245" s="100"/>
      <c r="AN245" s="100"/>
      <c r="AO245" s="100"/>
      <c r="AP245" s="100"/>
      <c r="AQ245" s="100"/>
      <c r="AR245" s="100"/>
      <c r="AS245" s="100"/>
      <c r="AT245" s="100"/>
      <c r="AU245" s="100"/>
      <c r="AV245" s="100"/>
    </row>
    <row r="246" spans="1:48" ht="16.3">
      <c r="A246" s="91" t="s">
        <v>363</v>
      </c>
      <c r="B246" s="219">
        <f>SUM(B244+B245)</f>
        <v>5</v>
      </c>
      <c r="C246" s="214">
        <f t="shared" si="41"/>
        <v>5</v>
      </c>
      <c r="D246" s="133"/>
      <c r="E246" s="134"/>
      <c r="F246" s="135"/>
      <c r="G246" s="136"/>
      <c r="H246" s="96"/>
      <c r="I246" s="96"/>
      <c r="J246" s="128"/>
      <c r="K246" s="104"/>
      <c r="L246" s="75"/>
      <c r="M246" s="75"/>
      <c r="N246" s="75"/>
      <c r="O246" s="96"/>
      <c r="P246" s="163"/>
      <c r="Q246" s="109"/>
      <c r="R246" s="108"/>
      <c r="S246" s="100"/>
      <c r="T246" s="110"/>
      <c r="U246" s="110"/>
      <c r="V246" s="100"/>
      <c r="W246" s="100"/>
      <c r="X246" s="100"/>
      <c r="Y246" s="110"/>
      <c r="Z246" s="110"/>
      <c r="AA246" s="100"/>
      <c r="AB246" s="108"/>
      <c r="AC246" s="109"/>
      <c r="AD246" s="109"/>
      <c r="AE246" s="109"/>
      <c r="AF246" s="109"/>
      <c r="AG246" s="108"/>
      <c r="AH246" s="108"/>
      <c r="AI246" s="100"/>
      <c r="AJ246" s="100"/>
      <c r="AK246" s="110"/>
      <c r="AL246" s="11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</row>
    <row r="247" spans="1:48" ht="16.3">
      <c r="A247" s="91" t="s">
        <v>3</v>
      </c>
      <c r="B247" s="219">
        <f>SUM(J247+K247+L247+M247+N247+S247+V247+W247+X247+AA247+AI247+AJ247+AI247+AM247+AP247+AQ247+AS247+AT247+AU247+AV247)</f>
        <v>0</v>
      </c>
      <c r="C247" s="214">
        <f t="shared" si="41"/>
        <v>0</v>
      </c>
      <c r="D247" s="133"/>
      <c r="E247" s="134"/>
      <c r="F247" s="135"/>
      <c r="G247" s="136"/>
      <c r="H247" s="96"/>
      <c r="I247" s="96"/>
      <c r="J247" s="128"/>
      <c r="K247" s="104"/>
      <c r="L247" s="75"/>
      <c r="M247" s="75"/>
      <c r="N247" s="75"/>
      <c r="O247" s="96"/>
      <c r="P247" s="163"/>
      <c r="Q247" s="109"/>
      <c r="R247" s="108"/>
      <c r="S247" s="100"/>
      <c r="T247" s="110"/>
      <c r="U247" s="110"/>
      <c r="V247" s="100"/>
      <c r="W247" s="100"/>
      <c r="X247" s="100"/>
      <c r="Y247" s="110"/>
      <c r="Z247" s="110"/>
      <c r="AA247" s="100"/>
      <c r="AB247" s="108"/>
      <c r="AC247" s="109"/>
      <c r="AD247" s="109"/>
      <c r="AE247" s="109"/>
      <c r="AF247" s="109"/>
      <c r="AG247" s="108"/>
      <c r="AH247" s="108"/>
      <c r="AI247" s="100"/>
      <c r="AJ247" s="100"/>
      <c r="AK247" s="110"/>
      <c r="AL247" s="11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</row>
    <row r="248" spans="1:48" ht="17" thickBot="1">
      <c r="A248" s="92" t="s">
        <v>4</v>
      </c>
      <c r="B248" s="220">
        <f>SUM(J248+K248+L248+M248+N248+S248+V248+W248+X248+AA248+AI248+AJ248+AI248+AM248+AP248+AQ248+AS248+AT248+AU248+AV248)</f>
        <v>0</v>
      </c>
      <c r="C248" s="217">
        <f t="shared" si="41"/>
        <v>0</v>
      </c>
      <c r="D248" s="144"/>
      <c r="E248" s="145"/>
      <c r="F248" s="146"/>
      <c r="G248" s="147"/>
      <c r="H248" s="114"/>
      <c r="I248" s="114"/>
      <c r="J248" s="129"/>
      <c r="K248" s="113"/>
      <c r="L248" s="112"/>
      <c r="M248" s="112"/>
      <c r="N248" s="112"/>
      <c r="O248" s="114"/>
      <c r="P248" s="164"/>
      <c r="Q248" s="118"/>
      <c r="R248" s="117"/>
      <c r="S248" s="116"/>
      <c r="T248" s="120"/>
      <c r="U248" s="120"/>
      <c r="V248" s="116"/>
      <c r="W248" s="116"/>
      <c r="X248" s="116"/>
      <c r="Y248" s="120"/>
      <c r="Z248" s="120"/>
      <c r="AA248" s="116"/>
      <c r="AB248" s="117"/>
      <c r="AC248" s="118"/>
      <c r="AD248" s="118"/>
      <c r="AE248" s="118"/>
      <c r="AF248" s="118"/>
      <c r="AG248" s="117"/>
      <c r="AH248" s="117"/>
      <c r="AI248" s="116"/>
      <c r="AJ248" s="116"/>
      <c r="AK248" s="120"/>
      <c r="AL248" s="120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</row>
    <row r="249" spans="1:48" ht="21.1">
      <c r="A249" s="89" t="s">
        <v>1046</v>
      </c>
      <c r="B249" s="219"/>
      <c r="C249" s="214"/>
      <c r="D249" s="133"/>
      <c r="E249" s="134"/>
      <c r="F249" s="135"/>
      <c r="G249" s="136"/>
      <c r="H249" s="96"/>
      <c r="I249" s="96"/>
      <c r="J249" s="128"/>
      <c r="K249" s="104"/>
      <c r="L249" s="75"/>
      <c r="M249" s="75"/>
      <c r="N249" s="75"/>
      <c r="O249" s="96"/>
      <c r="P249" s="163"/>
      <c r="Q249" s="109"/>
      <c r="R249" s="108"/>
      <c r="S249" s="100"/>
      <c r="T249" s="110"/>
      <c r="U249" s="110"/>
      <c r="V249" s="100"/>
      <c r="W249" s="100"/>
      <c r="X249" s="100"/>
      <c r="Y249" s="110"/>
      <c r="Z249" s="110"/>
      <c r="AA249" s="100"/>
      <c r="AB249" s="108"/>
      <c r="AC249" s="109"/>
      <c r="AD249" s="109"/>
      <c r="AE249" s="109" t="s">
        <v>369</v>
      </c>
      <c r="AF249" s="109" t="s">
        <v>369</v>
      </c>
      <c r="AG249" s="108"/>
      <c r="AH249" s="108"/>
      <c r="AI249" s="100"/>
      <c r="AJ249" s="100"/>
      <c r="AK249" s="110"/>
      <c r="AL249" s="11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</row>
    <row r="250" spans="1:48" ht="16.3">
      <c r="A250" s="585" t="s">
        <v>1</v>
      </c>
      <c r="B250" s="219">
        <f>SUM(J250+K250+L250+M250+N250+S250+V250+W250+X250+AA250+AI250+AJ250+AI250+AM250+AP250+AQ250+AS250+AT250+AU250+AV250+AN250)</f>
        <v>0</v>
      </c>
      <c r="C250" s="214">
        <f>B250</f>
        <v>0</v>
      </c>
      <c r="D250" s="133"/>
      <c r="E250" s="134"/>
      <c r="F250" s="135"/>
      <c r="G250" s="136"/>
      <c r="H250" s="96"/>
      <c r="I250" s="96"/>
      <c r="J250" s="128"/>
      <c r="K250" s="104"/>
      <c r="L250" s="75"/>
      <c r="M250" s="75"/>
      <c r="N250" s="75"/>
      <c r="O250" s="96"/>
      <c r="P250" s="163"/>
      <c r="Q250" s="109"/>
      <c r="R250" s="108"/>
      <c r="S250" s="100"/>
      <c r="T250" s="110"/>
      <c r="U250" s="110"/>
      <c r="V250" s="100"/>
      <c r="W250" s="100"/>
      <c r="X250" s="100"/>
      <c r="Y250" s="110"/>
      <c r="Z250" s="110"/>
      <c r="AA250" s="100"/>
      <c r="AB250" s="108"/>
      <c r="AC250" s="109"/>
      <c r="AD250" s="109"/>
      <c r="AE250" s="109">
        <v>1</v>
      </c>
      <c r="AF250" s="109">
        <v>1</v>
      </c>
      <c r="AG250" s="108"/>
      <c r="AH250" s="108"/>
      <c r="AI250" s="100"/>
      <c r="AJ250" s="100"/>
      <c r="AK250" s="110"/>
      <c r="AL250" s="110"/>
      <c r="AM250" s="100"/>
      <c r="AN250" s="100"/>
      <c r="AO250" s="100"/>
      <c r="AP250" s="100"/>
      <c r="AQ250" s="100"/>
      <c r="AR250" s="100"/>
      <c r="AS250" s="100"/>
      <c r="AT250" s="100"/>
      <c r="AU250" s="100"/>
      <c r="AV250" s="100"/>
    </row>
    <row r="251" spans="1:48" ht="16.3">
      <c r="A251" s="585" t="s">
        <v>2</v>
      </c>
      <c r="B251" s="219">
        <f>SUM(J251+K251+L251+M251+N251+S251+V251+W251+X251+AA251+AI251+AJ251+AI251+AM251+AP251+AQ251+AS251+AT251+AU251+AV251)</f>
        <v>0</v>
      </c>
      <c r="C251" s="214">
        <f t="shared" ref="C251:C254" si="42">B251</f>
        <v>0</v>
      </c>
      <c r="D251" s="133"/>
      <c r="E251" s="134"/>
      <c r="F251" s="135"/>
      <c r="G251" s="136"/>
      <c r="H251" s="96"/>
      <c r="I251" s="96"/>
      <c r="J251" s="128"/>
      <c r="K251" s="104"/>
      <c r="L251" s="75"/>
      <c r="M251" s="75"/>
      <c r="N251" s="75"/>
      <c r="O251" s="96"/>
      <c r="P251" s="163"/>
      <c r="Q251" s="109"/>
      <c r="R251" s="108"/>
      <c r="S251" s="100"/>
      <c r="T251" s="110"/>
      <c r="U251" s="110"/>
      <c r="V251" s="100"/>
      <c r="W251" s="100"/>
      <c r="X251" s="100"/>
      <c r="Y251" s="110"/>
      <c r="Z251" s="110"/>
      <c r="AA251" s="100"/>
      <c r="AB251" s="108"/>
      <c r="AC251" s="109"/>
      <c r="AD251" s="109"/>
      <c r="AE251" s="109"/>
      <c r="AF251" s="109"/>
      <c r="AG251" s="108"/>
      <c r="AH251" s="108"/>
      <c r="AI251" s="100"/>
      <c r="AJ251" s="100"/>
      <c r="AK251" s="110"/>
      <c r="AL251" s="11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</row>
    <row r="252" spans="1:48" ht="16.3">
      <c r="A252" s="91" t="s">
        <v>363</v>
      </c>
      <c r="B252" s="219">
        <f>SUM(B250+B251)</f>
        <v>0</v>
      </c>
      <c r="C252" s="214">
        <f t="shared" si="42"/>
        <v>0</v>
      </c>
      <c r="D252" s="133"/>
      <c r="E252" s="134"/>
      <c r="F252" s="135"/>
      <c r="G252" s="136"/>
      <c r="H252" s="96"/>
      <c r="I252" s="96"/>
      <c r="J252" s="128"/>
      <c r="K252" s="104"/>
      <c r="L252" s="75"/>
      <c r="M252" s="75"/>
      <c r="N252" s="75"/>
      <c r="O252" s="96"/>
      <c r="P252" s="163"/>
      <c r="Q252" s="109"/>
      <c r="R252" s="108"/>
      <c r="S252" s="100"/>
      <c r="T252" s="110"/>
      <c r="U252" s="110"/>
      <c r="V252" s="100"/>
      <c r="W252" s="100"/>
      <c r="X252" s="100"/>
      <c r="Y252" s="110"/>
      <c r="Z252" s="110"/>
      <c r="AA252" s="100"/>
      <c r="AB252" s="108"/>
      <c r="AC252" s="109"/>
      <c r="AD252" s="109"/>
      <c r="AE252" s="109"/>
      <c r="AF252" s="109"/>
      <c r="AG252" s="108"/>
      <c r="AH252" s="108"/>
      <c r="AI252" s="100"/>
      <c r="AJ252" s="100"/>
      <c r="AK252" s="110"/>
      <c r="AL252" s="11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</row>
    <row r="253" spans="1:48" ht="16.3">
      <c r="A253" s="91" t="s">
        <v>3</v>
      </c>
      <c r="B253" s="219">
        <f>SUM(J253+K253+L253+M253+N253+S253+V253+W253+X253+AA253+AI253+AJ253+AI253+AM253+AP253+AQ253+AS253+AT253+AU253+AV253)</f>
        <v>0</v>
      </c>
      <c r="C253" s="214">
        <f t="shared" si="42"/>
        <v>0</v>
      </c>
      <c r="D253" s="133"/>
      <c r="E253" s="134"/>
      <c r="F253" s="135"/>
      <c r="G253" s="136"/>
      <c r="H253" s="96"/>
      <c r="I253" s="96"/>
      <c r="J253" s="128"/>
      <c r="K253" s="104"/>
      <c r="L253" s="75"/>
      <c r="M253" s="75"/>
      <c r="N253" s="75"/>
      <c r="O253" s="96"/>
      <c r="P253" s="163"/>
      <c r="Q253" s="109"/>
      <c r="R253" s="108"/>
      <c r="S253" s="100"/>
      <c r="T253" s="110"/>
      <c r="U253" s="110"/>
      <c r="V253" s="100"/>
      <c r="W253" s="100"/>
      <c r="X253" s="100"/>
      <c r="Y253" s="110"/>
      <c r="Z253" s="110"/>
      <c r="AA253" s="100"/>
      <c r="AB253" s="108"/>
      <c r="AC253" s="109"/>
      <c r="AD253" s="109"/>
      <c r="AE253" s="109"/>
      <c r="AF253" s="109"/>
      <c r="AG253" s="108"/>
      <c r="AH253" s="108"/>
      <c r="AI253" s="100"/>
      <c r="AJ253" s="100"/>
      <c r="AK253" s="110"/>
      <c r="AL253" s="11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</row>
    <row r="254" spans="1:48" ht="17" thickBot="1">
      <c r="A254" s="92" t="s">
        <v>4</v>
      </c>
      <c r="B254" s="220">
        <f>SUM(J254+K254+L254+M254+N254+S254+V254+W254+X254+AA254+AI254+AJ254+AI254+AM254+AP254+AQ254+AS254+AT254+AU254+AV254)</f>
        <v>0</v>
      </c>
      <c r="C254" s="217">
        <f t="shared" si="42"/>
        <v>0</v>
      </c>
      <c r="D254" s="144"/>
      <c r="E254" s="145"/>
      <c r="F254" s="146"/>
      <c r="G254" s="147"/>
      <c r="H254" s="114"/>
      <c r="I254" s="114"/>
      <c r="J254" s="129"/>
      <c r="K254" s="113"/>
      <c r="L254" s="112"/>
      <c r="M254" s="112"/>
      <c r="N254" s="112"/>
      <c r="O254" s="114"/>
      <c r="P254" s="164"/>
      <c r="Q254" s="118"/>
      <c r="R254" s="117"/>
      <c r="S254" s="116"/>
      <c r="T254" s="120"/>
      <c r="U254" s="120"/>
      <c r="V254" s="116"/>
      <c r="W254" s="116"/>
      <c r="X254" s="116"/>
      <c r="Y254" s="120"/>
      <c r="Z254" s="120"/>
      <c r="AA254" s="116"/>
      <c r="AB254" s="117"/>
      <c r="AC254" s="118"/>
      <c r="AD254" s="118"/>
      <c r="AE254" s="118"/>
      <c r="AF254" s="118"/>
      <c r="AG254" s="117"/>
      <c r="AH254" s="117"/>
      <c r="AI254" s="116"/>
      <c r="AJ254" s="116"/>
      <c r="AK254" s="120"/>
      <c r="AL254" s="120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</row>
    <row r="255" spans="1:48" ht="21.1">
      <c r="A255" s="89" t="s">
        <v>1045</v>
      </c>
      <c r="B255" s="219"/>
      <c r="C255" s="214"/>
      <c r="D255" s="133"/>
      <c r="E255" s="134"/>
      <c r="F255" s="135"/>
      <c r="G255" s="136"/>
      <c r="H255" s="96"/>
      <c r="I255" s="96"/>
      <c r="J255" s="128"/>
      <c r="K255" s="104"/>
      <c r="L255" s="75"/>
      <c r="M255" s="75"/>
      <c r="N255" s="75"/>
      <c r="O255" s="96"/>
      <c r="P255" s="163"/>
      <c r="Q255" s="109"/>
      <c r="R255" s="108"/>
      <c r="S255" s="100"/>
      <c r="T255" s="110"/>
      <c r="U255" s="110"/>
      <c r="V255" s="100"/>
      <c r="W255" s="100"/>
      <c r="X255" s="100"/>
      <c r="Y255" s="110"/>
      <c r="Z255" s="110"/>
      <c r="AA255" s="100"/>
      <c r="AB255" s="108"/>
      <c r="AC255" s="109"/>
      <c r="AD255" s="109"/>
      <c r="AE255" s="109" t="s">
        <v>375</v>
      </c>
      <c r="AF255" s="109"/>
      <c r="AG255" s="108"/>
      <c r="AH255" s="108"/>
      <c r="AI255" s="100"/>
      <c r="AJ255" s="100"/>
      <c r="AK255" s="110"/>
      <c r="AL255" s="11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</row>
    <row r="256" spans="1:48" ht="16.3">
      <c r="A256" s="585" t="s">
        <v>1</v>
      </c>
      <c r="B256" s="219">
        <f>SUM(J256+K256+L256+M256+N256+S256+V256+W256+X256+AA256+AI256+AJ256+AI256+AM256+AP256+AQ256+AS256+AT256+AU256+AV256+AN256)</f>
        <v>0</v>
      </c>
      <c r="C256" s="214">
        <f>B256</f>
        <v>0</v>
      </c>
      <c r="D256" s="133"/>
      <c r="E256" s="134"/>
      <c r="F256" s="135"/>
      <c r="G256" s="136"/>
      <c r="H256" s="96"/>
      <c r="I256" s="96"/>
      <c r="J256" s="128"/>
      <c r="K256" s="104"/>
      <c r="L256" s="75"/>
      <c r="M256" s="75"/>
      <c r="N256" s="75"/>
      <c r="O256" s="96"/>
      <c r="P256" s="163"/>
      <c r="Q256" s="109"/>
      <c r="R256" s="108"/>
      <c r="S256" s="100"/>
      <c r="T256" s="110"/>
      <c r="U256" s="110"/>
      <c r="V256" s="100"/>
      <c r="W256" s="100"/>
      <c r="X256" s="100"/>
      <c r="Y256" s="110"/>
      <c r="Z256" s="110"/>
      <c r="AA256" s="100"/>
      <c r="AB256" s="108"/>
      <c r="AC256" s="109"/>
      <c r="AD256" s="109"/>
      <c r="AE256" s="109"/>
      <c r="AF256" s="109"/>
      <c r="AG256" s="108"/>
      <c r="AH256" s="108"/>
      <c r="AI256" s="100"/>
      <c r="AJ256" s="100"/>
      <c r="AK256" s="110"/>
      <c r="AL256" s="11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</row>
    <row r="257" spans="1:48" ht="16.3">
      <c r="A257" s="585" t="s">
        <v>2</v>
      </c>
      <c r="B257" s="219">
        <f>SUM(J257+K257+L257+M257+N257+S257+V257+W257+X257+AA257+AI257+AJ257+AI257+AM257+AP257+AQ257+AS257+AT257+AU257+AV257)</f>
        <v>0</v>
      </c>
      <c r="C257" s="214">
        <f t="shared" ref="C257:C260" si="43">B257</f>
        <v>0</v>
      </c>
      <c r="D257" s="133"/>
      <c r="E257" s="134"/>
      <c r="F257" s="135"/>
      <c r="G257" s="136"/>
      <c r="H257" s="96"/>
      <c r="I257" s="96"/>
      <c r="J257" s="128"/>
      <c r="K257" s="104"/>
      <c r="L257" s="75"/>
      <c r="M257" s="75"/>
      <c r="N257" s="75"/>
      <c r="O257" s="96"/>
      <c r="P257" s="163"/>
      <c r="Q257" s="109"/>
      <c r="R257" s="108"/>
      <c r="S257" s="100"/>
      <c r="T257" s="110"/>
      <c r="U257" s="110"/>
      <c r="V257" s="100"/>
      <c r="W257" s="100"/>
      <c r="X257" s="100"/>
      <c r="Y257" s="110"/>
      <c r="Z257" s="110"/>
      <c r="AA257" s="100"/>
      <c r="AB257" s="108"/>
      <c r="AC257" s="109"/>
      <c r="AD257" s="109"/>
      <c r="AE257" s="109">
        <v>1</v>
      </c>
      <c r="AF257" s="109"/>
      <c r="AG257" s="108"/>
      <c r="AH257" s="108"/>
      <c r="AI257" s="100"/>
      <c r="AJ257" s="100"/>
      <c r="AK257" s="110"/>
      <c r="AL257" s="110"/>
      <c r="AM257" s="100"/>
      <c r="AN257" s="100"/>
      <c r="AO257" s="100"/>
      <c r="AP257" s="100"/>
      <c r="AQ257" s="100"/>
      <c r="AR257" s="100"/>
      <c r="AS257" s="100"/>
      <c r="AT257" s="100"/>
      <c r="AU257" s="100"/>
      <c r="AV257" s="100"/>
    </row>
    <row r="258" spans="1:48" ht="16.3">
      <c r="A258" s="91" t="s">
        <v>363</v>
      </c>
      <c r="B258" s="219">
        <f>SUM(B256+B257)</f>
        <v>0</v>
      </c>
      <c r="C258" s="214">
        <f t="shared" si="43"/>
        <v>0</v>
      </c>
      <c r="D258" s="133"/>
      <c r="E258" s="134"/>
      <c r="F258" s="135"/>
      <c r="G258" s="136"/>
      <c r="H258" s="96"/>
      <c r="I258" s="96"/>
      <c r="J258" s="128"/>
      <c r="K258" s="104"/>
      <c r="L258" s="75"/>
      <c r="M258" s="75"/>
      <c r="N258" s="75"/>
      <c r="O258" s="96"/>
      <c r="P258" s="163"/>
      <c r="Q258" s="109"/>
      <c r="R258" s="108"/>
      <c r="S258" s="100"/>
      <c r="T258" s="110"/>
      <c r="U258" s="110"/>
      <c r="V258" s="100"/>
      <c r="W258" s="100"/>
      <c r="X258" s="100"/>
      <c r="Y258" s="110"/>
      <c r="Z258" s="110"/>
      <c r="AA258" s="100"/>
      <c r="AB258" s="108"/>
      <c r="AC258" s="109"/>
      <c r="AD258" s="109"/>
      <c r="AE258" s="109"/>
      <c r="AF258" s="109"/>
      <c r="AG258" s="108"/>
      <c r="AH258" s="108"/>
      <c r="AI258" s="100"/>
      <c r="AJ258" s="100"/>
      <c r="AK258" s="110"/>
      <c r="AL258" s="110"/>
      <c r="AM258" s="100"/>
      <c r="AN258" s="100"/>
      <c r="AO258" s="100"/>
      <c r="AP258" s="100"/>
      <c r="AQ258" s="100"/>
      <c r="AR258" s="100"/>
      <c r="AS258" s="100"/>
      <c r="AT258" s="100"/>
      <c r="AU258" s="100"/>
      <c r="AV258" s="100"/>
    </row>
    <row r="259" spans="1:48" ht="16.3">
      <c r="A259" s="91" t="s">
        <v>3</v>
      </c>
      <c r="B259" s="219">
        <f>SUM(J259+K259+L259+M259+N259+S259+V259+W259+X259+AA259+AI259+AJ259+AI259+AM259+AP259+AQ259+AS259+AT259+AU259+AV259)</f>
        <v>0</v>
      </c>
      <c r="C259" s="214">
        <f t="shared" si="43"/>
        <v>0</v>
      </c>
      <c r="D259" s="133"/>
      <c r="E259" s="134"/>
      <c r="F259" s="135"/>
      <c r="G259" s="136"/>
      <c r="H259" s="96"/>
      <c r="I259" s="96"/>
      <c r="J259" s="128"/>
      <c r="K259" s="104"/>
      <c r="L259" s="75"/>
      <c r="M259" s="75"/>
      <c r="N259" s="75"/>
      <c r="O259" s="96"/>
      <c r="P259" s="163"/>
      <c r="Q259" s="109"/>
      <c r="R259" s="108"/>
      <c r="S259" s="100"/>
      <c r="T259" s="110"/>
      <c r="U259" s="110"/>
      <c r="V259" s="100"/>
      <c r="W259" s="100"/>
      <c r="X259" s="100"/>
      <c r="Y259" s="110"/>
      <c r="Z259" s="110"/>
      <c r="AA259" s="100"/>
      <c r="AB259" s="108"/>
      <c r="AC259" s="109"/>
      <c r="AD259" s="109"/>
      <c r="AE259" s="109"/>
      <c r="AF259" s="109"/>
      <c r="AG259" s="108"/>
      <c r="AH259" s="108"/>
      <c r="AI259" s="100"/>
      <c r="AJ259" s="100"/>
      <c r="AK259" s="110"/>
      <c r="AL259" s="11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</row>
    <row r="260" spans="1:48" ht="17" thickBot="1">
      <c r="A260" s="92" t="s">
        <v>4</v>
      </c>
      <c r="B260" s="220">
        <f>SUM(J260+K260+L260+M260+N260+S260+V260+W260+X260+AA260+AI260+AJ260+AI260+AM260+AP260+AQ260+AS260+AT260+AU260+AV260)</f>
        <v>0</v>
      </c>
      <c r="C260" s="217">
        <f t="shared" si="43"/>
        <v>0</v>
      </c>
      <c r="D260" s="144"/>
      <c r="E260" s="145"/>
      <c r="F260" s="146"/>
      <c r="G260" s="147"/>
      <c r="H260" s="114"/>
      <c r="I260" s="114"/>
      <c r="J260" s="129"/>
      <c r="K260" s="113"/>
      <c r="L260" s="112"/>
      <c r="M260" s="112"/>
      <c r="N260" s="112"/>
      <c r="O260" s="114"/>
      <c r="P260" s="164"/>
      <c r="Q260" s="114"/>
      <c r="R260" s="108"/>
      <c r="S260" s="100"/>
      <c r="T260" s="110"/>
      <c r="U260" s="110"/>
      <c r="V260" s="100"/>
      <c r="W260" s="100"/>
      <c r="X260" s="100"/>
      <c r="Y260" s="110"/>
      <c r="Z260" s="110"/>
      <c r="AA260" s="100"/>
      <c r="AB260" s="108"/>
      <c r="AC260" s="109"/>
      <c r="AD260" s="109"/>
      <c r="AE260" s="109"/>
      <c r="AF260" s="109"/>
      <c r="AG260" s="108"/>
      <c r="AH260" s="108"/>
      <c r="AI260" s="100"/>
      <c r="AJ260" s="100"/>
      <c r="AK260" s="110"/>
      <c r="AL260" s="11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</row>
    <row r="261" spans="1:48" ht="21.1">
      <c r="A261" s="89" t="s">
        <v>308</v>
      </c>
      <c r="B261" s="219"/>
      <c r="C261" s="214"/>
      <c r="D261" s="133"/>
      <c r="E261" s="134"/>
      <c r="F261" s="135"/>
      <c r="G261" s="136"/>
      <c r="H261" s="96"/>
      <c r="I261" s="96"/>
      <c r="J261" s="128"/>
      <c r="K261" s="104" t="s">
        <v>375</v>
      </c>
      <c r="L261" s="75"/>
      <c r="M261" s="75"/>
      <c r="N261" s="75"/>
      <c r="O261" s="96" t="s">
        <v>370</v>
      </c>
      <c r="P261" s="163"/>
      <c r="Q261" s="109" t="s">
        <v>790</v>
      </c>
      <c r="R261" s="98"/>
      <c r="S261" s="102" t="s">
        <v>370</v>
      </c>
      <c r="T261" s="101" t="s">
        <v>339</v>
      </c>
      <c r="U261" s="101" t="s">
        <v>339</v>
      </c>
      <c r="V261" s="102" t="s">
        <v>339</v>
      </c>
      <c r="W261" s="102" t="s">
        <v>339</v>
      </c>
      <c r="X261" s="102" t="s">
        <v>339</v>
      </c>
      <c r="Y261" s="101" t="s">
        <v>339</v>
      </c>
      <c r="Z261" s="101" t="s">
        <v>339</v>
      </c>
      <c r="AA261" s="102" t="s">
        <v>339</v>
      </c>
      <c r="AB261" s="98"/>
      <c r="AC261" s="99" t="s">
        <v>339</v>
      </c>
      <c r="AD261" s="99" t="s">
        <v>339</v>
      </c>
      <c r="AE261" s="99"/>
      <c r="AF261" s="99"/>
      <c r="AG261" s="98"/>
      <c r="AH261" s="98"/>
      <c r="AI261" s="102"/>
      <c r="AJ261" s="102"/>
      <c r="AK261" s="101"/>
      <c r="AL261" s="101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</row>
    <row r="262" spans="1:48" ht="16.3">
      <c r="A262" s="585" t="s">
        <v>1</v>
      </c>
      <c r="B262" s="221">
        <f>SUM(J262+K262+L262+M262+N262+S262+V262+W262+X262+AA262+AI262+AJ262+AI262+AM262+AP262+AQ262+AS262+AT262+AU262+AV262+AN262)+15</f>
        <v>16</v>
      </c>
      <c r="C262" s="215">
        <f>SUM(K262+L262+M262+N262+J262+S262+W262+X262+V262+AA262+AJ262+AI262+AJ262+AM262+AN262+AQ262+AP262+AT262+AU262+AV262+AS262+AO262)+34</f>
        <v>35</v>
      </c>
      <c r="D262" s="133"/>
      <c r="E262" s="134"/>
      <c r="F262" s="135"/>
      <c r="G262" s="136"/>
      <c r="H262" s="96"/>
      <c r="I262" s="96"/>
      <c r="J262" s="128"/>
      <c r="K262" s="104"/>
      <c r="L262" s="75"/>
      <c r="M262" s="75"/>
      <c r="N262" s="75"/>
      <c r="O262" s="96">
        <v>1</v>
      </c>
      <c r="P262" s="163"/>
      <c r="Q262" s="109"/>
      <c r="R262" s="108"/>
      <c r="S262" s="100">
        <v>1</v>
      </c>
      <c r="T262" s="110"/>
      <c r="U262" s="110"/>
      <c r="V262" s="100"/>
      <c r="W262" s="100"/>
      <c r="X262" s="100"/>
      <c r="Y262" s="110"/>
      <c r="Z262" s="110"/>
      <c r="AA262" s="100"/>
      <c r="AB262" s="108"/>
      <c r="AC262" s="109"/>
      <c r="AD262" s="109"/>
      <c r="AE262" s="109"/>
      <c r="AF262" s="109"/>
      <c r="AG262" s="108"/>
      <c r="AH262" s="108"/>
      <c r="AI262" s="100"/>
      <c r="AJ262" s="100"/>
      <c r="AK262" s="110"/>
      <c r="AL262" s="110"/>
      <c r="AM262" s="100"/>
      <c r="AN262" s="100"/>
      <c r="AO262" s="100"/>
      <c r="AP262" s="100"/>
      <c r="AQ262" s="100"/>
      <c r="AR262" s="100"/>
      <c r="AS262" s="100"/>
      <c r="AT262" s="100"/>
      <c r="AU262" s="100"/>
      <c r="AV262" s="100"/>
    </row>
    <row r="263" spans="1:48" ht="16.3">
      <c r="A263" s="585" t="s">
        <v>2</v>
      </c>
      <c r="B263" s="221">
        <f>SUM(J263+K263+L263+M263+N263+S263+V263+W263+X263+AA263+AI263+AJ263+AI263+AM263+AP263+AQ263+AS263+AT263+AU263+AV263)+1</f>
        <v>2</v>
      </c>
      <c r="C263" s="215">
        <f>SUM(K263+L263+M263+N263+J263+S263+W263+X263+V263+AA263+AJ263+AI263+AJ263+AM263+AN263+AQ263+AP263+AT263+AU263+AV263+AS263+AO263)+46</f>
        <v>47</v>
      </c>
      <c r="D263" s="133"/>
      <c r="E263" s="134"/>
      <c r="F263" s="135"/>
      <c r="G263" s="136"/>
      <c r="H263" s="96"/>
      <c r="I263" s="96"/>
      <c r="J263" s="128"/>
      <c r="K263" s="104">
        <v>1</v>
      </c>
      <c r="L263" s="75"/>
      <c r="M263" s="75"/>
      <c r="N263" s="75"/>
      <c r="O263" s="96"/>
      <c r="P263" s="163"/>
      <c r="Q263" s="109"/>
      <c r="R263" s="108"/>
      <c r="S263" s="100"/>
      <c r="T263" s="110"/>
      <c r="U263" s="110"/>
      <c r="V263" s="100"/>
      <c r="W263" s="100"/>
      <c r="X263" s="100"/>
      <c r="Y263" s="110"/>
      <c r="Z263" s="110"/>
      <c r="AA263" s="100"/>
      <c r="AB263" s="108"/>
      <c r="AC263" s="109"/>
      <c r="AD263" s="109"/>
      <c r="AE263" s="109"/>
      <c r="AF263" s="109"/>
      <c r="AG263" s="108"/>
      <c r="AH263" s="108"/>
      <c r="AI263" s="100"/>
      <c r="AJ263" s="100"/>
      <c r="AK263" s="110"/>
      <c r="AL263" s="110"/>
      <c r="AM263" s="100"/>
      <c r="AN263" s="100"/>
      <c r="AO263" s="100"/>
      <c r="AP263" s="100"/>
      <c r="AQ263" s="100"/>
      <c r="AR263" s="100"/>
      <c r="AS263" s="100"/>
      <c r="AT263" s="100"/>
      <c r="AU263" s="100"/>
      <c r="AV263" s="100"/>
    </row>
    <row r="264" spans="1:48" ht="16.3">
      <c r="A264" s="91" t="s">
        <v>363</v>
      </c>
      <c r="B264" s="219">
        <f>SUM(B262+B263)</f>
        <v>18</v>
      </c>
      <c r="C264" s="214">
        <f>SUM(C262+C263)</f>
        <v>82</v>
      </c>
      <c r="D264" s="133"/>
      <c r="E264" s="134"/>
      <c r="F264" s="135"/>
      <c r="G264" s="136"/>
      <c r="H264" s="96"/>
      <c r="I264" s="96"/>
      <c r="J264" s="128"/>
      <c r="K264" s="104"/>
      <c r="L264" s="75"/>
      <c r="M264" s="75"/>
      <c r="N264" s="75"/>
      <c r="O264" s="96"/>
      <c r="P264" s="163"/>
      <c r="Q264" s="109"/>
      <c r="R264" s="108"/>
      <c r="S264" s="100"/>
      <c r="T264" s="110"/>
      <c r="U264" s="110"/>
      <c r="V264" s="100"/>
      <c r="W264" s="100"/>
      <c r="X264" s="100"/>
      <c r="Y264" s="110"/>
      <c r="Z264" s="110"/>
      <c r="AA264" s="100"/>
      <c r="AB264" s="108"/>
      <c r="AC264" s="109"/>
      <c r="AD264" s="109"/>
      <c r="AE264" s="109"/>
      <c r="AF264" s="109"/>
      <c r="AG264" s="108"/>
      <c r="AH264" s="108"/>
      <c r="AI264" s="100"/>
      <c r="AJ264" s="100"/>
      <c r="AK264" s="110"/>
      <c r="AL264" s="110"/>
      <c r="AM264" s="100"/>
      <c r="AN264" s="100"/>
      <c r="AO264" s="100"/>
      <c r="AP264" s="100"/>
      <c r="AQ264" s="100"/>
      <c r="AR264" s="100"/>
      <c r="AS264" s="100"/>
      <c r="AT264" s="100"/>
      <c r="AU264" s="100"/>
      <c r="AV264" s="100"/>
    </row>
    <row r="265" spans="1:48" ht="16.3">
      <c r="A265" s="91" t="s">
        <v>3</v>
      </c>
      <c r="B265" s="219">
        <f>SUM(J265+K265+L265+M265+N265+S265+V265+W265+X265+AA265+AI265+AJ265+AI265+AM265+AP265+AQ265+AS265+AT265+AU265+AV265)+1</f>
        <v>1</v>
      </c>
      <c r="C265" s="214">
        <f>SUM(K265+L265+M265+N265+J265+S265+W265+X265+V265+AA265+AJ265+AI265+AJ265+AM265+AN265+AQ265+AP265+AT265+AU265+AV265+AS265+AO265)+3</f>
        <v>3</v>
      </c>
      <c r="D265" s="133"/>
      <c r="E265" s="134"/>
      <c r="F265" s="135"/>
      <c r="G265" s="136"/>
      <c r="H265" s="96"/>
      <c r="I265" s="96"/>
      <c r="J265" s="128"/>
      <c r="K265" s="104"/>
      <c r="L265" s="75"/>
      <c r="M265" s="75"/>
      <c r="N265" s="75"/>
      <c r="O265" s="96"/>
      <c r="P265" s="163"/>
      <c r="Q265" s="109"/>
      <c r="R265" s="108"/>
      <c r="S265" s="100"/>
      <c r="T265" s="110"/>
      <c r="U265" s="110"/>
      <c r="V265" s="100"/>
      <c r="W265" s="100"/>
      <c r="X265" s="100"/>
      <c r="Y265" s="110"/>
      <c r="Z265" s="110"/>
      <c r="AA265" s="100"/>
      <c r="AB265" s="108"/>
      <c r="AC265" s="109"/>
      <c r="AD265" s="109"/>
      <c r="AE265" s="109"/>
      <c r="AF265" s="109"/>
      <c r="AG265" s="108"/>
      <c r="AH265" s="108"/>
      <c r="AI265" s="100"/>
      <c r="AJ265" s="100"/>
      <c r="AK265" s="110"/>
      <c r="AL265" s="110"/>
      <c r="AM265" s="100"/>
      <c r="AN265" s="100"/>
      <c r="AO265" s="100"/>
      <c r="AP265" s="100"/>
      <c r="AQ265" s="100"/>
      <c r="AR265" s="100"/>
      <c r="AS265" s="100"/>
      <c r="AT265" s="100"/>
      <c r="AU265" s="100"/>
      <c r="AV265" s="100"/>
    </row>
    <row r="266" spans="1:48" ht="17" thickBot="1">
      <c r="A266" s="92" t="s">
        <v>4</v>
      </c>
      <c r="B266" s="220">
        <f>SUM(J266+K266+L266+M266+N266+S266+V266+W266+X266+AA266+AI266+AJ266+AI266+AM266+AP266+AQ266+AS266+AT266+AU266+AV266)+5</f>
        <v>5</v>
      </c>
      <c r="C266" s="217">
        <f>SUM(K266+L266+M266+N266+J266+S266+W266+X266+V266+AA266+AJ266+AI266+AJ266+AM266+AN266+AQ266+AP266+AT266+AU266+AV266+AS266+AO266)+15</f>
        <v>15</v>
      </c>
      <c r="D266" s="144"/>
      <c r="E266" s="145"/>
      <c r="F266" s="146"/>
      <c r="G266" s="147"/>
      <c r="H266" s="114"/>
      <c r="I266" s="114"/>
      <c r="J266" s="129"/>
      <c r="K266" s="113"/>
      <c r="L266" s="112"/>
      <c r="M266" s="112"/>
      <c r="N266" s="112"/>
      <c r="O266" s="114"/>
      <c r="P266" s="164"/>
      <c r="Q266" s="118"/>
      <c r="R266" s="117"/>
      <c r="S266" s="116"/>
      <c r="T266" s="120"/>
      <c r="U266" s="120"/>
      <c r="V266" s="116"/>
      <c r="W266" s="116"/>
      <c r="X266" s="116"/>
      <c r="Y266" s="120"/>
      <c r="Z266" s="120"/>
      <c r="AA266" s="116"/>
      <c r="AB266" s="117"/>
      <c r="AC266" s="118"/>
      <c r="AD266" s="118"/>
      <c r="AE266" s="118"/>
      <c r="AF266" s="118"/>
      <c r="AG266" s="117"/>
      <c r="AH266" s="117"/>
      <c r="AI266" s="116"/>
      <c r="AJ266" s="116"/>
      <c r="AK266" s="120"/>
      <c r="AL266" s="120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</row>
    <row r="267" spans="1:48" ht="21.1">
      <c r="A267" s="89" t="s">
        <v>524</v>
      </c>
      <c r="B267" s="219"/>
      <c r="C267" s="214"/>
      <c r="D267" s="133"/>
      <c r="E267" s="134"/>
      <c r="F267" s="135"/>
      <c r="G267" s="136"/>
      <c r="H267" s="96"/>
      <c r="I267" s="96" t="s">
        <v>448</v>
      </c>
      <c r="J267" s="128" t="s">
        <v>370</v>
      </c>
      <c r="K267" s="104" t="s">
        <v>370</v>
      </c>
      <c r="L267" s="75" t="s">
        <v>370</v>
      </c>
      <c r="M267" s="75" t="s">
        <v>370</v>
      </c>
      <c r="N267" s="75" t="s">
        <v>370</v>
      </c>
      <c r="O267" s="96"/>
      <c r="P267" s="163"/>
      <c r="Q267" s="99"/>
      <c r="R267" s="98"/>
      <c r="S267" s="100"/>
      <c r="T267" s="110" t="s">
        <v>370</v>
      </c>
      <c r="U267" s="110"/>
      <c r="V267" s="102" t="s">
        <v>370</v>
      </c>
      <c r="W267" s="102" t="s">
        <v>370</v>
      </c>
      <c r="X267" s="102" t="s">
        <v>370</v>
      </c>
      <c r="Y267" s="101" t="s">
        <v>375</v>
      </c>
      <c r="Z267" s="101" t="s">
        <v>375</v>
      </c>
      <c r="AA267" s="102" t="s">
        <v>375</v>
      </c>
      <c r="AB267" s="98"/>
      <c r="AC267" s="99" t="s">
        <v>370</v>
      </c>
      <c r="AD267" s="99"/>
      <c r="AE267" s="99"/>
      <c r="AF267" s="99"/>
      <c r="AG267" s="98"/>
      <c r="AH267" s="98"/>
      <c r="AI267" s="102"/>
      <c r="AJ267" s="102"/>
      <c r="AK267" s="101"/>
      <c r="AL267" s="101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</row>
    <row r="268" spans="1:48" ht="16.3">
      <c r="A268" s="585" t="s">
        <v>1</v>
      </c>
      <c r="B268" s="221">
        <f>SUM(J268+K268+L268+M268+N268+S268+V268+W268+X268+AA268+AI268+AJ268+AI268+AM268+AP268+AQ268+AS268+AT268+AU268+AV268+AN268)</f>
        <v>8</v>
      </c>
      <c r="C268" s="215">
        <f>SUM(K268+L268+M268+N268+J268+S268+W268+X268+V268+AA268+AJ268+AI268+AJ268+AM268+AN268+AQ268+AP268+AT268+AU268+AV268+AS268+AO268)+97</f>
        <v>105</v>
      </c>
      <c r="D268" s="133"/>
      <c r="E268" s="134"/>
      <c r="F268" s="135"/>
      <c r="G268" s="136"/>
      <c r="H268" s="96"/>
      <c r="I268" s="96">
        <v>1</v>
      </c>
      <c r="J268" s="128">
        <v>1</v>
      </c>
      <c r="K268" s="104">
        <v>1</v>
      </c>
      <c r="L268" s="75">
        <v>1</v>
      </c>
      <c r="M268" s="75">
        <v>1</v>
      </c>
      <c r="N268" s="75">
        <v>1</v>
      </c>
      <c r="O268" s="96"/>
      <c r="P268" s="163"/>
      <c r="Q268" s="109"/>
      <c r="R268" s="108"/>
      <c r="S268" s="100"/>
      <c r="T268" s="110">
        <v>1</v>
      </c>
      <c r="U268" s="110"/>
      <c r="V268" s="100">
        <v>1</v>
      </c>
      <c r="W268" s="100">
        <v>1</v>
      </c>
      <c r="X268" s="100">
        <v>1</v>
      </c>
      <c r="Y268" s="110"/>
      <c r="Z268" s="110"/>
      <c r="AA268" s="100"/>
      <c r="AB268" s="108"/>
      <c r="AC268" s="109">
        <v>1</v>
      </c>
      <c r="AD268" s="109"/>
      <c r="AE268" s="109"/>
      <c r="AF268" s="109"/>
      <c r="AG268" s="108"/>
      <c r="AH268" s="108"/>
      <c r="AI268" s="100"/>
      <c r="AJ268" s="100"/>
      <c r="AK268" s="110"/>
      <c r="AL268" s="110"/>
      <c r="AM268" s="100"/>
      <c r="AN268" s="100"/>
      <c r="AO268" s="100"/>
      <c r="AP268" s="100"/>
      <c r="AQ268" s="100"/>
      <c r="AR268" s="100"/>
      <c r="AS268" s="100"/>
      <c r="AT268" s="100"/>
      <c r="AU268" s="100"/>
      <c r="AV268" s="100"/>
    </row>
    <row r="269" spans="1:48" ht="16.3">
      <c r="A269" s="585" t="s">
        <v>2</v>
      </c>
      <c r="B269" s="221">
        <f>SUM(J269+K269+L269+M269+N269+S269+V269+W269+X269+AA269+AI269+AJ269+AI269+AM269+AP269+AQ269+AS269+AT269+AU269+AV269)</f>
        <v>1</v>
      </c>
      <c r="C269" s="215">
        <f>SUM(K269+L269+M269+N269+J269+S269+W269+X269+V269+AA269+AJ269+AI269+AJ269+AM269+AN269+AQ269+AP269+AT269+AU269+AV269+AS269+AO269)+28</f>
        <v>29</v>
      </c>
      <c r="D269" s="133"/>
      <c r="E269" s="134"/>
      <c r="F269" s="135"/>
      <c r="G269" s="136"/>
      <c r="H269" s="96"/>
      <c r="I269" s="96"/>
      <c r="J269" s="128"/>
      <c r="K269" s="104"/>
      <c r="L269" s="75"/>
      <c r="M269" s="75"/>
      <c r="N269" s="75"/>
      <c r="O269" s="96"/>
      <c r="P269" s="163"/>
      <c r="Q269" s="109"/>
      <c r="R269" s="108"/>
      <c r="S269" s="100"/>
      <c r="T269" s="110"/>
      <c r="U269" s="110"/>
      <c r="V269" s="100"/>
      <c r="W269" s="100"/>
      <c r="X269" s="100"/>
      <c r="Y269" s="110">
        <v>1</v>
      </c>
      <c r="Z269" s="110">
        <v>1</v>
      </c>
      <c r="AA269" s="100">
        <v>1</v>
      </c>
      <c r="AB269" s="108"/>
      <c r="AC269" s="109"/>
      <c r="AD269" s="109"/>
      <c r="AE269" s="109"/>
      <c r="AF269" s="109"/>
      <c r="AG269" s="108"/>
      <c r="AH269" s="108"/>
      <c r="AI269" s="100"/>
      <c r="AJ269" s="100"/>
      <c r="AK269" s="110"/>
      <c r="AL269" s="110"/>
      <c r="AM269" s="100"/>
      <c r="AN269" s="100"/>
      <c r="AO269" s="100"/>
      <c r="AP269" s="100"/>
      <c r="AQ269" s="100"/>
      <c r="AR269" s="100"/>
      <c r="AS269" s="100"/>
      <c r="AT269" s="100"/>
      <c r="AU269" s="100"/>
      <c r="AV269" s="100"/>
    </row>
    <row r="270" spans="1:48" ht="16.3">
      <c r="A270" s="91" t="s">
        <v>363</v>
      </c>
      <c r="B270" s="219">
        <f>SUM(B268+B269)</f>
        <v>9</v>
      </c>
      <c r="C270" s="214">
        <f>SUM(C268+C269)</f>
        <v>134</v>
      </c>
      <c r="D270" s="133"/>
      <c r="E270" s="134"/>
      <c r="F270" s="135"/>
      <c r="G270" s="136"/>
      <c r="H270" s="96"/>
      <c r="I270" s="96"/>
      <c r="J270" s="128"/>
      <c r="K270" s="104"/>
      <c r="L270" s="75"/>
      <c r="M270" s="75"/>
      <c r="N270" s="75"/>
      <c r="O270" s="96"/>
      <c r="P270" s="163"/>
      <c r="Q270" s="109"/>
      <c r="R270" s="108"/>
      <c r="S270" s="100"/>
      <c r="T270" s="110"/>
      <c r="U270" s="110"/>
      <c r="V270" s="100"/>
      <c r="W270" s="100"/>
      <c r="X270" s="100"/>
      <c r="Y270" s="110"/>
      <c r="Z270" s="110"/>
      <c r="AA270" s="100"/>
      <c r="AB270" s="108"/>
      <c r="AC270" s="109"/>
      <c r="AD270" s="109"/>
      <c r="AE270" s="109"/>
      <c r="AF270" s="109"/>
      <c r="AG270" s="108"/>
      <c r="AH270" s="108"/>
      <c r="AI270" s="100"/>
      <c r="AJ270" s="100"/>
      <c r="AK270" s="110"/>
      <c r="AL270" s="110"/>
      <c r="AM270" s="100"/>
      <c r="AN270" s="100"/>
      <c r="AO270" s="100"/>
      <c r="AP270" s="100"/>
      <c r="AQ270" s="100"/>
      <c r="AR270" s="100"/>
      <c r="AS270" s="100"/>
      <c r="AT270" s="100"/>
      <c r="AU270" s="100"/>
      <c r="AV270" s="100"/>
    </row>
    <row r="271" spans="1:48" ht="16.3">
      <c r="A271" s="585" t="s">
        <v>362</v>
      </c>
      <c r="B271" s="221">
        <f>SUM(J271+K271+L271+M271+N271+S271+V271+W271+X271+AA271+AI271+AJ271+AI271+AM271+AP271+AQ271+AS271+AT271+AU271+AV271)</f>
        <v>0</v>
      </c>
      <c r="C271" s="215">
        <f>SUM(K271+L271+M271+N271+J271+S271+W271+X271+V271+AA271+AJ271+AI271+AJ271+AM271+AN271+AQ271+AP271+AT271+AU271+AV271+AS271+AO271)+2</f>
        <v>2</v>
      </c>
      <c r="D271" s="133"/>
      <c r="E271" s="134"/>
      <c r="F271" s="135"/>
      <c r="G271" s="136"/>
      <c r="H271" s="96"/>
      <c r="I271" s="96"/>
      <c r="J271" s="128"/>
      <c r="K271" s="104"/>
      <c r="L271" s="75"/>
      <c r="M271" s="75"/>
      <c r="N271" s="75"/>
      <c r="O271" s="96"/>
      <c r="P271" s="163"/>
      <c r="Q271" s="109"/>
      <c r="R271" s="108"/>
      <c r="S271" s="100"/>
      <c r="T271" s="110"/>
      <c r="U271" s="110"/>
      <c r="V271" s="100"/>
      <c r="W271" s="100"/>
      <c r="X271" s="100"/>
      <c r="Y271" s="110"/>
      <c r="Z271" s="110"/>
      <c r="AA271" s="100"/>
      <c r="AB271" s="108"/>
      <c r="AC271" s="109"/>
      <c r="AD271" s="109"/>
      <c r="AE271" s="109"/>
      <c r="AF271" s="109"/>
      <c r="AG271" s="108"/>
      <c r="AH271" s="108"/>
      <c r="AI271" s="100"/>
      <c r="AJ271" s="100"/>
      <c r="AK271" s="110"/>
      <c r="AL271" s="110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</row>
    <row r="272" spans="1:48" ht="16.3">
      <c r="A272" s="585" t="s">
        <v>364</v>
      </c>
      <c r="B272" s="221">
        <f>SUM(J272+K272+L272+M272+N272+S272+V272+W272+X272+AA272+AI272+AJ272+AI272+AM272+AP272+AQ272+AS272+AT272+AU272+AV272)</f>
        <v>0</v>
      </c>
      <c r="C272" s="215">
        <f>SUM(K272+L272+M272+N272+J272+S272+W272+X272+V272+AA272+AJ272+AI272+AJ272+AM272+AN272+AQ272+AP272+AT272+AU272+AV272+AS272+AO272)+1</f>
        <v>1</v>
      </c>
      <c r="D272" s="133"/>
      <c r="E272" s="134"/>
      <c r="F272" s="135"/>
      <c r="G272" s="136"/>
      <c r="H272" s="96"/>
      <c r="I272" s="96"/>
      <c r="J272" s="128"/>
      <c r="K272" s="104"/>
      <c r="L272" s="75"/>
      <c r="M272" s="75"/>
      <c r="N272" s="75"/>
      <c r="O272" s="96"/>
      <c r="P272" s="163"/>
      <c r="Q272" s="109"/>
      <c r="R272" s="108"/>
      <c r="S272" s="100"/>
      <c r="T272" s="110"/>
      <c r="U272" s="110"/>
      <c r="V272" s="100"/>
      <c r="W272" s="100"/>
      <c r="X272" s="100"/>
      <c r="Y272" s="110"/>
      <c r="Z272" s="110"/>
      <c r="AA272" s="100"/>
      <c r="AB272" s="108"/>
      <c r="AC272" s="109"/>
      <c r="AD272" s="109"/>
      <c r="AE272" s="109"/>
      <c r="AF272" s="109"/>
      <c r="AG272" s="108"/>
      <c r="AH272" s="108"/>
      <c r="AI272" s="100"/>
      <c r="AJ272" s="100"/>
      <c r="AK272" s="110"/>
      <c r="AL272" s="110"/>
      <c r="AM272" s="100"/>
      <c r="AN272" s="100"/>
      <c r="AO272" s="100"/>
      <c r="AP272" s="100"/>
      <c r="AQ272" s="100"/>
      <c r="AR272" s="100"/>
      <c r="AS272" s="100"/>
      <c r="AT272" s="100"/>
      <c r="AU272" s="100"/>
      <c r="AV272" s="100"/>
    </row>
    <row r="273" spans="1:48" ht="16.3">
      <c r="A273" s="91" t="s">
        <v>3</v>
      </c>
      <c r="B273" s="219">
        <f>SUM(J273+K273+L273+M273+N273+S273+V273+W273+X273+AA273+AI273+AJ273+AI273+AM273+AP273+AQ273+AS273+AT273+AU273+AV273)</f>
        <v>0</v>
      </c>
      <c r="C273" s="214">
        <f>SUM(K273+L273+M273+N273+J273+S273+W273+X273+V273+AA273+AJ273+AI273+AJ273+AM273+AN273+AQ273+AP273+AT273+AU273+AV273+AS273+AO273)+11</f>
        <v>11</v>
      </c>
      <c r="D273" s="133"/>
      <c r="E273" s="134"/>
      <c r="F273" s="135"/>
      <c r="G273" s="136"/>
      <c r="H273" s="96"/>
      <c r="I273" s="96"/>
      <c r="J273" s="128"/>
      <c r="K273" s="104"/>
      <c r="L273" s="75"/>
      <c r="M273" s="75"/>
      <c r="N273" s="75"/>
      <c r="O273" s="96"/>
      <c r="P273" s="163"/>
      <c r="Q273" s="109"/>
      <c r="R273" s="108"/>
      <c r="S273" s="100"/>
      <c r="T273" s="110"/>
      <c r="U273" s="110"/>
      <c r="V273" s="100"/>
      <c r="W273" s="100"/>
      <c r="X273" s="100"/>
      <c r="Y273" s="110"/>
      <c r="Z273" s="110"/>
      <c r="AA273" s="100"/>
      <c r="AB273" s="108"/>
      <c r="AC273" s="109"/>
      <c r="AD273" s="109"/>
      <c r="AE273" s="109"/>
      <c r="AF273" s="109"/>
      <c r="AG273" s="108"/>
      <c r="AH273" s="108"/>
      <c r="AI273" s="100"/>
      <c r="AJ273" s="100"/>
      <c r="AK273" s="110"/>
      <c r="AL273" s="110"/>
      <c r="AM273" s="100"/>
      <c r="AN273" s="100"/>
      <c r="AO273" s="100"/>
      <c r="AP273" s="100"/>
      <c r="AQ273" s="100"/>
      <c r="AR273" s="100"/>
      <c r="AS273" s="100"/>
      <c r="AT273" s="100"/>
      <c r="AU273" s="100"/>
      <c r="AV273" s="100"/>
    </row>
    <row r="274" spans="1:48" ht="17" thickBot="1">
      <c r="A274" s="92" t="s">
        <v>4</v>
      </c>
      <c r="B274" s="220">
        <f>SUM(J274+K274+L274+M274+N274+S274+V274+W274+X274+AA274+AI274+AJ274+AI274+AM274+AP274+AQ274+AS274+AT274+AU274+AV274)</f>
        <v>0</v>
      </c>
      <c r="C274" s="217">
        <f>SUM(K274+L274+M274+N274+J274+S274+W274+X274+V274+AA274+AJ274+AI274+AJ274+AM274+AN274+AQ274+AP274+AT274+AU274+AV274+AS274+AO274)+55</f>
        <v>55</v>
      </c>
      <c r="D274" s="144"/>
      <c r="E274" s="145"/>
      <c r="F274" s="146"/>
      <c r="G274" s="147"/>
      <c r="H274" s="114"/>
      <c r="I274" s="114"/>
      <c r="J274" s="129"/>
      <c r="K274" s="113"/>
      <c r="L274" s="112"/>
      <c r="M274" s="112"/>
      <c r="N274" s="112"/>
      <c r="O274" s="114"/>
      <c r="P274" s="164"/>
      <c r="Q274" s="118"/>
      <c r="R274" s="117"/>
      <c r="S274" s="116"/>
      <c r="T274" s="120"/>
      <c r="U274" s="120"/>
      <c r="V274" s="116"/>
      <c r="W274" s="116"/>
      <c r="X274" s="116"/>
      <c r="Y274" s="120"/>
      <c r="Z274" s="120"/>
      <c r="AA274" s="116"/>
      <c r="AB274" s="117"/>
      <c r="AC274" s="118"/>
      <c r="AD274" s="118"/>
      <c r="AE274" s="118"/>
      <c r="AF274" s="118"/>
      <c r="AG274" s="117"/>
      <c r="AH274" s="117"/>
      <c r="AI274" s="116"/>
      <c r="AJ274" s="116"/>
      <c r="AK274" s="120"/>
      <c r="AL274" s="120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</row>
    <row r="275" spans="1:48" ht="21.1">
      <c r="A275" s="89" t="s">
        <v>528</v>
      </c>
      <c r="B275" s="219"/>
      <c r="C275" s="214"/>
      <c r="D275" s="133"/>
      <c r="E275" s="134"/>
      <c r="F275" s="135"/>
      <c r="G275" s="136"/>
      <c r="H275" s="96" t="s">
        <v>394</v>
      </c>
      <c r="I275" s="96" t="s">
        <v>394</v>
      </c>
      <c r="J275" s="128" t="s">
        <v>394</v>
      </c>
      <c r="K275" s="104" t="s">
        <v>394</v>
      </c>
      <c r="L275" s="75" t="s">
        <v>432</v>
      </c>
      <c r="M275" s="75" t="s">
        <v>375</v>
      </c>
      <c r="N275" s="75" t="s">
        <v>375</v>
      </c>
      <c r="O275" s="96"/>
      <c r="P275" s="163"/>
      <c r="Q275" s="99" t="s">
        <v>394</v>
      </c>
      <c r="R275" s="98"/>
      <c r="S275" s="100" t="s">
        <v>375</v>
      </c>
      <c r="T275" s="110" t="s">
        <v>375</v>
      </c>
      <c r="U275" s="110" t="s">
        <v>370</v>
      </c>
      <c r="V275" s="102" t="s">
        <v>375</v>
      </c>
      <c r="W275" s="102" t="s">
        <v>375</v>
      </c>
      <c r="X275" s="102" t="s">
        <v>375</v>
      </c>
      <c r="Y275" s="101" t="s">
        <v>370</v>
      </c>
      <c r="Z275" s="101" t="s">
        <v>370</v>
      </c>
      <c r="AA275" s="102" t="s">
        <v>370</v>
      </c>
      <c r="AB275" s="98"/>
      <c r="AC275" s="99"/>
      <c r="AD275" s="99"/>
      <c r="AE275" s="99"/>
      <c r="AF275" s="99"/>
      <c r="AG275" s="98"/>
      <c r="AH275" s="98"/>
      <c r="AI275" s="102"/>
      <c r="AJ275" s="102"/>
      <c r="AK275" s="101"/>
      <c r="AL275" s="101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</row>
    <row r="276" spans="1:48" ht="16.3">
      <c r="A276" s="611" t="s">
        <v>1</v>
      </c>
      <c r="B276" s="221">
        <f>SUM(J276+K276+L276+M276+N276+S276+V276+W276+X276+AA276+AI276+AJ276+AI276+AM276+AP276+AQ276+AS276+AT276+AU276+AV276+AN276)</f>
        <v>1</v>
      </c>
      <c r="C276" s="215">
        <f>B276</f>
        <v>1</v>
      </c>
      <c r="D276" s="133"/>
      <c r="E276" s="134"/>
      <c r="F276" s="135"/>
      <c r="G276" s="136"/>
      <c r="H276" s="96"/>
      <c r="I276" s="96"/>
      <c r="J276" s="128"/>
      <c r="K276" s="104"/>
      <c r="L276" s="75"/>
      <c r="M276" s="75"/>
      <c r="N276" s="75"/>
      <c r="O276" s="96"/>
      <c r="P276" s="163"/>
      <c r="Q276" s="109"/>
      <c r="R276" s="108"/>
      <c r="S276" s="100"/>
      <c r="T276" s="110"/>
      <c r="U276" s="110">
        <v>1</v>
      </c>
      <c r="V276" s="100"/>
      <c r="W276" s="100"/>
      <c r="X276" s="100"/>
      <c r="Y276" s="110">
        <v>1</v>
      </c>
      <c r="Z276" s="110">
        <v>1</v>
      </c>
      <c r="AA276" s="100">
        <v>1</v>
      </c>
      <c r="AB276" s="108"/>
      <c r="AC276" s="109"/>
      <c r="AD276" s="109"/>
      <c r="AE276" s="109"/>
      <c r="AF276" s="109"/>
      <c r="AG276" s="108"/>
      <c r="AH276" s="108"/>
      <c r="AI276" s="100"/>
      <c r="AJ276" s="100"/>
      <c r="AK276" s="110"/>
      <c r="AL276" s="11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</row>
    <row r="277" spans="1:48" ht="16.3">
      <c r="A277" s="611" t="s">
        <v>2</v>
      </c>
      <c r="B277" s="221">
        <f>SUM(J277+K277+L277+M277+N277+S277+V277+W277+X277+AA277+AI277+AJ277+AI277+AM277+AP277+AQ277+AS277+AT277+AU277+AV277)</f>
        <v>7</v>
      </c>
      <c r="C277" s="215">
        <f t="shared" ref="C277:C280" si="44">B277</f>
        <v>7</v>
      </c>
      <c r="D277" s="133"/>
      <c r="E277" s="134"/>
      <c r="F277" s="135"/>
      <c r="G277" s="136"/>
      <c r="H277" s="96"/>
      <c r="I277" s="96"/>
      <c r="J277" s="128"/>
      <c r="K277" s="104"/>
      <c r="L277" s="75">
        <v>1</v>
      </c>
      <c r="M277" s="75">
        <v>1</v>
      </c>
      <c r="N277" s="75">
        <v>1</v>
      </c>
      <c r="O277" s="96"/>
      <c r="P277" s="105"/>
      <c r="Q277" s="96"/>
      <c r="R277" s="105"/>
      <c r="S277" s="75">
        <v>1</v>
      </c>
      <c r="T277" s="106">
        <v>1</v>
      </c>
      <c r="U277" s="106"/>
      <c r="V277" s="75">
        <v>1</v>
      </c>
      <c r="W277" s="75">
        <v>1</v>
      </c>
      <c r="X277" s="75">
        <v>1</v>
      </c>
      <c r="Y277" s="106"/>
      <c r="Z277" s="106"/>
      <c r="AA277" s="75"/>
      <c r="AB277" s="105"/>
      <c r="AC277" s="96"/>
      <c r="AD277" s="96"/>
      <c r="AE277" s="96"/>
      <c r="AF277" s="96"/>
      <c r="AG277" s="105"/>
      <c r="AH277" s="105"/>
      <c r="AI277" s="75"/>
      <c r="AJ277" s="75"/>
      <c r="AK277" s="106"/>
      <c r="AL277" s="106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</row>
    <row r="278" spans="1:48" ht="16.3">
      <c r="A278" s="91" t="s">
        <v>363</v>
      </c>
      <c r="B278" s="219">
        <f>SUM(B276+B277)</f>
        <v>8</v>
      </c>
      <c r="C278" s="214">
        <f t="shared" si="44"/>
        <v>8</v>
      </c>
      <c r="D278" s="133"/>
      <c r="E278" s="134"/>
      <c r="F278" s="135"/>
      <c r="G278" s="136"/>
      <c r="H278" s="96"/>
      <c r="I278" s="96"/>
      <c r="J278" s="128"/>
      <c r="K278" s="104"/>
      <c r="L278" s="75"/>
      <c r="M278" s="75"/>
      <c r="N278" s="75"/>
      <c r="O278" s="96"/>
      <c r="P278" s="163"/>
      <c r="Q278" s="109"/>
      <c r="R278" s="108"/>
      <c r="S278" s="100"/>
      <c r="T278" s="110"/>
      <c r="U278" s="110"/>
      <c r="V278" s="100"/>
      <c r="W278" s="100"/>
      <c r="X278" s="100"/>
      <c r="Y278" s="110"/>
      <c r="Z278" s="110"/>
      <c r="AA278" s="100"/>
      <c r="AB278" s="108"/>
      <c r="AC278" s="109"/>
      <c r="AD278" s="109"/>
      <c r="AE278" s="109"/>
      <c r="AF278" s="109"/>
      <c r="AG278" s="108"/>
      <c r="AH278" s="108"/>
      <c r="AI278" s="100"/>
      <c r="AJ278" s="100"/>
      <c r="AK278" s="110"/>
      <c r="AL278" s="11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100"/>
    </row>
    <row r="279" spans="1:48" ht="16.3">
      <c r="A279" s="91" t="s">
        <v>3</v>
      </c>
      <c r="B279" s="219">
        <f>SUM(J279+K279+L279+M279+N279+S279+V279+W279+X279+AA279+AI279+AJ279+AI279+AM279+AP279+AQ279+AS279+AT279+AU279+AV279)</f>
        <v>0</v>
      </c>
      <c r="C279" s="214">
        <f t="shared" si="44"/>
        <v>0</v>
      </c>
      <c r="D279" s="133"/>
      <c r="E279" s="134"/>
      <c r="F279" s="135"/>
      <c r="G279" s="136"/>
      <c r="H279" s="96"/>
      <c r="I279" s="96"/>
      <c r="J279" s="128"/>
      <c r="K279" s="104"/>
      <c r="L279" s="75"/>
      <c r="M279" s="75"/>
      <c r="N279" s="75"/>
      <c r="O279" s="96"/>
      <c r="P279" s="163"/>
      <c r="Q279" s="109"/>
      <c r="R279" s="108"/>
      <c r="S279" s="100"/>
      <c r="T279" s="110"/>
      <c r="U279" s="110">
        <v>1</v>
      </c>
      <c r="V279" s="100"/>
      <c r="W279" s="100"/>
      <c r="X279" s="100"/>
      <c r="Y279" s="110"/>
      <c r="Z279" s="110"/>
      <c r="AA279" s="100"/>
      <c r="AB279" s="108"/>
      <c r="AC279" s="109"/>
      <c r="AD279" s="109"/>
      <c r="AE279" s="109"/>
      <c r="AF279" s="109"/>
      <c r="AG279" s="108"/>
      <c r="AH279" s="108"/>
      <c r="AI279" s="100"/>
      <c r="AJ279" s="100"/>
      <c r="AK279" s="110"/>
      <c r="AL279" s="110"/>
      <c r="AM279" s="100"/>
      <c r="AN279" s="100"/>
      <c r="AO279" s="100"/>
      <c r="AP279" s="100"/>
      <c r="AQ279" s="100"/>
      <c r="AR279" s="100"/>
      <c r="AS279" s="100"/>
      <c r="AT279" s="100"/>
      <c r="AU279" s="100"/>
      <c r="AV279" s="100"/>
    </row>
    <row r="280" spans="1:48" ht="17" thickBot="1">
      <c r="A280" s="91" t="s">
        <v>4</v>
      </c>
      <c r="B280" s="220">
        <f>SUM(J280+K280+L280+M280+N280+S280+V280+W280+X280+AA280+AI280+AJ280+AI280+AM280+AP280+AQ280+AS280+AT280+AU280+AV280)</f>
        <v>0</v>
      </c>
      <c r="C280" s="217">
        <f t="shared" si="44"/>
        <v>0</v>
      </c>
      <c r="D280" s="144"/>
      <c r="E280" s="145"/>
      <c r="F280" s="146"/>
      <c r="G280" s="147"/>
      <c r="H280" s="96"/>
      <c r="I280" s="96"/>
      <c r="J280" s="128"/>
      <c r="K280" s="104"/>
      <c r="L280" s="75"/>
      <c r="M280" s="75"/>
      <c r="N280" s="75"/>
      <c r="O280" s="96"/>
      <c r="P280" s="163"/>
      <c r="Q280" s="109"/>
      <c r="R280" s="108"/>
      <c r="S280" s="100"/>
      <c r="T280" s="110"/>
      <c r="U280" s="110">
        <v>5</v>
      </c>
      <c r="V280" s="100"/>
      <c r="W280" s="100"/>
      <c r="X280" s="100"/>
      <c r="Y280" s="110"/>
      <c r="Z280" s="110"/>
      <c r="AA280" s="100"/>
      <c r="AB280" s="108"/>
      <c r="AC280" s="109"/>
      <c r="AD280" s="109"/>
      <c r="AE280" s="109"/>
      <c r="AF280" s="109"/>
      <c r="AG280" s="108"/>
      <c r="AH280" s="108"/>
      <c r="AI280" s="100"/>
      <c r="AJ280" s="100"/>
      <c r="AK280" s="110"/>
      <c r="AL280" s="110"/>
      <c r="AM280" s="100"/>
      <c r="AN280" s="100"/>
      <c r="AO280" s="100"/>
      <c r="AP280" s="100"/>
      <c r="AQ280" s="100"/>
      <c r="AR280" s="100"/>
      <c r="AS280" s="100"/>
      <c r="AT280" s="100"/>
      <c r="AU280" s="100"/>
      <c r="AV280" s="100"/>
    </row>
    <row r="281" spans="1:48" ht="21.1">
      <c r="A281" s="90" t="s">
        <v>594</v>
      </c>
      <c r="B281" s="219"/>
      <c r="C281" s="214"/>
      <c r="D281" s="133"/>
      <c r="E281" s="134"/>
      <c r="F281" s="135"/>
      <c r="G281" s="136"/>
      <c r="H281" s="124" t="s">
        <v>448</v>
      </c>
      <c r="I281" s="124"/>
      <c r="J281" s="165"/>
      <c r="K281" s="123"/>
      <c r="L281" s="122"/>
      <c r="M281" s="122"/>
      <c r="N281" s="122"/>
      <c r="O281" s="124"/>
      <c r="P281" s="166"/>
      <c r="Q281" s="99"/>
      <c r="R281" s="98"/>
      <c r="S281" s="102"/>
      <c r="T281" s="101"/>
      <c r="U281" s="101"/>
      <c r="V281" s="102"/>
      <c r="W281" s="102"/>
      <c r="X281" s="102"/>
      <c r="Y281" s="101"/>
      <c r="Z281" s="101"/>
      <c r="AA281" s="102"/>
      <c r="AB281" s="98"/>
      <c r="AC281" s="99"/>
      <c r="AD281" s="99" t="s">
        <v>375</v>
      </c>
      <c r="AE281" s="99"/>
      <c r="AF281" s="99"/>
      <c r="AG281" s="98"/>
      <c r="AH281" s="98"/>
      <c r="AI281" s="102"/>
      <c r="AJ281" s="102"/>
      <c r="AK281" s="101"/>
      <c r="AL281" s="101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</row>
    <row r="282" spans="1:48" ht="16.3">
      <c r="A282" s="611" t="s">
        <v>1</v>
      </c>
      <c r="B282" s="221">
        <f>SUM(J282+K282+L282+M282+N282+S282+V282+W282+X282+AA282+AI282+AJ282+AI282+AM282+AP282+AQ282+AS282+AT282+AU282+AV282+AN282)</f>
        <v>0</v>
      </c>
      <c r="C282" s="215">
        <f>B282</f>
        <v>0</v>
      </c>
      <c r="D282" s="133"/>
      <c r="E282" s="134"/>
      <c r="F282" s="135"/>
      <c r="G282" s="136"/>
      <c r="H282" s="96">
        <v>1</v>
      </c>
      <c r="I282" s="96"/>
      <c r="J282" s="128"/>
      <c r="K282" s="104"/>
      <c r="L282" s="75"/>
      <c r="M282" s="75"/>
      <c r="N282" s="75"/>
      <c r="O282" s="96"/>
      <c r="P282" s="163"/>
      <c r="Q282" s="109"/>
      <c r="R282" s="108"/>
      <c r="S282" s="100"/>
      <c r="T282" s="110"/>
      <c r="U282" s="110"/>
      <c r="V282" s="100"/>
      <c r="W282" s="100"/>
      <c r="X282" s="100"/>
      <c r="Y282" s="110"/>
      <c r="Z282" s="110"/>
      <c r="AA282" s="100"/>
      <c r="AB282" s="108"/>
      <c r="AC282" s="109"/>
      <c r="AD282" s="109"/>
      <c r="AE282" s="109"/>
      <c r="AF282" s="109"/>
      <c r="AG282" s="108"/>
      <c r="AH282" s="108"/>
      <c r="AI282" s="100"/>
      <c r="AJ282" s="100"/>
      <c r="AK282" s="110"/>
      <c r="AL282" s="110"/>
      <c r="AM282" s="100"/>
      <c r="AN282" s="100"/>
      <c r="AO282" s="100"/>
      <c r="AP282" s="100"/>
      <c r="AQ282" s="100"/>
      <c r="AR282" s="100"/>
      <c r="AS282" s="100"/>
      <c r="AT282" s="100"/>
      <c r="AU282" s="100"/>
      <c r="AV282" s="100"/>
    </row>
    <row r="283" spans="1:48" ht="16.3">
      <c r="A283" s="611" t="s">
        <v>2</v>
      </c>
      <c r="B283" s="221">
        <f>SUM(J283+K283+L283+M283+N283+S283+V283+W283+X283+AA283+AI283+AJ283+AI283+AM283+AP283+AQ283+AS283+AT283+AU283+AV283)</f>
        <v>0</v>
      </c>
      <c r="C283" s="215">
        <f t="shared" ref="C283:C286" si="45">B283</f>
        <v>0</v>
      </c>
      <c r="D283" s="133"/>
      <c r="E283" s="134"/>
      <c r="F283" s="135"/>
      <c r="G283" s="136"/>
      <c r="H283" s="96"/>
      <c r="I283" s="96"/>
      <c r="J283" s="128"/>
      <c r="K283" s="104"/>
      <c r="L283" s="75"/>
      <c r="M283" s="75"/>
      <c r="N283" s="75"/>
      <c r="O283" s="96"/>
      <c r="P283" s="163"/>
      <c r="Q283" s="109"/>
      <c r="R283" s="108"/>
      <c r="S283" s="100"/>
      <c r="T283" s="110"/>
      <c r="U283" s="110"/>
      <c r="V283" s="100"/>
      <c r="W283" s="100"/>
      <c r="X283" s="100"/>
      <c r="Y283" s="110"/>
      <c r="Z283" s="110"/>
      <c r="AA283" s="100"/>
      <c r="AB283" s="108"/>
      <c r="AC283" s="109"/>
      <c r="AD283" s="109">
        <v>1</v>
      </c>
      <c r="AE283" s="109"/>
      <c r="AF283" s="109"/>
      <c r="AG283" s="108"/>
      <c r="AH283" s="108"/>
      <c r="AI283" s="100"/>
      <c r="AJ283" s="100"/>
      <c r="AK283" s="110"/>
      <c r="AL283" s="110"/>
      <c r="AM283" s="100"/>
      <c r="AN283" s="100"/>
      <c r="AO283" s="100"/>
      <c r="AP283" s="100"/>
      <c r="AQ283" s="100"/>
      <c r="AR283" s="100"/>
      <c r="AS283" s="100"/>
      <c r="AT283" s="100"/>
      <c r="AU283" s="100"/>
      <c r="AV283" s="100"/>
    </row>
    <row r="284" spans="1:48" ht="16.3">
      <c r="A284" s="91" t="s">
        <v>363</v>
      </c>
      <c r="B284" s="219">
        <f>SUM(B282+B283)</f>
        <v>0</v>
      </c>
      <c r="C284" s="214">
        <f t="shared" si="45"/>
        <v>0</v>
      </c>
      <c r="D284" s="133"/>
      <c r="E284" s="134"/>
      <c r="F284" s="135"/>
      <c r="G284" s="136"/>
      <c r="H284" s="96"/>
      <c r="I284" s="96"/>
      <c r="J284" s="128"/>
      <c r="K284" s="104"/>
      <c r="L284" s="75"/>
      <c r="M284" s="75"/>
      <c r="N284" s="75"/>
      <c r="O284" s="96"/>
      <c r="P284" s="163"/>
      <c r="Q284" s="109"/>
      <c r="R284" s="108"/>
      <c r="S284" s="100"/>
      <c r="T284" s="110"/>
      <c r="U284" s="110"/>
      <c r="V284" s="100"/>
      <c r="W284" s="100"/>
      <c r="X284" s="100"/>
      <c r="Y284" s="110"/>
      <c r="Z284" s="110"/>
      <c r="AA284" s="100"/>
      <c r="AB284" s="108"/>
      <c r="AC284" s="109"/>
      <c r="AD284" s="109"/>
      <c r="AE284" s="109"/>
      <c r="AF284" s="109"/>
      <c r="AG284" s="108"/>
      <c r="AH284" s="108"/>
      <c r="AI284" s="100"/>
      <c r="AJ284" s="100"/>
      <c r="AK284" s="110"/>
      <c r="AL284" s="110"/>
      <c r="AM284" s="100"/>
      <c r="AN284" s="100"/>
      <c r="AO284" s="100"/>
      <c r="AP284" s="100"/>
      <c r="AQ284" s="100"/>
      <c r="AR284" s="100"/>
      <c r="AS284" s="100"/>
      <c r="AT284" s="100"/>
      <c r="AU284" s="100"/>
      <c r="AV284" s="100"/>
    </row>
    <row r="285" spans="1:48" ht="16.3">
      <c r="A285" s="91" t="s">
        <v>3</v>
      </c>
      <c r="B285" s="219">
        <f>SUM(J285+K285+L285+M285+N285+S285+V285+W285+X285+AA285+AI285+AJ285+AI285+AM285+AP285+AQ285+AS285+AT285+AU285+AV285)</f>
        <v>0</v>
      </c>
      <c r="C285" s="214">
        <f t="shared" si="45"/>
        <v>0</v>
      </c>
      <c r="D285" s="133"/>
      <c r="E285" s="134"/>
      <c r="F285" s="135"/>
      <c r="G285" s="136"/>
      <c r="H285" s="96"/>
      <c r="I285" s="96"/>
      <c r="J285" s="128"/>
      <c r="K285" s="104"/>
      <c r="L285" s="75"/>
      <c r="M285" s="75"/>
      <c r="N285" s="75"/>
      <c r="O285" s="96"/>
      <c r="P285" s="163"/>
      <c r="Q285" s="109"/>
      <c r="R285" s="108"/>
      <c r="S285" s="100"/>
      <c r="T285" s="110"/>
      <c r="U285" s="110"/>
      <c r="V285" s="100"/>
      <c r="W285" s="100"/>
      <c r="X285" s="100"/>
      <c r="Y285" s="110"/>
      <c r="Z285" s="110"/>
      <c r="AA285" s="100"/>
      <c r="AB285" s="108"/>
      <c r="AC285" s="109"/>
      <c r="AD285" s="109"/>
      <c r="AE285" s="109"/>
      <c r="AF285" s="109"/>
      <c r="AG285" s="108"/>
      <c r="AH285" s="108"/>
      <c r="AI285" s="100"/>
      <c r="AJ285" s="100"/>
      <c r="AK285" s="110"/>
      <c r="AL285" s="110"/>
      <c r="AM285" s="100"/>
      <c r="AN285" s="100"/>
      <c r="AO285" s="100"/>
      <c r="AP285" s="100"/>
      <c r="AQ285" s="100"/>
      <c r="AR285" s="100"/>
      <c r="AS285" s="100"/>
      <c r="AT285" s="100"/>
      <c r="AU285" s="100"/>
      <c r="AV285" s="100"/>
    </row>
    <row r="286" spans="1:48" ht="17" thickBot="1">
      <c r="A286" s="92" t="s">
        <v>4</v>
      </c>
      <c r="B286" s="220">
        <f>SUM(J286+K286+L286+M286+N286+S286+V286+W286+X286+AA286+AI286+AJ286+AI286+AM286+AP286+AQ286+AS286+AT286+AU286+AV286)</f>
        <v>0</v>
      </c>
      <c r="C286" s="217">
        <f t="shared" si="45"/>
        <v>0</v>
      </c>
      <c r="D286" s="144"/>
      <c r="E286" s="145"/>
      <c r="F286" s="146"/>
      <c r="G286" s="147"/>
      <c r="H286" s="114"/>
      <c r="I286" s="114"/>
      <c r="J286" s="129"/>
      <c r="K286" s="113"/>
      <c r="L286" s="112"/>
      <c r="M286" s="112"/>
      <c r="N286" s="112"/>
      <c r="O286" s="114"/>
      <c r="P286" s="117"/>
      <c r="Q286" s="118"/>
      <c r="R286" s="117"/>
      <c r="S286" s="116"/>
      <c r="T286" s="120"/>
      <c r="U286" s="119"/>
      <c r="V286" s="116"/>
      <c r="W286" s="116"/>
      <c r="X286" s="116"/>
      <c r="Y286" s="120"/>
      <c r="Z286" s="120"/>
      <c r="AA286" s="116"/>
      <c r="AB286" s="117"/>
      <c r="AC286" s="118"/>
      <c r="AD286" s="118"/>
      <c r="AE286" s="118"/>
      <c r="AF286" s="118"/>
      <c r="AG286" s="117"/>
      <c r="AH286" s="117"/>
      <c r="AI286" s="116"/>
      <c r="AJ286" s="116"/>
      <c r="AK286" s="120"/>
      <c r="AL286" s="120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</row>
    <row r="287" spans="1:48" ht="21.1">
      <c r="A287" s="89" t="s">
        <v>503</v>
      </c>
      <c r="B287" s="219"/>
      <c r="C287" s="214"/>
      <c r="D287" s="133"/>
      <c r="E287" s="134"/>
      <c r="F287" s="135"/>
      <c r="G287" s="136"/>
      <c r="H287" s="96" t="s">
        <v>375</v>
      </c>
      <c r="I287" s="96" t="s">
        <v>375</v>
      </c>
      <c r="J287" s="128" t="s">
        <v>375</v>
      </c>
      <c r="K287" s="104"/>
      <c r="L287" s="75"/>
      <c r="M287" s="104"/>
      <c r="N287" s="75"/>
      <c r="O287" s="96" t="s">
        <v>375</v>
      </c>
      <c r="P287" s="163"/>
      <c r="Q287" s="109" t="s">
        <v>375</v>
      </c>
      <c r="R287" s="108"/>
      <c r="S287" s="100" t="s">
        <v>339</v>
      </c>
      <c r="T287" s="110" t="s">
        <v>339</v>
      </c>
      <c r="U287" s="110" t="s">
        <v>339</v>
      </c>
      <c r="V287" s="100" t="s">
        <v>339</v>
      </c>
      <c r="W287" s="100"/>
      <c r="X287" s="100"/>
      <c r="Y287" s="110"/>
      <c r="Z287" s="110" t="s">
        <v>984</v>
      </c>
      <c r="AA287" s="100" t="s">
        <v>984</v>
      </c>
      <c r="AB287" s="108"/>
      <c r="AC287" s="109" t="s">
        <v>984</v>
      </c>
      <c r="AD287" s="109"/>
      <c r="AE287" s="109"/>
      <c r="AF287" s="109"/>
      <c r="AG287" s="108"/>
      <c r="AH287" s="108"/>
      <c r="AI287" s="100"/>
      <c r="AJ287" s="100"/>
      <c r="AK287" s="110"/>
      <c r="AL287" s="110"/>
      <c r="AM287" s="100"/>
      <c r="AN287" s="100"/>
      <c r="AO287" s="100"/>
      <c r="AP287" s="100"/>
      <c r="AQ287" s="100"/>
      <c r="AR287" s="100"/>
      <c r="AS287" s="100"/>
      <c r="AT287" s="100"/>
      <c r="AU287" s="100"/>
      <c r="AV287" s="100"/>
    </row>
    <row r="288" spans="1:48" ht="16.3">
      <c r="A288" s="611" t="s">
        <v>1</v>
      </c>
      <c r="B288" s="221">
        <f>SUM(J288+K288+L288+M288+N288+S288+V288+W288+X288+AA288+AI288+AJ288+AI288+AM288+AP288+AQ288+AS288+AT288+AU288+AV288+AN288)</f>
        <v>0</v>
      </c>
      <c r="C288" s="215">
        <f>B288</f>
        <v>0</v>
      </c>
      <c r="D288" s="133"/>
      <c r="E288" s="134"/>
      <c r="F288" s="135"/>
      <c r="G288" s="136"/>
      <c r="H288" s="96"/>
      <c r="I288" s="96"/>
      <c r="J288" s="128"/>
      <c r="K288" s="104"/>
      <c r="L288" s="75"/>
      <c r="M288" s="104"/>
      <c r="N288" s="75"/>
      <c r="O288" s="96"/>
      <c r="P288" s="163"/>
      <c r="Q288" s="109"/>
      <c r="R288" s="108"/>
      <c r="S288" s="100"/>
      <c r="T288" s="110"/>
      <c r="U288" s="110"/>
      <c r="V288" s="100"/>
      <c r="W288" s="100"/>
      <c r="X288" s="100"/>
      <c r="Y288" s="110"/>
      <c r="Z288" s="110"/>
      <c r="AA288" s="100"/>
      <c r="AB288" s="108"/>
      <c r="AC288" s="109"/>
      <c r="AD288" s="109"/>
      <c r="AE288" s="109"/>
      <c r="AF288" s="109"/>
      <c r="AG288" s="108"/>
      <c r="AH288" s="108"/>
      <c r="AI288" s="100"/>
      <c r="AJ288" s="100"/>
      <c r="AK288" s="110"/>
      <c r="AL288" s="110"/>
      <c r="AM288" s="100"/>
      <c r="AN288" s="100"/>
      <c r="AO288" s="100"/>
      <c r="AP288" s="100"/>
      <c r="AQ288" s="100"/>
      <c r="AR288" s="100"/>
      <c r="AS288" s="100"/>
      <c r="AT288" s="100"/>
      <c r="AU288" s="100"/>
      <c r="AV288" s="100"/>
    </row>
    <row r="289" spans="1:48" ht="16.3">
      <c r="A289" s="611" t="s">
        <v>2</v>
      </c>
      <c r="B289" s="221">
        <f>SUM(J289+K289+L289+M289+N289+S289+V289+W289+X289+AA289+AI289+AJ289+AI289+AM289+AP289+AQ289+AS289+AT289+AU289+AV289)</f>
        <v>1</v>
      </c>
      <c r="C289" s="215">
        <f t="shared" ref="C289:C292" si="46">B289</f>
        <v>1</v>
      </c>
      <c r="D289" s="133"/>
      <c r="E289" s="134"/>
      <c r="F289" s="135"/>
      <c r="G289" s="136"/>
      <c r="H289" s="96">
        <v>1</v>
      </c>
      <c r="I289" s="96">
        <v>1</v>
      </c>
      <c r="J289" s="128">
        <v>1</v>
      </c>
      <c r="K289" s="104"/>
      <c r="L289" s="75"/>
      <c r="M289" s="104"/>
      <c r="N289" s="75"/>
      <c r="O289" s="96">
        <v>1</v>
      </c>
      <c r="P289" s="163"/>
      <c r="Q289" s="109">
        <v>1</v>
      </c>
      <c r="R289" s="108"/>
      <c r="S289" s="100"/>
      <c r="T289" s="110"/>
      <c r="U289" s="110"/>
      <c r="V289" s="100"/>
      <c r="W289" s="100"/>
      <c r="X289" s="100"/>
      <c r="Y289" s="110"/>
      <c r="Z289" s="110"/>
      <c r="AA289" s="100"/>
      <c r="AB289" s="108"/>
      <c r="AC289" s="109"/>
      <c r="AD289" s="109"/>
      <c r="AE289" s="109"/>
      <c r="AF289" s="109"/>
      <c r="AG289" s="108"/>
      <c r="AH289" s="108"/>
      <c r="AI289" s="100"/>
      <c r="AJ289" s="100"/>
      <c r="AK289" s="110"/>
      <c r="AL289" s="110"/>
      <c r="AM289" s="100"/>
      <c r="AN289" s="100"/>
      <c r="AO289" s="100"/>
      <c r="AP289" s="100"/>
      <c r="AQ289" s="100"/>
      <c r="AR289" s="100"/>
      <c r="AS289" s="100"/>
      <c r="AT289" s="100"/>
      <c r="AU289" s="100"/>
      <c r="AV289" s="100"/>
    </row>
    <row r="290" spans="1:48" ht="16.3">
      <c r="A290" s="91" t="s">
        <v>363</v>
      </c>
      <c r="B290" s="219">
        <f>SUM(B288+B289)</f>
        <v>1</v>
      </c>
      <c r="C290" s="214">
        <f t="shared" si="46"/>
        <v>1</v>
      </c>
      <c r="D290" s="133"/>
      <c r="E290" s="134"/>
      <c r="F290" s="135"/>
      <c r="G290" s="136"/>
      <c r="H290" s="96"/>
      <c r="I290" s="96"/>
      <c r="J290" s="128"/>
      <c r="K290" s="104"/>
      <c r="L290" s="75"/>
      <c r="M290" s="104"/>
      <c r="N290" s="75"/>
      <c r="O290" s="96"/>
      <c r="P290" s="163"/>
      <c r="Q290" s="109"/>
      <c r="R290" s="108"/>
      <c r="S290" s="100"/>
      <c r="T290" s="110"/>
      <c r="U290" s="110"/>
      <c r="V290" s="100"/>
      <c r="W290" s="100"/>
      <c r="X290" s="100"/>
      <c r="Y290" s="110"/>
      <c r="Z290" s="110"/>
      <c r="AA290" s="100"/>
      <c r="AB290" s="108"/>
      <c r="AC290" s="109"/>
      <c r="AD290" s="109"/>
      <c r="AE290" s="109"/>
      <c r="AF290" s="109"/>
      <c r="AG290" s="108"/>
      <c r="AH290" s="108"/>
      <c r="AI290" s="100"/>
      <c r="AJ290" s="100"/>
      <c r="AK290" s="110"/>
      <c r="AL290" s="110"/>
      <c r="AM290" s="100"/>
      <c r="AN290" s="100"/>
      <c r="AO290" s="100"/>
      <c r="AP290" s="100"/>
      <c r="AQ290" s="100"/>
      <c r="AR290" s="100"/>
      <c r="AS290" s="100"/>
      <c r="AT290" s="100"/>
      <c r="AU290" s="100"/>
      <c r="AV290" s="100"/>
    </row>
    <row r="291" spans="1:48" ht="16.3">
      <c r="A291" s="91" t="s">
        <v>3</v>
      </c>
      <c r="B291" s="219">
        <f>SUM(J291+K291+L291+M291+N291+S291+V291+W291+X291+AA291+AI291+AJ291+AI291+AM291+AP291+AQ291+AS291+AT291+AU291+AV291)</f>
        <v>0</v>
      </c>
      <c r="C291" s="214">
        <f t="shared" si="46"/>
        <v>0</v>
      </c>
      <c r="D291" s="133"/>
      <c r="E291" s="134"/>
      <c r="F291" s="135"/>
      <c r="G291" s="136"/>
      <c r="H291" s="96"/>
      <c r="I291" s="96"/>
      <c r="J291" s="128"/>
      <c r="K291" s="104"/>
      <c r="L291" s="75"/>
      <c r="M291" s="104"/>
      <c r="N291" s="75"/>
      <c r="O291" s="96"/>
      <c r="P291" s="163"/>
      <c r="Q291" s="109"/>
      <c r="R291" s="108"/>
      <c r="S291" s="100"/>
      <c r="T291" s="110"/>
      <c r="U291" s="110"/>
      <c r="V291" s="100"/>
      <c r="W291" s="100"/>
      <c r="X291" s="100"/>
      <c r="Y291" s="110"/>
      <c r="Z291" s="110"/>
      <c r="AA291" s="100"/>
      <c r="AB291" s="108"/>
      <c r="AC291" s="109"/>
      <c r="AD291" s="109"/>
      <c r="AE291" s="109"/>
      <c r="AF291" s="109"/>
      <c r="AG291" s="108"/>
      <c r="AH291" s="108"/>
      <c r="AI291" s="100"/>
      <c r="AJ291" s="100"/>
      <c r="AK291" s="110"/>
      <c r="AL291" s="110"/>
      <c r="AM291" s="100"/>
      <c r="AN291" s="100"/>
      <c r="AO291" s="100"/>
      <c r="AP291" s="100"/>
      <c r="AQ291" s="100"/>
      <c r="AR291" s="100"/>
      <c r="AS291" s="100"/>
      <c r="AT291" s="100"/>
      <c r="AU291" s="100"/>
      <c r="AV291" s="100"/>
    </row>
    <row r="292" spans="1:48" ht="17" thickBot="1">
      <c r="A292" s="92" t="s">
        <v>4</v>
      </c>
      <c r="B292" s="220">
        <f>SUM(J292+K292+L292+M292+N292+S292+V292+W292+X292+AA292+AI292+AJ292+AI292+AM292+AP292+AQ292+AS292+AT292+AU292+AV292)</f>
        <v>0</v>
      </c>
      <c r="C292" s="217">
        <f t="shared" si="46"/>
        <v>0</v>
      </c>
      <c r="D292" s="144"/>
      <c r="E292" s="145"/>
      <c r="F292" s="146"/>
      <c r="G292" s="147"/>
      <c r="H292" s="114"/>
      <c r="I292" s="114"/>
      <c r="J292" s="129"/>
      <c r="K292" s="113"/>
      <c r="L292" s="112"/>
      <c r="M292" s="113"/>
      <c r="N292" s="112"/>
      <c r="O292" s="114"/>
      <c r="P292" s="164"/>
      <c r="Q292" s="118"/>
      <c r="R292" s="117"/>
      <c r="S292" s="116"/>
      <c r="T292" s="120"/>
      <c r="U292" s="120"/>
      <c r="V292" s="112"/>
      <c r="W292" s="116"/>
      <c r="X292" s="116"/>
      <c r="Y292" s="120"/>
      <c r="Z292" s="120"/>
      <c r="AA292" s="116"/>
      <c r="AB292" s="117"/>
      <c r="AC292" s="118"/>
      <c r="AD292" s="118"/>
      <c r="AE292" s="118"/>
      <c r="AF292" s="118"/>
      <c r="AG292" s="117"/>
      <c r="AH292" s="117"/>
      <c r="AI292" s="116"/>
      <c r="AJ292" s="116"/>
      <c r="AK292" s="120"/>
      <c r="AL292" s="120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</row>
    <row r="293" spans="1:48" ht="21.1">
      <c r="A293" s="822" t="s">
        <v>1017</v>
      </c>
      <c r="B293" s="221"/>
      <c r="C293" s="215"/>
      <c r="D293" s="139"/>
      <c r="E293" s="140"/>
      <c r="F293" s="169"/>
      <c r="G293" s="170"/>
      <c r="H293" s="189" t="s">
        <v>1015</v>
      </c>
      <c r="I293" s="189" t="s">
        <v>344</v>
      </c>
      <c r="J293" s="853" t="s">
        <v>344</v>
      </c>
      <c r="K293" s="188" t="s">
        <v>344</v>
      </c>
      <c r="L293" s="187" t="s">
        <v>344</v>
      </c>
      <c r="M293" s="188" t="s">
        <v>344</v>
      </c>
      <c r="N293" s="187" t="s">
        <v>344</v>
      </c>
      <c r="O293" s="189" t="s">
        <v>344</v>
      </c>
      <c r="P293" s="823"/>
      <c r="Q293" s="195" t="s">
        <v>344</v>
      </c>
      <c r="R293" s="194"/>
      <c r="S293" s="191" t="s">
        <v>344</v>
      </c>
      <c r="T293" s="192" t="s">
        <v>344</v>
      </c>
      <c r="U293" s="192" t="s">
        <v>344</v>
      </c>
      <c r="V293" s="191" t="s">
        <v>344</v>
      </c>
      <c r="W293" s="191" t="s">
        <v>344</v>
      </c>
      <c r="X293" s="191" t="s">
        <v>344</v>
      </c>
      <c r="Y293" s="192" t="s">
        <v>344</v>
      </c>
      <c r="Z293" s="192" t="s">
        <v>344</v>
      </c>
      <c r="AA293" s="191" t="s">
        <v>1008</v>
      </c>
      <c r="AB293" s="194"/>
      <c r="AC293" s="195" t="s">
        <v>1036</v>
      </c>
      <c r="AD293" s="195" t="s">
        <v>370</v>
      </c>
      <c r="AE293" s="195" t="s">
        <v>726</v>
      </c>
      <c r="AF293" s="195" t="s">
        <v>344</v>
      </c>
      <c r="AG293" s="194"/>
      <c r="AH293" s="194"/>
      <c r="AI293" s="191" t="s">
        <v>344</v>
      </c>
      <c r="AJ293" s="191" t="s">
        <v>344</v>
      </c>
      <c r="AK293" s="192" t="s">
        <v>344</v>
      </c>
      <c r="AL293" s="192" t="s">
        <v>344</v>
      </c>
      <c r="AM293" s="191" t="s">
        <v>344</v>
      </c>
      <c r="AN293" s="191" t="s">
        <v>344</v>
      </c>
      <c r="AO293" s="191" t="s">
        <v>344</v>
      </c>
      <c r="AP293" s="191" t="s">
        <v>344</v>
      </c>
      <c r="AQ293" s="191" t="s">
        <v>344</v>
      </c>
      <c r="AR293" s="191" t="s">
        <v>344</v>
      </c>
      <c r="AS293" s="191" t="s">
        <v>344</v>
      </c>
      <c r="AT293" s="191" t="s">
        <v>344</v>
      </c>
      <c r="AU293" s="191" t="s">
        <v>344</v>
      </c>
      <c r="AV293" s="191" t="s">
        <v>344</v>
      </c>
    </row>
    <row r="294" spans="1:48" ht="16.3">
      <c r="A294" s="611" t="s">
        <v>1</v>
      </c>
      <c r="B294" s="221">
        <f>SUM(J294+K294+L294+M294+N294+S294+V294+W294+X294+AA294+AI294+AJ294+AI294+AM294+AP294+AQ294+AS294+AT294+AU294+AV294+AN294)</f>
        <v>0</v>
      </c>
      <c r="C294" s="215">
        <f>B294</f>
        <v>0</v>
      </c>
      <c r="D294" s="139"/>
      <c r="E294" s="140"/>
      <c r="F294" s="169"/>
      <c r="G294" s="170"/>
      <c r="H294" s="189"/>
      <c r="I294" s="189"/>
      <c r="J294" s="853"/>
      <c r="K294" s="188"/>
      <c r="L294" s="187"/>
      <c r="M294" s="188"/>
      <c r="N294" s="187"/>
      <c r="O294" s="189"/>
      <c r="P294" s="823"/>
      <c r="Q294" s="195"/>
      <c r="R294" s="194"/>
      <c r="S294" s="191"/>
      <c r="T294" s="192"/>
      <c r="U294" s="192"/>
      <c r="V294" s="191"/>
      <c r="W294" s="191"/>
      <c r="X294" s="191"/>
      <c r="Y294" s="192"/>
      <c r="Z294" s="192"/>
      <c r="AA294" s="191"/>
      <c r="AB294" s="194"/>
      <c r="AC294" s="195"/>
      <c r="AD294" s="195">
        <v>1</v>
      </c>
      <c r="AE294" s="195"/>
      <c r="AF294" s="195"/>
      <c r="AG294" s="194"/>
      <c r="AH294" s="194"/>
      <c r="AI294" s="191"/>
      <c r="AJ294" s="191"/>
      <c r="AK294" s="192"/>
      <c r="AL294" s="192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</row>
    <row r="295" spans="1:48" ht="16.3">
      <c r="A295" s="611" t="s">
        <v>2</v>
      </c>
      <c r="B295" s="221">
        <f>SUM(J295+K295+L295+M295+N295+S295+V295+W295+X295+AA295+AI295+AJ295+AI295+AM295+AP295+AQ295+AS295+AT295+AU295+AV295)</f>
        <v>0</v>
      </c>
      <c r="C295" s="215">
        <f t="shared" ref="C295:C298" si="47">B295</f>
        <v>0</v>
      </c>
      <c r="D295" s="139"/>
      <c r="E295" s="140"/>
      <c r="F295" s="169"/>
      <c r="G295" s="170"/>
      <c r="H295" s="189"/>
      <c r="I295" s="189"/>
      <c r="J295" s="853"/>
      <c r="K295" s="188"/>
      <c r="L295" s="187"/>
      <c r="M295" s="188"/>
      <c r="N295" s="187"/>
      <c r="O295" s="189"/>
      <c r="P295" s="823"/>
      <c r="Q295" s="195"/>
      <c r="R295" s="194"/>
      <c r="S295" s="191"/>
      <c r="T295" s="192"/>
      <c r="U295" s="192"/>
      <c r="V295" s="191"/>
      <c r="W295" s="191"/>
      <c r="X295" s="191"/>
      <c r="Y295" s="192"/>
      <c r="Z295" s="192"/>
      <c r="AA295" s="191"/>
      <c r="AB295" s="194"/>
      <c r="AC295" s="195">
        <v>1</v>
      </c>
      <c r="AD295" s="195"/>
      <c r="AE295" s="195"/>
      <c r="AF295" s="195"/>
      <c r="AG295" s="194"/>
      <c r="AH295" s="194"/>
      <c r="AI295" s="191"/>
      <c r="AJ295" s="191"/>
      <c r="AK295" s="192"/>
      <c r="AL295" s="192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</row>
    <row r="296" spans="1:48" ht="16.3">
      <c r="A296" s="585" t="s">
        <v>363</v>
      </c>
      <c r="B296" s="221">
        <f>SUM(B294+B295)</f>
        <v>0</v>
      </c>
      <c r="C296" s="215">
        <f t="shared" si="47"/>
        <v>0</v>
      </c>
      <c r="D296" s="139"/>
      <c r="E296" s="140"/>
      <c r="F296" s="169"/>
      <c r="G296" s="170"/>
      <c r="H296" s="189"/>
      <c r="I296" s="189"/>
      <c r="J296" s="853"/>
      <c r="K296" s="188"/>
      <c r="L296" s="187"/>
      <c r="M296" s="188"/>
      <c r="N296" s="187"/>
      <c r="O296" s="189"/>
      <c r="P296" s="823"/>
      <c r="Q296" s="195"/>
      <c r="R296" s="194"/>
      <c r="S296" s="191"/>
      <c r="T296" s="192"/>
      <c r="U296" s="192"/>
      <c r="V296" s="191"/>
      <c r="W296" s="191"/>
      <c r="X296" s="191"/>
      <c r="Y296" s="192"/>
      <c r="Z296" s="192"/>
      <c r="AA296" s="191"/>
      <c r="AB296" s="194"/>
      <c r="AC296" s="195"/>
      <c r="AD296" s="195"/>
      <c r="AE296" s="195"/>
      <c r="AF296" s="195"/>
      <c r="AG296" s="194"/>
      <c r="AH296" s="194"/>
      <c r="AI296" s="191"/>
      <c r="AJ296" s="191"/>
      <c r="AK296" s="192"/>
      <c r="AL296" s="192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</row>
    <row r="297" spans="1:48" ht="16.3">
      <c r="A297" s="585" t="s">
        <v>3</v>
      </c>
      <c r="B297" s="221">
        <f>SUM(J297+K297+L297+M297+N297+S297+V297+W297+X297+AA297+AI297+AJ297+AI297+AM297+AP297+AQ297+AS297+AT297+AU297+AV297)</f>
        <v>0</v>
      </c>
      <c r="C297" s="215">
        <f t="shared" si="47"/>
        <v>0</v>
      </c>
      <c r="D297" s="139"/>
      <c r="E297" s="140"/>
      <c r="F297" s="169"/>
      <c r="G297" s="170"/>
      <c r="H297" s="189"/>
      <c r="I297" s="189"/>
      <c r="J297" s="853"/>
      <c r="K297" s="188"/>
      <c r="L297" s="187"/>
      <c r="M297" s="188"/>
      <c r="N297" s="187"/>
      <c r="O297" s="189"/>
      <c r="P297" s="823"/>
      <c r="Q297" s="195"/>
      <c r="R297" s="194"/>
      <c r="S297" s="191"/>
      <c r="T297" s="192"/>
      <c r="U297" s="192"/>
      <c r="V297" s="191"/>
      <c r="W297" s="191"/>
      <c r="X297" s="191"/>
      <c r="Y297" s="192"/>
      <c r="Z297" s="192"/>
      <c r="AA297" s="191"/>
      <c r="AB297" s="194"/>
      <c r="AC297" s="195"/>
      <c r="AD297" s="195">
        <v>1</v>
      </c>
      <c r="AE297" s="195"/>
      <c r="AF297" s="195"/>
      <c r="AG297" s="194"/>
      <c r="AH297" s="194"/>
      <c r="AI297" s="191"/>
      <c r="AJ297" s="191"/>
      <c r="AK297" s="192"/>
      <c r="AL297" s="192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</row>
    <row r="298" spans="1:48" ht="17" thickBot="1">
      <c r="A298" s="827" t="s">
        <v>4</v>
      </c>
      <c r="B298" s="854">
        <f>SUM(J298+K298+L298+M298+N298+S298+V298+W298+X298+AA298+AI298+AJ298+AI298+AM298+AP298+AQ298+AS298+AT298+AU298+AV298)</f>
        <v>0</v>
      </c>
      <c r="C298" s="592">
        <f t="shared" si="47"/>
        <v>0</v>
      </c>
      <c r="D298" s="196"/>
      <c r="E298" s="197"/>
      <c r="F298" s="198"/>
      <c r="G298" s="199"/>
      <c r="H298" s="201"/>
      <c r="I298" s="201"/>
      <c r="J298" s="855"/>
      <c r="K298" s="200"/>
      <c r="L298" s="594"/>
      <c r="M298" s="200"/>
      <c r="N298" s="594"/>
      <c r="O298" s="201"/>
      <c r="P298" s="829"/>
      <c r="Q298" s="202"/>
      <c r="R298" s="856"/>
      <c r="S298" s="203"/>
      <c r="T298" s="204"/>
      <c r="U298" s="204"/>
      <c r="V298" s="203"/>
      <c r="W298" s="594"/>
      <c r="X298" s="203"/>
      <c r="Y298" s="204"/>
      <c r="Z298" s="204"/>
      <c r="AA298" s="203"/>
      <c r="AB298" s="856"/>
      <c r="AC298" s="202"/>
      <c r="AD298" s="202">
        <v>5</v>
      </c>
      <c r="AE298" s="202"/>
      <c r="AF298" s="202"/>
      <c r="AG298" s="856"/>
      <c r="AH298" s="856"/>
      <c r="AI298" s="203"/>
      <c r="AJ298" s="203"/>
      <c r="AK298" s="204"/>
      <c r="AL298" s="204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</row>
    <row r="299" spans="1:48" ht="21.1">
      <c r="A299" s="89" t="s">
        <v>1042</v>
      </c>
      <c r="B299" s="221"/>
      <c r="C299" s="215"/>
      <c r="D299" s="139"/>
      <c r="E299" s="140"/>
      <c r="F299" s="169"/>
      <c r="G299" s="170"/>
      <c r="H299" s="189"/>
      <c r="I299" s="189"/>
      <c r="J299" s="853"/>
      <c r="K299" s="188"/>
      <c r="L299" s="187"/>
      <c r="M299" s="188"/>
      <c r="N299" s="187"/>
      <c r="O299" s="189"/>
      <c r="P299" s="823"/>
      <c r="Q299" s="195"/>
      <c r="R299" s="194"/>
      <c r="S299" s="191"/>
      <c r="T299" s="192"/>
      <c r="U299" s="110"/>
      <c r="V299" s="100"/>
      <c r="W299" s="100"/>
      <c r="X299" s="100"/>
      <c r="Y299" s="110"/>
      <c r="Z299" s="110"/>
      <c r="AA299" s="100"/>
      <c r="AB299" s="108"/>
      <c r="AC299" s="109"/>
      <c r="AD299" s="109"/>
      <c r="AE299" s="109" t="s">
        <v>1043</v>
      </c>
      <c r="AF299" s="109" t="s">
        <v>370</v>
      </c>
      <c r="AG299" s="108"/>
      <c r="AH299" s="108"/>
      <c r="AI299" s="100"/>
      <c r="AJ299" s="100"/>
      <c r="AK299" s="110"/>
      <c r="AL299" s="110"/>
      <c r="AM299" s="100"/>
      <c r="AN299" s="100"/>
      <c r="AO299" s="100"/>
      <c r="AP299" s="100"/>
      <c r="AQ299" s="100"/>
      <c r="AR299" s="100"/>
      <c r="AS299" s="100"/>
      <c r="AT299" s="100"/>
      <c r="AU299" s="100"/>
      <c r="AV299" s="100"/>
    </row>
    <row r="300" spans="1:48" ht="16.3">
      <c r="A300" s="611" t="s">
        <v>1</v>
      </c>
      <c r="B300" s="221"/>
      <c r="C300" s="215"/>
      <c r="D300" s="139"/>
      <c r="E300" s="140"/>
      <c r="F300" s="169"/>
      <c r="G300" s="170"/>
      <c r="H300" s="189"/>
      <c r="I300" s="189"/>
      <c r="J300" s="853"/>
      <c r="K300" s="188"/>
      <c r="L300" s="187"/>
      <c r="M300" s="188"/>
      <c r="N300" s="187"/>
      <c r="O300" s="189"/>
      <c r="P300" s="823"/>
      <c r="Q300" s="195"/>
      <c r="R300" s="194"/>
      <c r="S300" s="191"/>
      <c r="T300" s="192"/>
      <c r="U300" s="110"/>
      <c r="V300" s="100"/>
      <c r="W300" s="100"/>
      <c r="X300" s="100"/>
      <c r="Y300" s="110"/>
      <c r="Z300" s="110"/>
      <c r="AA300" s="100"/>
      <c r="AB300" s="108"/>
      <c r="AC300" s="109"/>
      <c r="AD300" s="109"/>
      <c r="AE300" s="109">
        <v>1</v>
      </c>
      <c r="AF300" s="109">
        <v>1</v>
      </c>
      <c r="AG300" s="108"/>
      <c r="AH300" s="108"/>
      <c r="AI300" s="100"/>
      <c r="AJ300" s="100"/>
      <c r="AK300" s="110"/>
      <c r="AL300" s="110"/>
      <c r="AM300" s="100"/>
      <c r="AN300" s="100"/>
      <c r="AO300" s="100"/>
      <c r="AP300" s="100"/>
      <c r="AQ300" s="100"/>
      <c r="AR300" s="100"/>
      <c r="AS300" s="100"/>
      <c r="AT300" s="100"/>
      <c r="AU300" s="100"/>
      <c r="AV300" s="100"/>
    </row>
    <row r="301" spans="1:48" ht="16.3">
      <c r="A301" s="611" t="s">
        <v>2</v>
      </c>
      <c r="B301" s="221"/>
      <c r="C301" s="215"/>
      <c r="D301" s="139"/>
      <c r="E301" s="140"/>
      <c r="F301" s="169"/>
      <c r="G301" s="170"/>
      <c r="H301" s="189"/>
      <c r="I301" s="189"/>
      <c r="J301" s="853"/>
      <c r="K301" s="188"/>
      <c r="L301" s="187"/>
      <c r="M301" s="188"/>
      <c r="N301" s="187"/>
      <c r="O301" s="189"/>
      <c r="P301" s="823"/>
      <c r="Q301" s="195"/>
      <c r="R301" s="194"/>
      <c r="S301" s="191"/>
      <c r="T301" s="192"/>
      <c r="U301" s="110"/>
      <c r="V301" s="100"/>
      <c r="W301" s="100"/>
      <c r="X301" s="100"/>
      <c r="Y301" s="110"/>
      <c r="Z301" s="110"/>
      <c r="AA301" s="100"/>
      <c r="AB301" s="108"/>
      <c r="AC301" s="109"/>
      <c r="AD301" s="109"/>
      <c r="AE301" s="109"/>
      <c r="AF301" s="109"/>
      <c r="AG301" s="108"/>
      <c r="AH301" s="108"/>
      <c r="AI301" s="100"/>
      <c r="AJ301" s="100"/>
      <c r="AK301" s="110"/>
      <c r="AL301" s="110"/>
      <c r="AM301" s="100"/>
      <c r="AN301" s="100"/>
      <c r="AO301" s="100"/>
      <c r="AP301" s="100"/>
      <c r="AQ301" s="100"/>
      <c r="AR301" s="100"/>
      <c r="AS301" s="100"/>
      <c r="AT301" s="100"/>
      <c r="AU301" s="100"/>
      <c r="AV301" s="100"/>
    </row>
    <row r="302" spans="1:48" ht="16.3">
      <c r="A302" s="91" t="s">
        <v>363</v>
      </c>
      <c r="B302" s="221"/>
      <c r="C302" s="215"/>
      <c r="D302" s="139"/>
      <c r="E302" s="140"/>
      <c r="F302" s="169"/>
      <c r="G302" s="170"/>
      <c r="H302" s="189"/>
      <c r="I302" s="189"/>
      <c r="J302" s="853"/>
      <c r="K302" s="188"/>
      <c r="L302" s="187"/>
      <c r="M302" s="188"/>
      <c r="N302" s="187"/>
      <c r="O302" s="189"/>
      <c r="P302" s="823"/>
      <c r="Q302" s="195"/>
      <c r="R302" s="194"/>
      <c r="S302" s="191"/>
      <c r="T302" s="192"/>
      <c r="U302" s="110"/>
      <c r="V302" s="100"/>
      <c r="W302" s="100"/>
      <c r="X302" s="100"/>
      <c r="Y302" s="110"/>
      <c r="Z302" s="110"/>
      <c r="AA302" s="100"/>
      <c r="AB302" s="108"/>
      <c r="AC302" s="109"/>
      <c r="AD302" s="109"/>
      <c r="AE302" s="109"/>
      <c r="AF302" s="109"/>
      <c r="AG302" s="108"/>
      <c r="AH302" s="108"/>
      <c r="AI302" s="100"/>
      <c r="AJ302" s="100"/>
      <c r="AK302" s="110"/>
      <c r="AL302" s="110"/>
      <c r="AM302" s="100"/>
      <c r="AN302" s="100"/>
      <c r="AO302" s="100"/>
      <c r="AP302" s="100"/>
      <c r="AQ302" s="100"/>
      <c r="AR302" s="100"/>
      <c r="AS302" s="100"/>
      <c r="AT302" s="100"/>
      <c r="AU302" s="100"/>
      <c r="AV302" s="100"/>
    </row>
    <row r="303" spans="1:48" ht="16.3">
      <c r="A303" s="91" t="s">
        <v>3</v>
      </c>
      <c r="B303" s="221"/>
      <c r="C303" s="215"/>
      <c r="D303" s="139"/>
      <c r="E303" s="140"/>
      <c r="F303" s="169"/>
      <c r="G303" s="170"/>
      <c r="H303" s="189"/>
      <c r="I303" s="189"/>
      <c r="J303" s="853"/>
      <c r="K303" s="188"/>
      <c r="L303" s="187"/>
      <c r="M303" s="188"/>
      <c r="N303" s="187"/>
      <c r="O303" s="189"/>
      <c r="P303" s="823"/>
      <c r="Q303" s="195"/>
      <c r="R303" s="194"/>
      <c r="S303" s="191"/>
      <c r="T303" s="192"/>
      <c r="U303" s="110"/>
      <c r="V303" s="100"/>
      <c r="W303" s="100"/>
      <c r="X303" s="100"/>
      <c r="Y303" s="110"/>
      <c r="Z303" s="110"/>
      <c r="AA303" s="100"/>
      <c r="AB303" s="108"/>
      <c r="AC303" s="109"/>
      <c r="AD303" s="109"/>
      <c r="AE303" s="109"/>
      <c r="AF303" s="109"/>
      <c r="AG303" s="108"/>
      <c r="AH303" s="108"/>
      <c r="AI303" s="100"/>
      <c r="AJ303" s="100"/>
      <c r="AK303" s="110"/>
      <c r="AL303" s="110"/>
      <c r="AM303" s="100"/>
      <c r="AN303" s="100"/>
      <c r="AO303" s="100"/>
      <c r="AP303" s="100"/>
      <c r="AQ303" s="100"/>
      <c r="AR303" s="100"/>
      <c r="AS303" s="100"/>
      <c r="AT303" s="100"/>
      <c r="AU303" s="100"/>
      <c r="AV303" s="100"/>
    </row>
    <row r="304" spans="1:48" ht="17" thickBot="1">
      <c r="A304" s="92" t="s">
        <v>4</v>
      </c>
      <c r="B304" s="854"/>
      <c r="C304" s="592"/>
      <c r="D304" s="196"/>
      <c r="E304" s="197"/>
      <c r="F304" s="198"/>
      <c r="G304" s="199"/>
      <c r="H304" s="201"/>
      <c r="I304" s="201"/>
      <c r="J304" s="855"/>
      <c r="K304" s="200"/>
      <c r="L304" s="594"/>
      <c r="M304" s="200"/>
      <c r="N304" s="594"/>
      <c r="O304" s="201"/>
      <c r="P304" s="829"/>
      <c r="Q304" s="202"/>
      <c r="R304" s="856"/>
      <c r="S304" s="203"/>
      <c r="T304" s="204"/>
      <c r="U304" s="120"/>
      <c r="V304" s="116"/>
      <c r="W304" s="116"/>
      <c r="X304" s="116"/>
      <c r="Y304" s="120"/>
      <c r="Z304" s="120"/>
      <c r="AA304" s="116"/>
      <c r="AB304" s="117"/>
      <c r="AC304" s="118"/>
      <c r="AD304" s="118"/>
      <c r="AE304" s="118" t="s">
        <v>0</v>
      </c>
      <c r="AF304" s="118"/>
      <c r="AG304" s="117"/>
      <c r="AH304" s="117"/>
      <c r="AI304" s="116"/>
      <c r="AJ304" s="116"/>
      <c r="AK304" s="120"/>
      <c r="AL304" s="120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</row>
    <row r="305" spans="1:48" ht="21.1">
      <c r="A305" s="89" t="s">
        <v>1044</v>
      </c>
      <c r="B305" s="221"/>
      <c r="C305" s="215"/>
      <c r="D305" s="139"/>
      <c r="E305" s="140"/>
      <c r="F305" s="169"/>
      <c r="G305" s="170"/>
      <c r="H305" s="189"/>
      <c r="I305" s="189"/>
      <c r="J305" s="853"/>
      <c r="K305" s="188"/>
      <c r="L305" s="187"/>
      <c r="M305" s="188"/>
      <c r="N305" s="187"/>
      <c r="O305" s="189"/>
      <c r="P305" s="823"/>
      <c r="Q305" s="195"/>
      <c r="R305" s="194"/>
      <c r="S305" s="191"/>
      <c r="T305" s="192"/>
      <c r="U305" s="110"/>
      <c r="V305" s="100"/>
      <c r="W305" s="100"/>
      <c r="X305" s="100"/>
      <c r="Y305" s="110"/>
      <c r="Z305" s="110"/>
      <c r="AA305" s="100"/>
      <c r="AB305" s="108"/>
      <c r="AC305" s="109"/>
      <c r="AD305" s="109"/>
      <c r="AE305" s="109" t="s">
        <v>441</v>
      </c>
      <c r="AF305" s="109"/>
      <c r="AG305" s="108"/>
      <c r="AH305" s="108"/>
      <c r="AI305" s="100"/>
      <c r="AJ305" s="100"/>
      <c r="AK305" s="110"/>
      <c r="AL305" s="11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</row>
    <row r="306" spans="1:48" ht="16.3">
      <c r="A306" s="611" t="s">
        <v>1</v>
      </c>
      <c r="B306" s="221">
        <f>SUM(J306+K306+L306+M306+N306+S306+V306+W306+X306+AA306+AI306+AJ306+AI306+AM306+AP306+AQ306+AS306+AT306+AU306+AV306+AN306)</f>
        <v>0</v>
      </c>
      <c r="C306" s="215">
        <f>B306</f>
        <v>0</v>
      </c>
      <c r="D306" s="139"/>
      <c r="E306" s="140"/>
      <c r="F306" s="169"/>
      <c r="G306" s="170"/>
      <c r="H306" s="189"/>
      <c r="I306" s="189"/>
      <c r="J306" s="853"/>
      <c r="K306" s="188"/>
      <c r="L306" s="187"/>
      <c r="M306" s="188"/>
      <c r="N306" s="187"/>
      <c r="O306" s="189"/>
      <c r="P306" s="823"/>
      <c r="Q306" s="195"/>
      <c r="R306" s="194"/>
      <c r="S306" s="191"/>
      <c r="T306" s="192"/>
      <c r="U306" s="110"/>
      <c r="V306" s="100"/>
      <c r="W306" s="100"/>
      <c r="X306" s="100"/>
      <c r="Y306" s="110"/>
      <c r="Z306" s="110"/>
      <c r="AA306" s="100"/>
      <c r="AB306" s="108"/>
      <c r="AC306" s="109"/>
      <c r="AD306" s="109"/>
      <c r="AE306" s="109"/>
      <c r="AF306" s="109"/>
      <c r="AG306" s="108"/>
      <c r="AH306" s="108"/>
      <c r="AI306" s="100"/>
      <c r="AJ306" s="100"/>
      <c r="AK306" s="110"/>
      <c r="AL306" s="11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</row>
    <row r="307" spans="1:48" ht="16.3">
      <c r="A307" s="611" t="s">
        <v>2</v>
      </c>
      <c r="B307" s="221">
        <f>SUM(J307+K307+L307+M307+N307+S307+V307+W307+X307+AA307+AI307+AJ307+AI307+AM307+AP307+AQ307+AS307+AT307+AU307+AV307)</f>
        <v>0</v>
      </c>
      <c r="C307" s="215">
        <f t="shared" ref="C307:C310" si="48">B307</f>
        <v>0</v>
      </c>
      <c r="D307" s="139"/>
      <c r="E307" s="140"/>
      <c r="F307" s="169"/>
      <c r="G307" s="170"/>
      <c r="H307" s="189"/>
      <c r="I307" s="189"/>
      <c r="J307" s="853"/>
      <c r="K307" s="188"/>
      <c r="L307" s="187"/>
      <c r="M307" s="188"/>
      <c r="N307" s="187"/>
      <c r="O307" s="189"/>
      <c r="P307" s="823"/>
      <c r="Q307" s="195"/>
      <c r="R307" s="194"/>
      <c r="S307" s="191"/>
      <c r="T307" s="192"/>
      <c r="U307" s="110"/>
      <c r="V307" s="100"/>
      <c r="W307" s="100"/>
      <c r="X307" s="100"/>
      <c r="Y307" s="110"/>
      <c r="Z307" s="110"/>
      <c r="AA307" s="100"/>
      <c r="AB307" s="108"/>
      <c r="AC307" s="109"/>
      <c r="AD307" s="109"/>
      <c r="AE307" s="109">
        <v>1</v>
      </c>
      <c r="AF307" s="109"/>
      <c r="AG307" s="108"/>
      <c r="AH307" s="108"/>
      <c r="AI307" s="100"/>
      <c r="AJ307" s="100"/>
      <c r="AK307" s="110"/>
      <c r="AL307" s="110"/>
      <c r="AM307" s="100"/>
      <c r="AN307" s="100"/>
      <c r="AO307" s="100"/>
      <c r="AP307" s="100"/>
      <c r="AQ307" s="100"/>
      <c r="AR307" s="100"/>
      <c r="AS307" s="100"/>
      <c r="AT307" s="100"/>
      <c r="AU307" s="100"/>
      <c r="AV307" s="100"/>
    </row>
    <row r="308" spans="1:48" ht="16.3">
      <c r="A308" s="91" t="s">
        <v>363</v>
      </c>
      <c r="B308" s="221">
        <f>SUM(B306+B307)</f>
        <v>0</v>
      </c>
      <c r="C308" s="215">
        <f t="shared" si="48"/>
        <v>0</v>
      </c>
      <c r="D308" s="139"/>
      <c r="E308" s="140"/>
      <c r="F308" s="169"/>
      <c r="G308" s="170"/>
      <c r="H308" s="189"/>
      <c r="I308" s="189"/>
      <c r="J308" s="853"/>
      <c r="K308" s="188"/>
      <c r="L308" s="187"/>
      <c r="M308" s="188"/>
      <c r="N308" s="187"/>
      <c r="O308" s="189"/>
      <c r="P308" s="823"/>
      <c r="Q308" s="195"/>
      <c r="R308" s="194"/>
      <c r="S308" s="191"/>
      <c r="T308" s="192"/>
      <c r="U308" s="110"/>
      <c r="V308" s="100"/>
      <c r="W308" s="100"/>
      <c r="X308" s="100"/>
      <c r="Y308" s="110"/>
      <c r="Z308" s="110"/>
      <c r="AA308" s="100"/>
      <c r="AB308" s="108"/>
      <c r="AC308" s="109"/>
      <c r="AD308" s="109"/>
      <c r="AE308" s="109"/>
      <c r="AF308" s="109"/>
      <c r="AG308" s="108"/>
      <c r="AH308" s="108"/>
      <c r="AI308" s="100"/>
      <c r="AJ308" s="100"/>
      <c r="AK308" s="110"/>
      <c r="AL308" s="110"/>
      <c r="AM308" s="100"/>
      <c r="AN308" s="100"/>
      <c r="AO308" s="100"/>
      <c r="AP308" s="100"/>
      <c r="AQ308" s="100"/>
      <c r="AR308" s="100"/>
      <c r="AS308" s="100"/>
      <c r="AT308" s="100"/>
      <c r="AU308" s="100"/>
      <c r="AV308" s="100"/>
    </row>
    <row r="309" spans="1:48" ht="16.3">
      <c r="A309" s="91" t="s">
        <v>362</v>
      </c>
      <c r="B309" s="221">
        <f>SUM(J309+K309+L309+M309+N309+S309+V309+W309+X309+AA309+AI309+AJ309+AI309+AM309+AP309+AQ309+AS309+AT309+AU309+AV309)</f>
        <v>0</v>
      </c>
      <c r="C309" s="215">
        <f t="shared" si="48"/>
        <v>0</v>
      </c>
      <c r="D309" s="139"/>
      <c r="E309" s="140"/>
      <c r="F309" s="169"/>
      <c r="G309" s="170"/>
      <c r="H309" s="189"/>
      <c r="I309" s="189"/>
      <c r="J309" s="853"/>
      <c r="K309" s="188"/>
      <c r="L309" s="187"/>
      <c r="M309" s="188"/>
      <c r="N309" s="187"/>
      <c r="O309" s="189"/>
      <c r="P309" s="823"/>
      <c r="Q309" s="195"/>
      <c r="R309" s="194"/>
      <c r="S309" s="191"/>
      <c r="T309" s="192"/>
      <c r="U309" s="110"/>
      <c r="V309" s="100"/>
      <c r="W309" s="100"/>
      <c r="X309" s="100"/>
      <c r="Y309" s="110"/>
      <c r="Z309" s="110"/>
      <c r="AA309" s="100"/>
      <c r="AB309" s="108"/>
      <c r="AC309" s="109"/>
      <c r="AD309" s="109"/>
      <c r="AE309" s="109">
        <v>1</v>
      </c>
      <c r="AF309" s="109"/>
      <c r="AG309" s="108"/>
      <c r="AH309" s="108"/>
      <c r="AI309" s="100"/>
      <c r="AJ309" s="100"/>
      <c r="AK309" s="110"/>
      <c r="AL309" s="110"/>
      <c r="AM309" s="100"/>
      <c r="AN309" s="100"/>
      <c r="AO309" s="100"/>
      <c r="AP309" s="100"/>
      <c r="AQ309" s="100"/>
      <c r="AR309" s="100"/>
      <c r="AS309" s="100"/>
      <c r="AT309" s="100"/>
      <c r="AU309" s="100"/>
      <c r="AV309" s="100"/>
    </row>
    <row r="310" spans="1:48" ht="16.3">
      <c r="A310" s="91" t="s">
        <v>3</v>
      </c>
      <c r="B310" s="221">
        <f>SUM(J310+K310+L310+M310+N310+S310+V310+W310+X310+AA310+AI310+AJ310+AI310+AM310+AP310+AQ310+AS310+AT310+AU310+AV310)</f>
        <v>0</v>
      </c>
      <c r="C310" s="215">
        <f t="shared" si="48"/>
        <v>0</v>
      </c>
      <c r="D310" s="139"/>
      <c r="E310" s="140"/>
      <c r="F310" s="169"/>
      <c r="G310" s="170"/>
      <c r="H310" s="189"/>
      <c r="I310" s="189"/>
      <c r="J310" s="853"/>
      <c r="K310" s="188"/>
      <c r="L310" s="187"/>
      <c r="M310" s="188"/>
      <c r="N310" s="187"/>
      <c r="O310" s="189"/>
      <c r="P310" s="823"/>
      <c r="Q310" s="195"/>
      <c r="R310" s="194"/>
      <c r="S310" s="191"/>
      <c r="T310" s="192"/>
      <c r="U310" s="110"/>
      <c r="V310" s="100"/>
      <c r="W310" s="100"/>
      <c r="X310" s="100"/>
      <c r="Y310" s="110"/>
      <c r="Z310" s="110"/>
      <c r="AA310" s="100"/>
      <c r="AB310" s="108"/>
      <c r="AC310" s="109"/>
      <c r="AD310" s="109"/>
      <c r="AE310" s="109"/>
      <c r="AF310" s="109"/>
      <c r="AG310" s="108"/>
      <c r="AH310" s="108"/>
      <c r="AI310" s="100"/>
      <c r="AJ310" s="100"/>
      <c r="AK310" s="110"/>
      <c r="AL310" s="110"/>
      <c r="AM310" s="100"/>
      <c r="AN310" s="100"/>
      <c r="AO310" s="100"/>
      <c r="AP310" s="100"/>
      <c r="AQ310" s="100"/>
      <c r="AR310" s="100"/>
      <c r="AS310" s="100"/>
      <c r="AT310" s="100"/>
      <c r="AU310" s="100"/>
      <c r="AV310" s="100"/>
    </row>
    <row r="311" spans="1:48" ht="17" thickBot="1">
      <c r="A311" s="92" t="s">
        <v>4</v>
      </c>
      <c r="B311" s="854">
        <f>SUM(J311+K311+L311+M311+N311+S311+V311+W311+X311+AA311+AI311+AJ311+AI311+AM311+AP311+AQ311+AS311+AT311+AU311+AV311)</f>
        <v>0</v>
      </c>
      <c r="C311" s="592">
        <f t="shared" ref="C311" si="49">B311</f>
        <v>0</v>
      </c>
      <c r="D311" s="196"/>
      <c r="E311" s="197"/>
      <c r="F311" s="198"/>
      <c r="G311" s="199"/>
      <c r="H311" s="201"/>
      <c r="I311" s="201"/>
      <c r="J311" s="855"/>
      <c r="K311" s="200"/>
      <c r="L311" s="594"/>
      <c r="M311" s="200"/>
      <c r="N311" s="594"/>
      <c r="O311" s="201"/>
      <c r="P311" s="829"/>
      <c r="Q311" s="202"/>
      <c r="R311" s="856"/>
      <c r="S311" s="203"/>
      <c r="T311" s="204"/>
      <c r="U311" s="120"/>
      <c r="V311" s="116"/>
      <c r="W311" s="116"/>
      <c r="X311" s="116"/>
      <c r="Y311" s="120"/>
      <c r="Z311" s="120"/>
      <c r="AA311" s="116"/>
      <c r="AB311" s="117"/>
      <c r="AC311" s="118"/>
      <c r="AD311" s="118"/>
      <c r="AE311" s="118"/>
      <c r="AF311" s="118"/>
      <c r="AG311" s="117"/>
      <c r="AH311" s="117"/>
      <c r="AI311" s="116"/>
      <c r="AJ311" s="116"/>
      <c r="AK311" s="120"/>
      <c r="AL311" s="120"/>
      <c r="AM311" s="112"/>
      <c r="AN311" s="100"/>
      <c r="AO311" s="100"/>
      <c r="AP311" s="100"/>
      <c r="AQ311" s="100"/>
      <c r="AR311" s="100"/>
      <c r="AS311" s="100"/>
      <c r="AT311" s="100"/>
      <c r="AU311" s="100"/>
      <c r="AV311" s="100"/>
    </row>
    <row r="312" spans="1:48" ht="21.1">
      <c r="A312" s="89" t="s">
        <v>45</v>
      </c>
      <c r="B312" s="219"/>
      <c r="C312" s="214"/>
      <c r="D312" s="133"/>
      <c r="E312" s="134"/>
      <c r="F312" s="135"/>
      <c r="G312" s="136"/>
      <c r="H312" s="96" t="s">
        <v>371</v>
      </c>
      <c r="I312" s="96" t="s">
        <v>654</v>
      </c>
      <c r="J312" s="128" t="s">
        <v>371</v>
      </c>
      <c r="K312" s="104" t="s">
        <v>371</v>
      </c>
      <c r="L312" s="75" t="s">
        <v>371</v>
      </c>
      <c r="M312" s="104" t="s">
        <v>371</v>
      </c>
      <c r="N312" s="75" t="s">
        <v>371</v>
      </c>
      <c r="O312" s="96"/>
      <c r="P312" s="105"/>
      <c r="Q312" s="109"/>
      <c r="R312" s="108"/>
      <c r="S312" s="100" t="s">
        <v>371</v>
      </c>
      <c r="T312" s="110" t="s">
        <v>371</v>
      </c>
      <c r="U312" s="110" t="s">
        <v>371</v>
      </c>
      <c r="V312" s="100" t="s">
        <v>731</v>
      </c>
      <c r="W312" s="100" t="s">
        <v>909</v>
      </c>
      <c r="X312" s="100"/>
      <c r="Y312" s="110" t="s">
        <v>371</v>
      </c>
      <c r="Z312" s="110" t="s">
        <v>371</v>
      </c>
      <c r="AA312" s="100" t="s">
        <v>371</v>
      </c>
      <c r="AB312" s="108"/>
      <c r="AC312" s="109"/>
      <c r="AD312" s="109"/>
      <c r="AE312" s="109" t="s">
        <v>375</v>
      </c>
      <c r="AF312" s="109"/>
      <c r="AG312" s="108"/>
      <c r="AH312" s="108"/>
      <c r="AI312" s="100"/>
      <c r="AJ312" s="100"/>
      <c r="AK312" s="110"/>
      <c r="AL312" s="110"/>
      <c r="AM312" s="100"/>
      <c r="AN312" s="102"/>
      <c r="AO312" s="102"/>
      <c r="AP312" s="102"/>
      <c r="AQ312" s="102"/>
      <c r="AR312" s="102"/>
      <c r="AS312" s="102"/>
      <c r="AT312" s="102"/>
      <c r="AU312" s="102"/>
      <c r="AV312" s="102"/>
    </row>
    <row r="313" spans="1:48" ht="16.3">
      <c r="A313" s="611" t="s">
        <v>1</v>
      </c>
      <c r="B313" s="221">
        <f>SUM(J313+K313+L313+M313+N313+S313+V313+W313+X313+AA313+AI313+AJ313+AI313+AM313+AP313+AQ313+AS313+AT313+AU313+AV313+AN313)+61</f>
        <v>70</v>
      </c>
      <c r="C313" s="215">
        <f>SUM(K313+L313+M313+N313+J313+S313+W313+X313+V313+AA313+AJ313+AI313+AJ313+AM313+AN313+AQ313+AP313+AT313+AU313+AV313+AS313+AO313)+78</f>
        <v>87</v>
      </c>
      <c r="D313" s="139"/>
      <c r="E313" s="140"/>
      <c r="F313" s="135"/>
      <c r="G313" s="136"/>
      <c r="H313" s="96">
        <v>1</v>
      </c>
      <c r="I313" s="96">
        <v>1</v>
      </c>
      <c r="J313" s="128">
        <v>1</v>
      </c>
      <c r="K313" s="104">
        <v>1</v>
      </c>
      <c r="L313" s="75">
        <v>1</v>
      </c>
      <c r="M313" s="104">
        <v>1</v>
      </c>
      <c r="N313" s="75">
        <v>1</v>
      </c>
      <c r="O313" s="96"/>
      <c r="P313" s="163"/>
      <c r="Q313" s="109"/>
      <c r="R313" s="108"/>
      <c r="S313" s="100">
        <v>1</v>
      </c>
      <c r="T313" s="110">
        <v>1</v>
      </c>
      <c r="U313" s="110">
        <v>1</v>
      </c>
      <c r="V313" s="100">
        <v>1</v>
      </c>
      <c r="W313" s="100">
        <v>1</v>
      </c>
      <c r="X313" s="100"/>
      <c r="Y313" s="110">
        <v>1</v>
      </c>
      <c r="Z313" s="110">
        <v>1</v>
      </c>
      <c r="AA313" s="100">
        <v>1</v>
      </c>
      <c r="AB313" s="108"/>
      <c r="AC313" s="109"/>
      <c r="AD313" s="109"/>
      <c r="AE313" s="109"/>
      <c r="AF313" s="109"/>
      <c r="AG313" s="108"/>
      <c r="AH313" s="108"/>
      <c r="AI313" s="100"/>
      <c r="AJ313" s="100"/>
      <c r="AK313" s="110"/>
      <c r="AL313" s="110"/>
      <c r="AM313" s="100"/>
      <c r="AN313" s="100"/>
      <c r="AO313" s="100"/>
      <c r="AP313" s="100"/>
      <c r="AQ313" s="100"/>
      <c r="AR313" s="100"/>
      <c r="AS313" s="100"/>
      <c r="AT313" s="100"/>
      <c r="AU313" s="100"/>
      <c r="AV313" s="100"/>
    </row>
    <row r="314" spans="1:48" ht="16.3">
      <c r="A314" s="611" t="s">
        <v>2</v>
      </c>
      <c r="B314" s="221">
        <f>SUM(J314+K314+L314+M314+N314+S314+V314+W314+X314+AA314+AI314+AJ314+AI314+AM314+AP314+AQ314+AS314+AT314+AU314+AV314)+4</f>
        <v>4</v>
      </c>
      <c r="C314" s="215">
        <f>SUM(K314+L314+M314+N314+J314+S314+W314+X314+V314+AA314+AJ314+AI314+AJ314+AM314+AN314+AQ314+AP314+AT314+AU314+AV314+AS314+AO314)+46</f>
        <v>46</v>
      </c>
      <c r="D314" s="139"/>
      <c r="E314" s="140"/>
      <c r="F314" s="135"/>
      <c r="G314" s="136"/>
      <c r="H314" s="96"/>
      <c r="I314" s="96"/>
      <c r="J314" s="128"/>
      <c r="K314" s="104"/>
      <c r="L314" s="75"/>
      <c r="M314" s="104"/>
      <c r="N314" s="75"/>
      <c r="O314" s="96"/>
      <c r="P314" s="163"/>
      <c r="Q314" s="109"/>
      <c r="R314" s="108"/>
      <c r="S314" s="100"/>
      <c r="T314" s="110"/>
      <c r="U314" s="110"/>
      <c r="V314" s="100"/>
      <c r="W314" s="100"/>
      <c r="X314" s="100"/>
      <c r="Y314" s="110"/>
      <c r="Z314" s="110"/>
      <c r="AA314" s="100"/>
      <c r="AB314" s="108"/>
      <c r="AC314" s="109"/>
      <c r="AD314" s="109"/>
      <c r="AE314" s="109">
        <v>1</v>
      </c>
      <c r="AF314" s="109"/>
      <c r="AG314" s="108"/>
      <c r="AH314" s="108"/>
      <c r="AI314" s="100"/>
      <c r="AJ314" s="100"/>
      <c r="AK314" s="110"/>
      <c r="AL314" s="11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</row>
    <row r="315" spans="1:48" ht="16.3">
      <c r="A315" s="629" t="s">
        <v>363</v>
      </c>
      <c r="B315" s="219">
        <f>SUM(B313+B314)</f>
        <v>74</v>
      </c>
      <c r="C315" s="214">
        <f>SUM(C313+C314)</f>
        <v>133</v>
      </c>
      <c r="D315" s="133"/>
      <c r="E315" s="134"/>
      <c r="F315" s="135"/>
      <c r="G315" s="136"/>
      <c r="H315" s="96"/>
      <c r="I315" s="96"/>
      <c r="J315" s="128"/>
      <c r="K315" s="104"/>
      <c r="L315" s="75"/>
      <c r="M315" s="104"/>
      <c r="N315" s="75"/>
      <c r="O315" s="96"/>
      <c r="P315" s="163"/>
      <c r="Q315" s="109"/>
      <c r="R315" s="108"/>
      <c r="S315" s="100"/>
      <c r="T315" s="110"/>
      <c r="U315" s="110"/>
      <c r="V315" s="100"/>
      <c r="W315" s="100"/>
      <c r="X315" s="100"/>
      <c r="Y315" s="110"/>
      <c r="Z315" s="110"/>
      <c r="AA315" s="100"/>
      <c r="AB315" s="108"/>
      <c r="AC315" s="109"/>
      <c r="AD315" s="109"/>
      <c r="AE315" s="109"/>
      <c r="AF315" s="109"/>
      <c r="AG315" s="108"/>
      <c r="AH315" s="108"/>
      <c r="AI315" s="100"/>
      <c r="AJ315" s="100"/>
      <c r="AK315" s="110"/>
      <c r="AL315" s="110"/>
      <c r="AM315" s="100"/>
      <c r="AN315" s="100"/>
      <c r="AO315" s="100"/>
      <c r="AP315" s="100"/>
      <c r="AQ315" s="100"/>
      <c r="AR315" s="100"/>
      <c r="AS315" s="100"/>
      <c r="AT315" s="100"/>
      <c r="AU315" s="100"/>
      <c r="AV315" s="100"/>
    </row>
    <row r="316" spans="1:48" ht="16.3">
      <c r="A316" s="611" t="s">
        <v>366</v>
      </c>
      <c r="B316" s="221">
        <f>SUM(J316+K316+L316+M316+N316+S316+V316+W316+X316+AA316+AI316+AJ316+AI316+AM316+AP316+AQ316+AS316+AT316+AU316+AV316)+4</f>
        <v>4</v>
      </c>
      <c r="C316" s="215">
        <f>SUM(K316+L316+M316+N316+J316+S316+W316+X316+V316+AA316+AJ316+AI316+AJ316+AM316+AN316+AQ316+AP316+AT316+AU316+AV316+AS316+AO316)+4</f>
        <v>4</v>
      </c>
      <c r="D316" s="133"/>
      <c r="E316" s="134"/>
      <c r="F316" s="135"/>
      <c r="G316" s="136"/>
      <c r="H316" s="96"/>
      <c r="I316" s="96"/>
      <c r="J316" s="128"/>
      <c r="K316" s="104"/>
      <c r="L316" s="75"/>
      <c r="M316" s="104"/>
      <c r="N316" s="75"/>
      <c r="O316" s="96"/>
      <c r="P316" s="163"/>
      <c r="Q316" s="109"/>
      <c r="R316" s="108"/>
      <c r="S316" s="100"/>
      <c r="T316" s="110"/>
      <c r="U316" s="110"/>
      <c r="V316" s="100"/>
      <c r="W316" s="100"/>
      <c r="X316" s="100"/>
      <c r="Y316" s="110"/>
      <c r="Z316" s="110"/>
      <c r="AA316" s="100"/>
      <c r="AB316" s="108"/>
      <c r="AC316" s="109"/>
      <c r="AD316" s="109"/>
      <c r="AE316" s="109"/>
      <c r="AF316" s="109"/>
      <c r="AG316" s="108"/>
      <c r="AH316" s="108"/>
      <c r="AI316" s="100"/>
      <c r="AJ316" s="100"/>
      <c r="AK316" s="110"/>
      <c r="AL316" s="110"/>
      <c r="AM316" s="100"/>
      <c r="AN316" s="100"/>
      <c r="AO316" s="100"/>
      <c r="AP316" s="100"/>
      <c r="AQ316" s="100"/>
      <c r="AR316" s="100"/>
      <c r="AS316" s="100"/>
      <c r="AT316" s="100"/>
      <c r="AU316" s="100"/>
      <c r="AV316" s="100"/>
    </row>
    <row r="317" spans="1:48" ht="16.3">
      <c r="A317" s="611" t="s">
        <v>362</v>
      </c>
      <c r="B317" s="221">
        <f>SUM(J317+K317+L317+M317+N317+S317+V317+W317+X317+AA317+AI317+AJ317+AI317+AM317+AP317+AQ317+AS317+AT317+AU317+AV317)+1</f>
        <v>2</v>
      </c>
      <c r="C317" s="215">
        <f>SUM(K317+L317+M317+N317+J317+S317+W317+X317+V317+AA317+AJ317+AI317+AJ317+AM317+AN317+AQ317+AP317+AT317+AU317+AV317+AS317+AO317)+2</f>
        <v>3</v>
      </c>
      <c r="D317" s="133"/>
      <c r="E317" s="134"/>
      <c r="F317" s="135"/>
      <c r="G317" s="136"/>
      <c r="H317" s="96"/>
      <c r="I317" s="96"/>
      <c r="J317" s="128"/>
      <c r="K317" s="104"/>
      <c r="L317" s="75"/>
      <c r="M317" s="104"/>
      <c r="N317" s="75"/>
      <c r="O317" s="96"/>
      <c r="P317" s="163"/>
      <c r="Q317" s="109"/>
      <c r="R317" s="108"/>
      <c r="S317" s="100"/>
      <c r="T317" s="110"/>
      <c r="U317" s="110"/>
      <c r="V317" s="100">
        <v>1</v>
      </c>
      <c r="W317" s="100"/>
      <c r="X317" s="100"/>
      <c r="Y317" s="110"/>
      <c r="Z317" s="110"/>
      <c r="AA317" s="100"/>
      <c r="AB317" s="108"/>
      <c r="AC317" s="109"/>
      <c r="AD317" s="109"/>
      <c r="AE317" s="109"/>
      <c r="AF317" s="109"/>
      <c r="AG317" s="108"/>
      <c r="AH317" s="108"/>
      <c r="AI317" s="100"/>
      <c r="AJ317" s="100"/>
      <c r="AK317" s="110"/>
      <c r="AL317" s="11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</row>
    <row r="318" spans="1:48" ht="16.3">
      <c r="A318" s="91" t="s">
        <v>3</v>
      </c>
      <c r="B318" s="219">
        <f>SUM(J318+K318+L318+M318+N318+S318+V318+W318+X318+AA318+AI318+AJ318+AI318+AM318+AP318+AQ318+AS318+AT318+AU318+AV318)+11</f>
        <v>12</v>
      </c>
      <c r="C318" s="214">
        <f>SUM(K318+L318+M318+N318+J318+S318+W318+X318+V318+AA318+AJ318+AI318+AJ318+AM318+AN318+AQ318+AP318+AT318+AU318+AV318+AS318+AO318)+16</f>
        <v>17</v>
      </c>
      <c r="D318" s="133"/>
      <c r="E318" s="134"/>
      <c r="F318" s="135"/>
      <c r="G318" s="136"/>
      <c r="H318" s="96"/>
      <c r="I318" s="96">
        <v>2</v>
      </c>
      <c r="J318" s="128"/>
      <c r="K318" s="104"/>
      <c r="L318" s="75"/>
      <c r="M318" s="104"/>
      <c r="N318" s="75"/>
      <c r="O318" s="96"/>
      <c r="P318" s="163"/>
      <c r="Q318" s="109"/>
      <c r="R318" s="108"/>
      <c r="S318" s="100"/>
      <c r="T318" s="110"/>
      <c r="U318" s="110"/>
      <c r="V318" s="100"/>
      <c r="W318" s="100">
        <v>1</v>
      </c>
      <c r="X318" s="100"/>
      <c r="Y318" s="110"/>
      <c r="Z318" s="110"/>
      <c r="AA318" s="100"/>
      <c r="AB318" s="108"/>
      <c r="AC318" s="109"/>
      <c r="AD318" s="109"/>
      <c r="AE318" s="109"/>
      <c r="AF318" s="109"/>
      <c r="AG318" s="108"/>
      <c r="AH318" s="108"/>
      <c r="AI318" s="100"/>
      <c r="AJ318" s="100"/>
      <c r="AK318" s="110"/>
      <c r="AL318" s="110"/>
      <c r="AM318" s="100"/>
      <c r="AN318" s="100"/>
      <c r="AO318" s="100"/>
      <c r="AP318" s="100"/>
      <c r="AQ318" s="100"/>
      <c r="AR318" s="100"/>
      <c r="AS318" s="100"/>
      <c r="AT318" s="100"/>
      <c r="AU318" s="100"/>
      <c r="AV318" s="100"/>
    </row>
    <row r="319" spans="1:48" ht="17" thickBot="1">
      <c r="A319" s="92" t="s">
        <v>4</v>
      </c>
      <c r="B319" s="220">
        <f>SUM(J319+K319+L319+M319+N319+S319+V319+W319+X319+AA319+AI319+AJ319+AI319+AM319+AP319+AQ319+AS319+AT319+AU319+AV319)+55</f>
        <v>60</v>
      </c>
      <c r="C319" s="217">
        <f>SUM(K319+L319+M319+N319+J319+S319+W319+X319+V319+AA319+AJ319+AI319+AJ319+AM319+AN319+AQ319+AP319+AT319+AU319+AV319+AS319+AO319)+80</f>
        <v>85</v>
      </c>
      <c r="D319" s="144"/>
      <c r="E319" s="145"/>
      <c r="F319" s="146"/>
      <c r="G319" s="147"/>
      <c r="H319" s="114"/>
      <c r="I319" s="114">
        <v>10</v>
      </c>
      <c r="J319" s="129"/>
      <c r="K319" s="113"/>
      <c r="L319" s="112"/>
      <c r="M319" s="113"/>
      <c r="N319" s="112"/>
      <c r="O319" s="114"/>
      <c r="P319" s="164"/>
      <c r="Q319" s="118"/>
      <c r="R319" s="117"/>
      <c r="S319" s="116"/>
      <c r="T319" s="120"/>
      <c r="U319" s="120"/>
      <c r="V319" s="116"/>
      <c r="W319" s="116">
        <v>5</v>
      </c>
      <c r="X319" s="116"/>
      <c r="Y319" s="120"/>
      <c r="Z319" s="120"/>
      <c r="AA319" s="116"/>
      <c r="AB319" s="117"/>
      <c r="AC319" s="118"/>
      <c r="AD319" s="118"/>
      <c r="AE319" s="118"/>
      <c r="AF319" s="118"/>
      <c r="AG319" s="117"/>
      <c r="AH319" s="117"/>
      <c r="AI319" s="116"/>
      <c r="AJ319" s="116"/>
      <c r="AK319" s="120"/>
      <c r="AL319" s="120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</row>
    <row r="320" spans="1:48" ht="21.1">
      <c r="A320" s="89" t="s">
        <v>525</v>
      </c>
      <c r="B320" s="219"/>
      <c r="C320" s="214"/>
      <c r="D320" s="133"/>
      <c r="E320" s="134"/>
      <c r="F320" s="135"/>
      <c r="G320" s="136"/>
      <c r="H320" s="96"/>
      <c r="I320" s="96" t="s">
        <v>432</v>
      </c>
      <c r="J320" s="128" t="s">
        <v>375</v>
      </c>
      <c r="K320" s="104" t="s">
        <v>339</v>
      </c>
      <c r="L320" s="75" t="s">
        <v>375</v>
      </c>
      <c r="M320" s="104" t="s">
        <v>375</v>
      </c>
      <c r="N320" s="75" t="s">
        <v>375</v>
      </c>
      <c r="O320" s="96"/>
      <c r="P320" s="105"/>
      <c r="Q320" s="99" t="s">
        <v>783</v>
      </c>
      <c r="R320" s="98"/>
      <c r="S320" s="100" t="s">
        <v>375</v>
      </c>
      <c r="T320" s="110" t="s">
        <v>375</v>
      </c>
      <c r="U320" s="110"/>
      <c r="V320" s="102"/>
      <c r="W320" s="102"/>
      <c r="X320" s="102" t="s">
        <v>371</v>
      </c>
      <c r="Y320" s="101" t="s">
        <v>375</v>
      </c>
      <c r="Z320" s="101"/>
      <c r="AA320" s="102"/>
      <c r="AB320" s="98"/>
      <c r="AC320" s="99" t="s">
        <v>783</v>
      </c>
      <c r="AD320" s="99" t="s">
        <v>783</v>
      </c>
      <c r="AE320" s="99"/>
      <c r="AF320" s="99"/>
      <c r="AG320" s="98"/>
      <c r="AH320" s="98"/>
      <c r="AI320" s="102"/>
      <c r="AJ320" s="102"/>
      <c r="AK320" s="101"/>
      <c r="AL320" s="101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</row>
    <row r="321" spans="1:48" ht="16.3">
      <c r="A321" s="585" t="s">
        <v>1</v>
      </c>
      <c r="B321" s="221">
        <f>SUM(J321+K321+L321+M321+N321+S321+V321+W321+X321+AA321+AI321+AJ321+AI321+AM321+AP321+AQ321+AS321+AT321+AU321+AV321+AN321)</f>
        <v>1</v>
      </c>
      <c r="C321" s="215">
        <f>B321</f>
        <v>1</v>
      </c>
      <c r="D321" s="133"/>
      <c r="E321" s="134"/>
      <c r="F321" s="135"/>
      <c r="G321" s="136"/>
      <c r="H321" s="96"/>
      <c r="I321" s="96"/>
      <c r="J321" s="128"/>
      <c r="K321" s="104"/>
      <c r="L321" s="75"/>
      <c r="M321" s="75"/>
      <c r="N321" s="75"/>
      <c r="O321" s="96"/>
      <c r="P321" s="163"/>
      <c r="Q321" s="109"/>
      <c r="R321" s="108"/>
      <c r="S321" s="100"/>
      <c r="T321" s="110"/>
      <c r="U321" s="110"/>
      <c r="V321" s="100"/>
      <c r="W321" s="100"/>
      <c r="X321" s="100">
        <v>1</v>
      </c>
      <c r="Y321" s="110"/>
      <c r="Z321" s="110"/>
      <c r="AA321" s="100"/>
      <c r="AB321" s="108"/>
      <c r="AC321" s="109"/>
      <c r="AD321" s="109"/>
      <c r="AE321" s="109"/>
      <c r="AF321" s="109"/>
      <c r="AG321" s="108"/>
      <c r="AH321" s="108"/>
      <c r="AI321" s="100"/>
      <c r="AJ321" s="100"/>
      <c r="AK321" s="110"/>
      <c r="AL321" s="110"/>
      <c r="AM321" s="100"/>
      <c r="AN321" s="100"/>
      <c r="AO321" s="100"/>
      <c r="AP321" s="100"/>
      <c r="AQ321" s="100"/>
      <c r="AR321" s="100"/>
      <c r="AS321" s="100"/>
      <c r="AT321" s="100"/>
      <c r="AU321" s="100"/>
      <c r="AV321" s="100"/>
    </row>
    <row r="322" spans="1:48" ht="16.3">
      <c r="A322" s="585" t="s">
        <v>2</v>
      </c>
      <c r="B322" s="221">
        <f>SUM(J322+K322+L322+M322+N322+S322+V322+W322+X322+AA322+AI322+AJ322+AI322+AM322+AP322+AQ322+AS322+AT322+AU322+AV322)</f>
        <v>5</v>
      </c>
      <c r="C322" s="215">
        <f t="shared" ref="C322:C325" si="50">B322</f>
        <v>5</v>
      </c>
      <c r="D322" s="133"/>
      <c r="E322" s="134"/>
      <c r="F322" s="135"/>
      <c r="G322" s="136"/>
      <c r="H322" s="96"/>
      <c r="I322" s="96">
        <v>1</v>
      </c>
      <c r="J322" s="128">
        <v>1</v>
      </c>
      <c r="K322" s="104"/>
      <c r="L322" s="75">
        <v>1</v>
      </c>
      <c r="M322" s="75">
        <v>1</v>
      </c>
      <c r="N322" s="75">
        <v>1</v>
      </c>
      <c r="O322" s="96"/>
      <c r="P322" s="163"/>
      <c r="Q322" s="109"/>
      <c r="R322" s="108"/>
      <c r="S322" s="100">
        <v>1</v>
      </c>
      <c r="T322" s="110">
        <v>1</v>
      </c>
      <c r="U322" s="110"/>
      <c r="V322" s="100"/>
      <c r="W322" s="100"/>
      <c r="X322" s="100"/>
      <c r="Y322" s="110">
        <v>1</v>
      </c>
      <c r="Z322" s="110"/>
      <c r="AA322" s="100"/>
      <c r="AB322" s="108"/>
      <c r="AC322" s="109"/>
      <c r="AD322" s="109"/>
      <c r="AE322" s="109"/>
      <c r="AF322" s="109"/>
      <c r="AG322" s="108"/>
      <c r="AH322" s="108"/>
      <c r="AI322" s="100"/>
      <c r="AJ322" s="100"/>
      <c r="AK322" s="110"/>
      <c r="AL322" s="110"/>
      <c r="AM322" s="100"/>
      <c r="AN322" s="100"/>
      <c r="AO322" s="100"/>
      <c r="AP322" s="100"/>
      <c r="AQ322" s="100"/>
      <c r="AR322" s="100"/>
      <c r="AS322" s="100"/>
      <c r="AT322" s="100"/>
      <c r="AU322" s="100"/>
      <c r="AV322" s="100"/>
    </row>
    <row r="323" spans="1:48" ht="16.3">
      <c r="A323" s="91" t="s">
        <v>363</v>
      </c>
      <c r="B323" s="219">
        <f>SUM(B321+B322)</f>
        <v>6</v>
      </c>
      <c r="C323" s="214">
        <f t="shared" si="50"/>
        <v>6</v>
      </c>
      <c r="D323" s="133"/>
      <c r="E323" s="134"/>
      <c r="F323" s="135"/>
      <c r="G323" s="136"/>
      <c r="H323" s="96"/>
      <c r="I323" s="96"/>
      <c r="J323" s="128"/>
      <c r="K323" s="104"/>
      <c r="L323" s="75"/>
      <c r="M323" s="75"/>
      <c r="N323" s="75"/>
      <c r="O323" s="96"/>
      <c r="P323" s="163"/>
      <c r="Q323" s="109"/>
      <c r="R323" s="108"/>
      <c r="S323" s="100"/>
      <c r="T323" s="110"/>
      <c r="U323" s="110"/>
      <c r="V323" s="100"/>
      <c r="W323" s="100"/>
      <c r="X323" s="100"/>
      <c r="Y323" s="110"/>
      <c r="Z323" s="110"/>
      <c r="AA323" s="100"/>
      <c r="AB323" s="108"/>
      <c r="AC323" s="109"/>
      <c r="AD323" s="109"/>
      <c r="AE323" s="109"/>
      <c r="AF323" s="109"/>
      <c r="AG323" s="108"/>
      <c r="AH323" s="108"/>
      <c r="AI323" s="100"/>
      <c r="AJ323" s="100"/>
      <c r="AK323" s="110"/>
      <c r="AL323" s="110"/>
      <c r="AM323" s="100"/>
      <c r="AN323" s="100"/>
      <c r="AO323" s="100"/>
      <c r="AP323" s="100"/>
      <c r="AQ323" s="100"/>
      <c r="AR323" s="100"/>
      <c r="AS323" s="100"/>
      <c r="AT323" s="100"/>
      <c r="AU323" s="100"/>
      <c r="AV323" s="100"/>
    </row>
    <row r="324" spans="1:48" ht="16.3">
      <c r="A324" s="91" t="s">
        <v>3</v>
      </c>
      <c r="B324" s="219">
        <f>SUM(J324+K324+L324+M324+N324+S324+V324+W324+X324+AA324+AI324+AJ324+AI324+AM324+AP324+AQ324+AS324+AT324+AU324+AV324)</f>
        <v>1</v>
      </c>
      <c r="C324" s="214">
        <f t="shared" si="50"/>
        <v>1</v>
      </c>
      <c r="D324" s="133"/>
      <c r="E324" s="134"/>
      <c r="F324" s="135"/>
      <c r="G324" s="136"/>
      <c r="H324" s="96"/>
      <c r="I324" s="96"/>
      <c r="J324" s="128"/>
      <c r="K324" s="104"/>
      <c r="L324" s="75"/>
      <c r="M324" s="75"/>
      <c r="N324" s="75">
        <v>1</v>
      </c>
      <c r="O324" s="96"/>
      <c r="P324" s="163"/>
      <c r="Q324" s="109"/>
      <c r="R324" s="108"/>
      <c r="S324" s="100"/>
      <c r="T324" s="110"/>
      <c r="U324" s="110"/>
      <c r="V324" s="100"/>
      <c r="W324" s="100"/>
      <c r="X324" s="100"/>
      <c r="Y324" s="110"/>
      <c r="Z324" s="110"/>
      <c r="AA324" s="100"/>
      <c r="AB324" s="108"/>
      <c r="AC324" s="109"/>
      <c r="AD324" s="109"/>
      <c r="AE324" s="109"/>
      <c r="AF324" s="109"/>
      <c r="AG324" s="108"/>
      <c r="AH324" s="108"/>
      <c r="AI324" s="100"/>
      <c r="AJ324" s="100"/>
      <c r="AK324" s="110"/>
      <c r="AL324" s="110"/>
      <c r="AM324" s="100"/>
      <c r="AN324" s="100"/>
      <c r="AO324" s="100"/>
      <c r="AP324" s="100"/>
      <c r="AQ324" s="100"/>
      <c r="AR324" s="100"/>
      <c r="AS324" s="100"/>
      <c r="AT324" s="100"/>
      <c r="AU324" s="100"/>
      <c r="AV324" s="100"/>
    </row>
    <row r="325" spans="1:48" ht="17" thickBot="1">
      <c r="A325" s="92" t="s">
        <v>4</v>
      </c>
      <c r="B325" s="220">
        <f>SUM(J325+K325+L325+M325+N325+S325+V325+W325+X325+AA325+AI325+AJ325+AI325+AM325+AP325+AQ325+AS325+AT325+AU325+AV325)</f>
        <v>5</v>
      </c>
      <c r="C325" s="217">
        <f t="shared" si="50"/>
        <v>5</v>
      </c>
      <c r="D325" s="144"/>
      <c r="E325" s="145"/>
      <c r="F325" s="146"/>
      <c r="G325" s="147"/>
      <c r="H325" s="114"/>
      <c r="I325" s="114"/>
      <c r="J325" s="129"/>
      <c r="K325" s="113"/>
      <c r="L325" s="112"/>
      <c r="M325" s="112"/>
      <c r="N325" s="112">
        <v>5</v>
      </c>
      <c r="O325" s="114"/>
      <c r="P325" s="164"/>
      <c r="Q325" s="118"/>
      <c r="R325" s="117"/>
      <c r="S325" s="116"/>
      <c r="T325" s="120"/>
      <c r="U325" s="120"/>
      <c r="V325" s="116"/>
      <c r="W325" s="116"/>
      <c r="X325" s="116"/>
      <c r="Y325" s="120"/>
      <c r="Z325" s="120"/>
      <c r="AA325" s="116"/>
      <c r="AB325" s="117"/>
      <c r="AC325" s="118"/>
      <c r="AD325" s="118"/>
      <c r="AE325" s="118"/>
      <c r="AF325" s="118"/>
      <c r="AG325" s="117"/>
      <c r="AH325" s="117"/>
      <c r="AI325" s="116"/>
      <c r="AJ325" s="116"/>
      <c r="AK325" s="120"/>
      <c r="AL325" s="120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</row>
    <row r="326" spans="1:48" ht="21.1">
      <c r="A326" s="89" t="s">
        <v>126</v>
      </c>
      <c r="B326" s="219"/>
      <c r="C326" s="214"/>
      <c r="D326" s="133"/>
      <c r="E326" s="134"/>
      <c r="F326" s="135"/>
      <c r="G326" s="136"/>
      <c r="H326" s="96" t="s">
        <v>375</v>
      </c>
      <c r="I326" s="96"/>
      <c r="J326" s="128"/>
      <c r="K326" s="104" t="s">
        <v>375</v>
      </c>
      <c r="L326" s="75"/>
      <c r="M326" s="75"/>
      <c r="N326" s="75"/>
      <c r="O326" s="96" t="s">
        <v>371</v>
      </c>
      <c r="P326" s="163"/>
      <c r="Q326" s="99"/>
      <c r="R326" s="98"/>
      <c r="S326" s="100"/>
      <c r="T326" s="110"/>
      <c r="U326" s="110" t="s">
        <v>375</v>
      </c>
      <c r="V326" s="102" t="s">
        <v>375</v>
      </c>
      <c r="W326" s="102"/>
      <c r="X326" s="102" t="s">
        <v>375</v>
      </c>
      <c r="Y326" s="101"/>
      <c r="Z326" s="101" t="s">
        <v>375</v>
      </c>
      <c r="AA326" s="102" t="s">
        <v>375</v>
      </c>
      <c r="AB326" s="98"/>
      <c r="AC326" s="99" t="s">
        <v>816</v>
      </c>
      <c r="AD326" s="99"/>
      <c r="AE326" s="99"/>
      <c r="AF326" s="99"/>
      <c r="AG326" s="98"/>
      <c r="AH326" s="98"/>
      <c r="AI326" s="102"/>
      <c r="AJ326" s="102"/>
      <c r="AK326" s="101"/>
      <c r="AL326" s="101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</row>
    <row r="327" spans="1:48" ht="16.3">
      <c r="A327" s="585" t="s">
        <v>1</v>
      </c>
      <c r="B327" s="221">
        <f>SUM(J327+K327+L327+M327+N327+S327+V327+W327+X327+AA327+AI327+AJ327+AI327+AM327+AP327+AQ327+AS327+AT327+AU327+AV327+AN327)+10</f>
        <v>10</v>
      </c>
      <c r="C327" s="215">
        <f>B327</f>
        <v>10</v>
      </c>
      <c r="D327" s="133"/>
      <c r="E327" s="134"/>
      <c r="F327" s="135"/>
      <c r="G327" s="136"/>
      <c r="H327" s="96"/>
      <c r="I327" s="96"/>
      <c r="J327" s="128"/>
      <c r="K327" s="104"/>
      <c r="L327" s="75"/>
      <c r="M327" s="75"/>
      <c r="N327" s="75"/>
      <c r="O327" s="96">
        <v>1</v>
      </c>
      <c r="P327" s="163"/>
      <c r="Q327" s="109"/>
      <c r="R327" s="108"/>
      <c r="S327" s="100"/>
      <c r="T327" s="110"/>
      <c r="U327" s="110"/>
      <c r="V327" s="100"/>
      <c r="W327" s="100"/>
      <c r="X327" s="100"/>
      <c r="Y327" s="110"/>
      <c r="Z327" s="110"/>
      <c r="AA327" s="100"/>
      <c r="AB327" s="108"/>
      <c r="AC327" s="109"/>
      <c r="AD327" s="109"/>
      <c r="AE327" s="109"/>
      <c r="AF327" s="109"/>
      <c r="AG327" s="108"/>
      <c r="AH327" s="108"/>
      <c r="AI327" s="100"/>
      <c r="AJ327" s="100"/>
      <c r="AK327" s="110"/>
      <c r="AL327" s="110"/>
      <c r="AM327" s="100"/>
      <c r="AN327" s="100"/>
      <c r="AO327" s="100"/>
      <c r="AP327" s="100"/>
      <c r="AQ327" s="100"/>
      <c r="AR327" s="100"/>
      <c r="AS327" s="100"/>
      <c r="AT327" s="100"/>
      <c r="AU327" s="100"/>
      <c r="AV327" s="100"/>
    </row>
    <row r="328" spans="1:48" ht="16.3">
      <c r="A328" s="585" t="s">
        <v>2</v>
      </c>
      <c r="B328" s="221">
        <f>SUM(J328+K328+L328+M328+N328+S328+V328+W328+X328+AA328+AI328+AJ328+AI328+AM328+AP328+AQ328+AS328+AT328+AU328+AV328)+34</f>
        <v>38</v>
      </c>
      <c r="C328" s="215">
        <f t="shared" ref="C328:C332" si="51">B328</f>
        <v>38</v>
      </c>
      <c r="D328" s="133"/>
      <c r="E328" s="134"/>
      <c r="F328" s="135"/>
      <c r="G328" s="136"/>
      <c r="H328" s="96">
        <v>1</v>
      </c>
      <c r="I328" s="96"/>
      <c r="J328" s="128"/>
      <c r="K328" s="104">
        <v>1</v>
      </c>
      <c r="L328" s="75"/>
      <c r="M328" s="75"/>
      <c r="N328" s="75"/>
      <c r="O328" s="96"/>
      <c r="P328" s="163"/>
      <c r="Q328" s="109"/>
      <c r="R328" s="108"/>
      <c r="S328" s="100"/>
      <c r="T328" s="110"/>
      <c r="U328" s="110">
        <v>1</v>
      </c>
      <c r="V328" s="100">
        <v>1</v>
      </c>
      <c r="W328" s="100"/>
      <c r="X328" s="100">
        <v>1</v>
      </c>
      <c r="Y328" s="110"/>
      <c r="Z328" s="110">
        <v>1</v>
      </c>
      <c r="AA328" s="100">
        <v>1</v>
      </c>
      <c r="AB328" s="108"/>
      <c r="AC328" s="109"/>
      <c r="AD328" s="109"/>
      <c r="AE328" s="109"/>
      <c r="AF328" s="109"/>
      <c r="AG328" s="108"/>
      <c r="AH328" s="108"/>
      <c r="AI328" s="100"/>
      <c r="AJ328" s="100"/>
      <c r="AK328" s="110"/>
      <c r="AL328" s="110"/>
      <c r="AM328" s="100"/>
      <c r="AN328" s="100"/>
      <c r="AO328" s="100"/>
      <c r="AP328" s="100"/>
      <c r="AQ328" s="100"/>
      <c r="AR328" s="100"/>
      <c r="AS328" s="100"/>
      <c r="AT328" s="100"/>
      <c r="AU328" s="100"/>
      <c r="AV328" s="100"/>
    </row>
    <row r="329" spans="1:48" ht="16.3">
      <c r="A329" s="91" t="s">
        <v>363</v>
      </c>
      <c r="B329" s="219">
        <f>SUM(B327+B328)</f>
        <v>48</v>
      </c>
      <c r="C329" s="214">
        <f t="shared" si="51"/>
        <v>48</v>
      </c>
      <c r="D329" s="133"/>
      <c r="E329" s="134"/>
      <c r="F329" s="135"/>
      <c r="G329" s="136"/>
      <c r="H329" s="96"/>
      <c r="I329" s="96"/>
      <c r="J329" s="128"/>
      <c r="K329" s="104"/>
      <c r="L329" s="75"/>
      <c r="M329" s="75"/>
      <c r="N329" s="75"/>
      <c r="O329" s="96"/>
      <c r="P329" s="163"/>
      <c r="Q329" s="109"/>
      <c r="R329" s="108"/>
      <c r="S329" s="100"/>
      <c r="T329" s="110"/>
      <c r="U329" s="110"/>
      <c r="V329" s="100"/>
      <c r="W329" s="100"/>
      <c r="X329" s="100"/>
      <c r="Y329" s="110"/>
      <c r="Z329" s="110"/>
      <c r="AA329" s="100"/>
      <c r="AB329" s="108"/>
      <c r="AC329" s="109"/>
      <c r="AD329" s="109"/>
      <c r="AE329" s="109"/>
      <c r="AF329" s="109"/>
      <c r="AG329" s="108"/>
      <c r="AH329" s="108"/>
      <c r="AI329" s="100"/>
      <c r="AJ329" s="100"/>
      <c r="AK329" s="110"/>
      <c r="AL329" s="11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</row>
    <row r="330" spans="1:48" ht="16.3">
      <c r="A330" s="585" t="s">
        <v>362</v>
      </c>
      <c r="B330" s="221">
        <f>SUM(J330+K330+L330+M330+N330+S330+V330+W330+X330+AA330+AI330+AJ330+AI330+AM330+AP330+AQ330+AS330+AT330+AU330+AV330)+1</f>
        <v>1</v>
      </c>
      <c r="C330" s="215">
        <f t="shared" si="51"/>
        <v>1</v>
      </c>
      <c r="D330" s="133"/>
      <c r="E330" s="134"/>
      <c r="F330" s="135"/>
      <c r="G330" s="136"/>
      <c r="H330" s="96"/>
      <c r="I330" s="96"/>
      <c r="J330" s="128"/>
      <c r="K330" s="104"/>
      <c r="L330" s="75"/>
      <c r="M330" s="75"/>
      <c r="N330" s="75"/>
      <c r="O330" s="96"/>
      <c r="P330" s="163"/>
      <c r="Q330" s="109"/>
      <c r="R330" s="108"/>
      <c r="S330" s="100"/>
      <c r="T330" s="110"/>
      <c r="U330" s="110"/>
      <c r="V330" s="100"/>
      <c r="W330" s="100"/>
      <c r="X330" s="100"/>
      <c r="Y330" s="110"/>
      <c r="Z330" s="110"/>
      <c r="AA330" s="100"/>
      <c r="AB330" s="108"/>
      <c r="AC330" s="109"/>
      <c r="AD330" s="109"/>
      <c r="AE330" s="109"/>
      <c r="AF330" s="109"/>
      <c r="AG330" s="108"/>
      <c r="AH330" s="108"/>
      <c r="AI330" s="100"/>
      <c r="AJ330" s="100"/>
      <c r="AK330" s="110"/>
      <c r="AL330" s="110"/>
      <c r="AM330" s="100"/>
      <c r="AN330" s="100"/>
      <c r="AO330" s="100"/>
      <c r="AP330" s="100"/>
      <c r="AQ330" s="100"/>
      <c r="AR330" s="100"/>
      <c r="AS330" s="100"/>
      <c r="AT330" s="100"/>
      <c r="AU330" s="100"/>
      <c r="AV330" s="100"/>
    </row>
    <row r="331" spans="1:48" ht="16.3">
      <c r="A331" s="91" t="s">
        <v>3</v>
      </c>
      <c r="B331" s="219">
        <f>SUM(J331+K331+L331+M331+N331+S331+V331+W331+X331+AA331+AI331+AJ331+AI331+AM331+AP331+AQ331+AS331+AT331+AU331+AV331)+6</f>
        <v>6</v>
      </c>
      <c r="C331" s="214">
        <f t="shared" si="51"/>
        <v>6</v>
      </c>
      <c r="D331" s="133"/>
      <c r="E331" s="134"/>
      <c r="F331" s="135"/>
      <c r="G331" s="136"/>
      <c r="H331" s="96">
        <v>1</v>
      </c>
      <c r="I331" s="96"/>
      <c r="J331" s="128"/>
      <c r="K331" s="104"/>
      <c r="L331" s="75"/>
      <c r="M331" s="75"/>
      <c r="N331" s="75"/>
      <c r="O331" s="96"/>
      <c r="P331" s="163"/>
      <c r="Q331" s="109"/>
      <c r="R331" s="108"/>
      <c r="S331" s="100"/>
      <c r="T331" s="110"/>
      <c r="U331" s="110">
        <v>2</v>
      </c>
      <c r="V331" s="100"/>
      <c r="W331" s="100"/>
      <c r="X331" s="100"/>
      <c r="Y331" s="110"/>
      <c r="Z331" s="110"/>
      <c r="AA331" s="100"/>
      <c r="AB331" s="108"/>
      <c r="AC331" s="109"/>
      <c r="AD331" s="109"/>
      <c r="AE331" s="109"/>
      <c r="AF331" s="109"/>
      <c r="AG331" s="108"/>
      <c r="AH331" s="108"/>
      <c r="AI331" s="100"/>
      <c r="AJ331" s="100"/>
      <c r="AK331" s="110"/>
      <c r="AL331" s="110"/>
      <c r="AM331" s="100"/>
      <c r="AN331" s="100"/>
      <c r="AO331" s="100"/>
      <c r="AP331" s="100"/>
      <c r="AQ331" s="100"/>
      <c r="AR331" s="100"/>
      <c r="AS331" s="100"/>
      <c r="AT331" s="100"/>
      <c r="AU331" s="100"/>
      <c r="AV331" s="100"/>
    </row>
    <row r="332" spans="1:48" ht="17" thickBot="1">
      <c r="A332" s="92" t="s">
        <v>4</v>
      </c>
      <c r="B332" s="220">
        <f>SUM(J332+K332+L332+M332+N332+S332+V332+W332+X332+AA332+AI332+AJ332+AI332+AM332+AP332+AQ332+AS332+AT332+AU332+AV332)+30</f>
        <v>30</v>
      </c>
      <c r="C332" s="217">
        <f t="shared" si="51"/>
        <v>30</v>
      </c>
      <c r="D332" s="144"/>
      <c r="E332" s="145"/>
      <c r="F332" s="146"/>
      <c r="G332" s="147"/>
      <c r="H332" s="114">
        <v>5</v>
      </c>
      <c r="I332" s="114"/>
      <c r="J332" s="129"/>
      <c r="K332" s="113"/>
      <c r="L332" s="112"/>
      <c r="M332" s="112"/>
      <c r="N332" s="112"/>
      <c r="O332" s="114"/>
      <c r="P332" s="164"/>
      <c r="Q332" s="118"/>
      <c r="R332" s="117"/>
      <c r="S332" s="116"/>
      <c r="T332" s="120"/>
      <c r="U332" s="120">
        <v>10</v>
      </c>
      <c r="V332" s="116"/>
      <c r="W332" s="116"/>
      <c r="X332" s="116"/>
      <c r="Y332" s="120"/>
      <c r="Z332" s="120"/>
      <c r="AA332" s="116"/>
      <c r="AB332" s="117"/>
      <c r="AC332" s="118"/>
      <c r="AD332" s="118"/>
      <c r="AE332" s="118"/>
      <c r="AF332" s="118"/>
      <c r="AG332" s="117"/>
      <c r="AH332" s="117"/>
      <c r="AI332" s="116"/>
      <c r="AJ332" s="116"/>
      <c r="AK332" s="120"/>
      <c r="AL332" s="120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</row>
    <row r="333" spans="1:48" ht="21.1">
      <c r="A333" s="89" t="s">
        <v>463</v>
      </c>
      <c r="B333" s="219"/>
      <c r="C333" s="214"/>
      <c r="D333" s="133"/>
      <c r="E333" s="134"/>
      <c r="F333" s="135"/>
      <c r="G333" s="136"/>
      <c r="H333" s="96"/>
      <c r="I333" s="96"/>
      <c r="J333" s="128"/>
      <c r="K333" s="104"/>
      <c r="L333" s="75"/>
      <c r="M333" s="75"/>
      <c r="N333" s="75"/>
      <c r="O333" s="96"/>
      <c r="P333" s="163"/>
      <c r="Q333" s="109" t="s">
        <v>654</v>
      </c>
      <c r="R333" s="108"/>
      <c r="S333" s="100"/>
      <c r="T333" s="110"/>
      <c r="U333" s="110"/>
      <c r="V333" s="100"/>
      <c r="W333" s="100" t="s">
        <v>375</v>
      </c>
      <c r="X333" s="100"/>
      <c r="Y333" s="110"/>
      <c r="Z333" s="110"/>
      <c r="AA333" s="100"/>
      <c r="AB333" s="108"/>
      <c r="AC333" s="109" t="s">
        <v>654</v>
      </c>
      <c r="AD333" s="109" t="s">
        <v>654</v>
      </c>
      <c r="AE333" s="109" t="s">
        <v>371</v>
      </c>
      <c r="AF333" s="109"/>
      <c r="AG333" s="108"/>
      <c r="AH333" s="108"/>
      <c r="AI333" s="100"/>
      <c r="AJ333" s="100"/>
      <c r="AK333" s="110"/>
      <c r="AL333" s="11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</row>
    <row r="334" spans="1:48" ht="16.3">
      <c r="A334" s="585" t="s">
        <v>1</v>
      </c>
      <c r="B334" s="221">
        <f>SUM(J334+K334+L334+M334+N334+S334+V334+W334+X334+AA334+AI334+AJ334+AI334+AM334+AP334+AQ334+AS334+AT334+AU334+AV334+AN334)+5</f>
        <v>5</v>
      </c>
      <c r="C334" s="215">
        <f>B334</f>
        <v>5</v>
      </c>
      <c r="D334" s="133"/>
      <c r="E334" s="134"/>
      <c r="F334" s="135"/>
      <c r="G334" s="136"/>
      <c r="H334" s="96"/>
      <c r="I334" s="96"/>
      <c r="J334" s="128"/>
      <c r="K334" s="104"/>
      <c r="L334" s="75"/>
      <c r="M334" s="75"/>
      <c r="N334" s="75"/>
      <c r="O334" s="96"/>
      <c r="P334" s="163"/>
      <c r="Q334" s="109">
        <v>1</v>
      </c>
      <c r="R334" s="108"/>
      <c r="S334" s="100"/>
      <c r="T334" s="110"/>
      <c r="U334" s="110"/>
      <c r="V334" s="100"/>
      <c r="W334" s="100"/>
      <c r="X334" s="100"/>
      <c r="Y334" s="110"/>
      <c r="Z334" s="110"/>
      <c r="AA334" s="100"/>
      <c r="AB334" s="108"/>
      <c r="AC334" s="109">
        <v>1</v>
      </c>
      <c r="AD334" s="109">
        <v>1</v>
      </c>
      <c r="AE334" s="109">
        <v>1</v>
      </c>
      <c r="AF334" s="109"/>
      <c r="AG334" s="108"/>
      <c r="AH334" s="108"/>
      <c r="AI334" s="100"/>
      <c r="AJ334" s="100"/>
      <c r="AK334" s="110"/>
      <c r="AL334" s="11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</row>
    <row r="335" spans="1:48" ht="16.3">
      <c r="A335" s="585" t="s">
        <v>2</v>
      </c>
      <c r="B335" s="221">
        <f>SUM(J335+K335+L335+M335+N335+S335+V335+W335+X335+AA335+AI335+AJ335+AI335+AM335+AP335+AQ335+AS335+AT335+AU335+AV335)+15</f>
        <v>16</v>
      </c>
      <c r="C335" s="215">
        <f t="shared" ref="C335:C338" si="52">B335</f>
        <v>16</v>
      </c>
      <c r="D335" s="133"/>
      <c r="E335" s="134"/>
      <c r="F335" s="135"/>
      <c r="G335" s="136"/>
      <c r="H335" s="96"/>
      <c r="I335" s="96"/>
      <c r="J335" s="128"/>
      <c r="K335" s="104"/>
      <c r="L335" s="75"/>
      <c r="M335" s="75"/>
      <c r="N335" s="75"/>
      <c r="O335" s="96"/>
      <c r="P335" s="163"/>
      <c r="Q335" s="109"/>
      <c r="R335" s="108"/>
      <c r="S335" s="100"/>
      <c r="T335" s="110"/>
      <c r="U335" s="110"/>
      <c r="V335" s="100"/>
      <c r="W335" s="100">
        <v>1</v>
      </c>
      <c r="X335" s="100"/>
      <c r="Y335" s="110"/>
      <c r="Z335" s="110"/>
      <c r="AA335" s="100"/>
      <c r="AB335" s="108"/>
      <c r="AC335" s="109"/>
      <c r="AD335" s="109"/>
      <c r="AE335" s="109"/>
      <c r="AF335" s="109"/>
      <c r="AG335" s="108"/>
      <c r="AH335" s="108"/>
      <c r="AI335" s="100"/>
      <c r="AJ335" s="100"/>
      <c r="AK335" s="110"/>
      <c r="AL335" s="11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</row>
    <row r="336" spans="1:48" ht="16.3">
      <c r="A336" s="91" t="s">
        <v>363</v>
      </c>
      <c r="B336" s="219">
        <f>SUM(B334+B335)</f>
        <v>21</v>
      </c>
      <c r="C336" s="214">
        <f t="shared" si="52"/>
        <v>21</v>
      </c>
      <c r="D336" s="133"/>
      <c r="E336" s="134"/>
      <c r="F336" s="135"/>
      <c r="G336" s="136"/>
      <c r="H336" s="96"/>
      <c r="I336" s="96"/>
      <c r="J336" s="128"/>
      <c r="K336" s="104"/>
      <c r="L336" s="75"/>
      <c r="M336" s="75"/>
      <c r="N336" s="75"/>
      <c r="O336" s="96"/>
      <c r="P336" s="163"/>
      <c r="Q336" s="109"/>
      <c r="R336" s="108"/>
      <c r="S336" s="100"/>
      <c r="T336" s="110"/>
      <c r="U336" s="110"/>
      <c r="V336" s="100"/>
      <c r="W336" s="100"/>
      <c r="X336" s="100"/>
      <c r="Y336" s="110"/>
      <c r="Z336" s="110"/>
      <c r="AA336" s="100"/>
      <c r="AB336" s="108"/>
      <c r="AC336" s="109"/>
      <c r="AD336" s="109"/>
      <c r="AE336" s="109"/>
      <c r="AF336" s="109"/>
      <c r="AG336" s="108"/>
      <c r="AH336" s="108"/>
      <c r="AI336" s="100"/>
      <c r="AJ336" s="100"/>
      <c r="AK336" s="110"/>
      <c r="AL336" s="11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</row>
    <row r="337" spans="1:48" ht="16.3">
      <c r="A337" s="585" t="s">
        <v>366</v>
      </c>
      <c r="B337" s="221">
        <f>SUM(J337+K337+L337+M337+N337+S337+V337+W337+X337+AA337+AI337+AJ337+AI337+AM337+AP337+AQ337+AS337+AT337+AU337+AV337)</f>
        <v>0</v>
      </c>
      <c r="C337" s="215">
        <f t="shared" si="52"/>
        <v>0</v>
      </c>
      <c r="D337" s="133"/>
      <c r="E337" s="134"/>
      <c r="F337" s="135"/>
      <c r="G337" s="136"/>
      <c r="H337" s="96"/>
      <c r="I337" s="96"/>
      <c r="J337" s="128"/>
      <c r="K337" s="104"/>
      <c r="L337" s="75"/>
      <c r="M337" s="75"/>
      <c r="N337" s="75"/>
      <c r="O337" s="96"/>
      <c r="P337" s="163"/>
      <c r="Q337" s="109">
        <v>1</v>
      </c>
      <c r="R337" s="108"/>
      <c r="S337" s="100"/>
      <c r="T337" s="110"/>
      <c r="U337" s="110"/>
      <c r="V337" s="100"/>
      <c r="W337" s="100"/>
      <c r="X337" s="100"/>
      <c r="Y337" s="110"/>
      <c r="Z337" s="110"/>
      <c r="AA337" s="100"/>
      <c r="AB337" s="108"/>
      <c r="AC337" s="109">
        <v>1</v>
      </c>
      <c r="AD337" s="109">
        <v>1</v>
      </c>
      <c r="AE337" s="109"/>
      <c r="AF337" s="109"/>
      <c r="AG337" s="108"/>
      <c r="AH337" s="108"/>
      <c r="AI337" s="100"/>
      <c r="AJ337" s="100"/>
      <c r="AK337" s="110"/>
      <c r="AL337" s="11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</row>
    <row r="338" spans="1:48" ht="16.3">
      <c r="A338" s="91" t="s">
        <v>3</v>
      </c>
      <c r="B338" s="219">
        <f>SUM(J338+K338+L338+M338+N338+S338+V338+W338+X338+AA338+AI338+AJ338+AI338+AM338+AP338+AQ338+AS338+AT338+AU338+AV338)+2</f>
        <v>2</v>
      </c>
      <c r="C338" s="214">
        <f t="shared" si="52"/>
        <v>2</v>
      </c>
      <c r="D338" s="133"/>
      <c r="E338" s="134"/>
      <c r="F338" s="135"/>
      <c r="G338" s="136"/>
      <c r="H338" s="96"/>
      <c r="I338" s="96"/>
      <c r="J338" s="128"/>
      <c r="K338" s="104"/>
      <c r="L338" s="75"/>
      <c r="M338" s="75"/>
      <c r="N338" s="75"/>
      <c r="O338" s="96"/>
      <c r="P338" s="163"/>
      <c r="Q338" s="109"/>
      <c r="R338" s="108"/>
      <c r="S338" s="100"/>
      <c r="T338" s="110"/>
      <c r="U338" s="110"/>
      <c r="V338" s="100"/>
      <c r="W338" s="100"/>
      <c r="X338" s="100"/>
      <c r="Y338" s="110"/>
      <c r="Z338" s="110"/>
      <c r="AA338" s="100"/>
      <c r="AB338" s="108"/>
      <c r="AC338" s="109">
        <v>1</v>
      </c>
      <c r="AD338" s="109"/>
      <c r="AE338" s="109"/>
      <c r="AF338" s="109"/>
      <c r="AG338" s="108"/>
      <c r="AH338" s="108"/>
      <c r="AI338" s="100"/>
      <c r="AJ338" s="100"/>
      <c r="AK338" s="110"/>
      <c r="AL338" s="11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</row>
    <row r="339" spans="1:48" ht="17" thickBot="1">
      <c r="A339" s="92" t="s">
        <v>4</v>
      </c>
      <c r="B339" s="219">
        <f>SUM(J339+K339+L339+M339+N339+S339+V339+W339+X339+AA339+AI339+AJ339+AI339+AM339+AP339+AQ339+AS339+AT339+AU339+AV339)+10</f>
        <v>10</v>
      </c>
      <c r="C339" s="232">
        <f t="shared" ref="C339" si="53">B339</f>
        <v>10</v>
      </c>
      <c r="D339" s="144"/>
      <c r="E339" s="145"/>
      <c r="F339" s="146"/>
      <c r="G339" s="147"/>
      <c r="H339" s="114"/>
      <c r="I339" s="114"/>
      <c r="J339" s="129"/>
      <c r="K339" s="113"/>
      <c r="L339" s="112"/>
      <c r="M339" s="112"/>
      <c r="N339" s="112"/>
      <c r="O339" s="114"/>
      <c r="P339" s="164"/>
      <c r="Q339" s="118"/>
      <c r="R339" s="117"/>
      <c r="S339" s="116"/>
      <c r="T339" s="120"/>
      <c r="U339" s="120"/>
      <c r="V339" s="116"/>
      <c r="W339" s="116"/>
      <c r="X339" s="116"/>
      <c r="Y339" s="120"/>
      <c r="Z339" s="120"/>
      <c r="AA339" s="116"/>
      <c r="AB339" s="117"/>
      <c r="AC339" s="118">
        <v>5</v>
      </c>
      <c r="AD339" s="118"/>
      <c r="AE339" s="118"/>
      <c r="AF339" s="118"/>
      <c r="AG339" s="117"/>
      <c r="AH339" s="117"/>
      <c r="AI339" s="116"/>
      <c r="AJ339" s="116"/>
      <c r="AK339" s="120"/>
      <c r="AL339" s="120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</row>
    <row r="340" spans="1:48" ht="21.1">
      <c r="A340" s="89" t="s">
        <v>418</v>
      </c>
      <c r="B340" s="223"/>
      <c r="C340" s="214"/>
      <c r="D340" s="133"/>
      <c r="E340" s="134"/>
      <c r="F340" s="135"/>
      <c r="G340" s="136"/>
      <c r="H340" s="96" t="s">
        <v>339</v>
      </c>
      <c r="I340" s="96" t="s">
        <v>339</v>
      </c>
      <c r="J340" s="128" t="s">
        <v>339</v>
      </c>
      <c r="K340" s="104" t="s">
        <v>339</v>
      </c>
      <c r="L340" s="75" t="s">
        <v>339</v>
      </c>
      <c r="M340" s="75" t="s">
        <v>339</v>
      </c>
      <c r="N340" s="75"/>
      <c r="O340" s="96" t="s">
        <v>375</v>
      </c>
      <c r="P340" s="163"/>
      <c r="Q340" s="109" t="s">
        <v>375</v>
      </c>
      <c r="R340" s="108"/>
      <c r="S340" s="100"/>
      <c r="T340" s="110"/>
      <c r="U340" s="110"/>
      <c r="V340" s="100"/>
      <c r="W340" s="100"/>
      <c r="X340" s="100"/>
      <c r="Y340" s="110"/>
      <c r="Z340" s="110" t="s">
        <v>984</v>
      </c>
      <c r="AA340" s="100" t="s">
        <v>984</v>
      </c>
      <c r="AB340" s="108"/>
      <c r="AC340" s="109" t="s">
        <v>984</v>
      </c>
      <c r="AD340" s="109" t="s">
        <v>984</v>
      </c>
      <c r="AE340" s="109" t="s">
        <v>984</v>
      </c>
      <c r="AF340" s="109" t="s">
        <v>371</v>
      </c>
      <c r="AG340" s="108"/>
      <c r="AH340" s="108"/>
      <c r="AI340" s="100"/>
      <c r="AJ340" s="100"/>
      <c r="AK340" s="110"/>
      <c r="AL340" s="11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</row>
    <row r="341" spans="1:48" ht="16.3">
      <c r="A341" s="585" t="s">
        <v>1</v>
      </c>
      <c r="B341" s="221">
        <f>SUM(J341+K341+L341+M341+N341+S341+V341+W341+X341+AA341+AI341+AJ341+AI341+AM341+AP341+AQ341+AS341+AT341+AU341+AV341+AN341)</f>
        <v>0</v>
      </c>
      <c r="C341" s="215">
        <f>B341</f>
        <v>0</v>
      </c>
      <c r="D341" s="133"/>
      <c r="E341" s="134"/>
      <c r="F341" s="135"/>
      <c r="G341" s="136"/>
      <c r="H341" s="96"/>
      <c r="I341" s="96"/>
      <c r="J341" s="128"/>
      <c r="K341" s="104"/>
      <c r="L341" s="75"/>
      <c r="M341" s="75"/>
      <c r="N341" s="75"/>
      <c r="O341" s="96"/>
      <c r="P341" s="163"/>
      <c r="Q341" s="109"/>
      <c r="R341" s="108"/>
      <c r="S341" s="100"/>
      <c r="T341" s="110"/>
      <c r="U341" s="110"/>
      <c r="V341" s="100"/>
      <c r="W341" s="100"/>
      <c r="X341" s="100"/>
      <c r="Y341" s="110"/>
      <c r="Z341" s="110"/>
      <c r="AA341" s="100"/>
      <c r="AB341" s="108"/>
      <c r="AC341" s="109"/>
      <c r="AD341" s="109"/>
      <c r="AE341" s="109"/>
      <c r="AF341" s="109">
        <v>1</v>
      </c>
      <c r="AG341" s="108"/>
      <c r="AH341" s="108"/>
      <c r="AI341" s="100"/>
      <c r="AJ341" s="100"/>
      <c r="AK341" s="110"/>
      <c r="AL341" s="11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</row>
    <row r="342" spans="1:48" ht="16.3">
      <c r="A342" s="585" t="s">
        <v>2</v>
      </c>
      <c r="B342" s="221">
        <f>SUM(J342+K342+L342+M342+N342+S342+V342+W342+X342+AA342+AI342+AJ342+AI342+AM342+AP342+AQ342+AS342+AT342+AU342+AV342)</f>
        <v>0</v>
      </c>
      <c r="C342" s="215">
        <f t="shared" ref="C342:C345" si="54">B342</f>
        <v>0</v>
      </c>
      <c r="D342" s="133"/>
      <c r="E342" s="134"/>
      <c r="F342" s="135"/>
      <c r="G342" s="136"/>
      <c r="H342" s="96"/>
      <c r="I342" s="96"/>
      <c r="J342" s="128"/>
      <c r="K342" s="104"/>
      <c r="L342" s="75"/>
      <c r="M342" s="75"/>
      <c r="N342" s="75"/>
      <c r="O342" s="96">
        <v>1</v>
      </c>
      <c r="P342" s="163"/>
      <c r="Q342" s="109">
        <v>1</v>
      </c>
      <c r="R342" s="108"/>
      <c r="S342" s="100"/>
      <c r="T342" s="110"/>
      <c r="U342" s="110"/>
      <c r="V342" s="100"/>
      <c r="W342" s="100"/>
      <c r="X342" s="100"/>
      <c r="Y342" s="110"/>
      <c r="Z342" s="110"/>
      <c r="AA342" s="100"/>
      <c r="AB342" s="108"/>
      <c r="AC342" s="109"/>
      <c r="AD342" s="109"/>
      <c r="AE342" s="109"/>
      <c r="AF342" s="109"/>
      <c r="AG342" s="108"/>
      <c r="AH342" s="108"/>
      <c r="AI342" s="100"/>
      <c r="AJ342" s="100"/>
      <c r="AK342" s="110"/>
      <c r="AL342" s="11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</row>
    <row r="343" spans="1:48" ht="16.3">
      <c r="A343" s="91" t="s">
        <v>363</v>
      </c>
      <c r="B343" s="219">
        <f>SUM(B341+B342)</f>
        <v>0</v>
      </c>
      <c r="C343" s="214">
        <f t="shared" si="54"/>
        <v>0</v>
      </c>
      <c r="D343" s="133"/>
      <c r="E343" s="134"/>
      <c r="F343" s="135"/>
      <c r="G343" s="136"/>
      <c r="H343" s="96"/>
      <c r="I343" s="96"/>
      <c r="J343" s="128"/>
      <c r="K343" s="104"/>
      <c r="L343" s="75"/>
      <c r="M343" s="75"/>
      <c r="N343" s="75"/>
      <c r="O343" s="96"/>
      <c r="P343" s="163"/>
      <c r="Q343" s="109"/>
      <c r="R343" s="108"/>
      <c r="S343" s="100"/>
      <c r="T343" s="110"/>
      <c r="U343" s="110"/>
      <c r="V343" s="100"/>
      <c r="W343" s="100"/>
      <c r="X343" s="100"/>
      <c r="Y343" s="110"/>
      <c r="Z343" s="110"/>
      <c r="AA343" s="100"/>
      <c r="AB343" s="108"/>
      <c r="AC343" s="109"/>
      <c r="AD343" s="109"/>
      <c r="AE343" s="109"/>
      <c r="AF343" s="109"/>
      <c r="AG343" s="108"/>
      <c r="AH343" s="108"/>
      <c r="AI343" s="100"/>
      <c r="AJ343" s="100"/>
      <c r="AK343" s="110"/>
      <c r="AL343" s="11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</row>
    <row r="344" spans="1:48" ht="16.3">
      <c r="A344" s="91" t="s">
        <v>3</v>
      </c>
      <c r="B344" s="219">
        <f>SUM(J344+K344+L344+M344+N344+S344+V344+W344+X344+AA344+AI344+AJ344+AI344+AM344+AP344+AQ344+AS344+AT344+AU344+AV344)</f>
        <v>0</v>
      </c>
      <c r="C344" s="214">
        <f t="shared" si="54"/>
        <v>0</v>
      </c>
      <c r="D344" s="133"/>
      <c r="E344" s="134"/>
      <c r="F344" s="135"/>
      <c r="G344" s="136"/>
      <c r="H344" s="96"/>
      <c r="I344" s="96"/>
      <c r="J344" s="128"/>
      <c r="K344" s="104"/>
      <c r="L344" s="75"/>
      <c r="M344" s="75"/>
      <c r="N344" s="75"/>
      <c r="O344" s="96"/>
      <c r="P344" s="163"/>
      <c r="Q344" s="109">
        <v>1</v>
      </c>
      <c r="R344" s="108"/>
      <c r="S344" s="100"/>
      <c r="T344" s="110"/>
      <c r="U344" s="110"/>
      <c r="V344" s="100"/>
      <c r="W344" s="100"/>
      <c r="X344" s="100"/>
      <c r="Y344" s="110"/>
      <c r="Z344" s="110"/>
      <c r="AA344" s="100"/>
      <c r="AB344" s="108"/>
      <c r="AC344" s="109"/>
      <c r="AD344" s="109"/>
      <c r="AE344" s="109"/>
      <c r="AF344" s="109"/>
      <c r="AG344" s="108"/>
      <c r="AH344" s="108"/>
      <c r="AI344" s="100"/>
      <c r="AJ344" s="100"/>
      <c r="AK344" s="110"/>
      <c r="AL344" s="11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</row>
    <row r="345" spans="1:48" ht="17" thickBot="1">
      <c r="A345" s="92" t="s">
        <v>4</v>
      </c>
      <c r="B345" s="220">
        <f>SUM(J345+K345+L345+M345+N345+S345+V345+W345+X345+AA345+AI345+AJ345+AI345+AM345+AP345+AQ345+AS345+AT345+AU345+AV345)</f>
        <v>0</v>
      </c>
      <c r="C345" s="217">
        <f t="shared" si="54"/>
        <v>0</v>
      </c>
      <c r="D345" s="144"/>
      <c r="E345" s="145"/>
      <c r="F345" s="146"/>
      <c r="G345" s="147"/>
      <c r="H345" s="114"/>
      <c r="I345" s="114"/>
      <c r="J345" s="129"/>
      <c r="K345" s="113"/>
      <c r="L345" s="112"/>
      <c r="M345" s="112"/>
      <c r="N345" s="112"/>
      <c r="O345" s="114"/>
      <c r="P345" s="164"/>
      <c r="Q345" s="118">
        <v>5</v>
      </c>
      <c r="R345" s="117"/>
      <c r="S345" s="116"/>
      <c r="T345" s="120"/>
      <c r="U345" s="120"/>
      <c r="V345" s="116"/>
      <c r="W345" s="116"/>
      <c r="X345" s="116"/>
      <c r="Y345" s="120"/>
      <c r="Z345" s="120"/>
      <c r="AA345" s="116"/>
      <c r="AB345" s="117"/>
      <c r="AC345" s="118"/>
      <c r="AD345" s="118"/>
      <c r="AE345" s="118"/>
      <c r="AF345" s="118"/>
      <c r="AG345" s="127"/>
      <c r="AH345" s="117"/>
      <c r="AI345" s="116"/>
      <c r="AJ345" s="116"/>
      <c r="AK345" s="120"/>
      <c r="AL345" s="120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</row>
    <row r="346" spans="1:48" ht="21.1">
      <c r="A346" s="89" t="s">
        <v>1016</v>
      </c>
      <c r="B346" s="219"/>
      <c r="C346" s="214"/>
      <c r="D346" s="133"/>
      <c r="E346" s="134"/>
      <c r="F346" s="135"/>
      <c r="G346" s="136"/>
      <c r="H346" s="96"/>
      <c r="I346" s="96"/>
      <c r="J346" s="128"/>
      <c r="K346" s="104"/>
      <c r="L346" s="75"/>
      <c r="M346" s="75"/>
      <c r="N346" s="75"/>
      <c r="O346" s="96"/>
      <c r="P346" s="163"/>
      <c r="Q346" s="109"/>
      <c r="R346" s="108"/>
      <c r="S346" s="100"/>
      <c r="T346" s="110"/>
      <c r="U346" s="110"/>
      <c r="V346" s="100"/>
      <c r="W346" s="100"/>
      <c r="X346" s="100"/>
      <c r="Y346" s="110"/>
      <c r="Z346" s="110"/>
      <c r="AA346" s="100"/>
      <c r="AB346" s="108"/>
      <c r="AC346" s="109" t="s">
        <v>375</v>
      </c>
      <c r="AD346" s="109"/>
      <c r="AE346" s="109"/>
      <c r="AF346" s="109"/>
      <c r="AG346" s="108"/>
      <c r="AH346" s="108"/>
      <c r="AI346" s="100"/>
      <c r="AJ346" s="100"/>
      <c r="AK346" s="110"/>
      <c r="AL346" s="11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</row>
    <row r="347" spans="1:48" ht="16.3">
      <c r="A347" s="585" t="s">
        <v>1</v>
      </c>
      <c r="B347" s="221">
        <f>SUM(J347+K347+L347+M347+N347+S347+V347+W347+X347+AA347+AI347+AJ347+AI347+AM347+AP347+AQ347+AS347+AT347+AU347+AV347+AN347)</f>
        <v>0</v>
      </c>
      <c r="C347" s="215">
        <f>B347</f>
        <v>0</v>
      </c>
      <c r="D347" s="133"/>
      <c r="E347" s="134"/>
      <c r="F347" s="135"/>
      <c r="G347" s="136"/>
      <c r="H347" s="96"/>
      <c r="I347" s="96"/>
      <c r="J347" s="128"/>
      <c r="K347" s="104"/>
      <c r="L347" s="75"/>
      <c r="M347" s="75"/>
      <c r="N347" s="75"/>
      <c r="O347" s="96"/>
      <c r="P347" s="163"/>
      <c r="Q347" s="109"/>
      <c r="R347" s="108"/>
      <c r="S347" s="100"/>
      <c r="T347" s="110"/>
      <c r="U347" s="110"/>
      <c r="V347" s="100"/>
      <c r="W347" s="100"/>
      <c r="X347" s="100"/>
      <c r="Y347" s="110"/>
      <c r="Z347" s="110"/>
      <c r="AA347" s="100"/>
      <c r="AB347" s="108"/>
      <c r="AC347" s="109"/>
      <c r="AD347" s="109"/>
      <c r="AE347" s="109"/>
      <c r="AF347" s="109"/>
      <c r="AG347" s="108"/>
      <c r="AH347" s="108"/>
      <c r="AI347" s="100"/>
      <c r="AJ347" s="100"/>
      <c r="AK347" s="110"/>
      <c r="AL347" s="11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</row>
    <row r="348" spans="1:48" ht="16.3">
      <c r="A348" s="585" t="s">
        <v>2</v>
      </c>
      <c r="B348" s="221">
        <f>SUM(J348+K348+L348+M348+N348+S348+V348+W348+X348+AA348+AI348+AJ348+AI348+AM348+AP348+AQ348+AS348+AT348+AU348+AV348)</f>
        <v>0</v>
      </c>
      <c r="C348" s="215">
        <f t="shared" ref="C348:C351" si="55">B348</f>
        <v>0</v>
      </c>
      <c r="D348" s="133"/>
      <c r="E348" s="134"/>
      <c r="F348" s="135"/>
      <c r="G348" s="136"/>
      <c r="H348" s="96"/>
      <c r="I348" s="96"/>
      <c r="J348" s="128"/>
      <c r="K348" s="104"/>
      <c r="L348" s="75"/>
      <c r="M348" s="75"/>
      <c r="N348" s="75"/>
      <c r="O348" s="96"/>
      <c r="P348" s="163"/>
      <c r="Q348" s="109"/>
      <c r="R348" s="108"/>
      <c r="S348" s="100"/>
      <c r="T348" s="110"/>
      <c r="U348" s="110"/>
      <c r="V348" s="100"/>
      <c r="W348" s="100"/>
      <c r="X348" s="100"/>
      <c r="Y348" s="110"/>
      <c r="Z348" s="110"/>
      <c r="AA348" s="100"/>
      <c r="AB348" s="108"/>
      <c r="AC348" s="109">
        <v>1</v>
      </c>
      <c r="AD348" s="109"/>
      <c r="AE348" s="109"/>
      <c r="AF348" s="109"/>
      <c r="AG348" s="108"/>
      <c r="AH348" s="108"/>
      <c r="AI348" s="100"/>
      <c r="AJ348" s="100"/>
      <c r="AK348" s="110"/>
      <c r="AL348" s="11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</row>
    <row r="349" spans="1:48" ht="16.3">
      <c r="A349" s="91" t="s">
        <v>363</v>
      </c>
      <c r="B349" s="219">
        <f>SUM(B347+B348)</f>
        <v>0</v>
      </c>
      <c r="C349" s="214">
        <f t="shared" si="55"/>
        <v>0</v>
      </c>
      <c r="D349" s="133"/>
      <c r="E349" s="134"/>
      <c r="F349" s="135"/>
      <c r="G349" s="136"/>
      <c r="H349" s="96"/>
      <c r="I349" s="96"/>
      <c r="J349" s="128"/>
      <c r="K349" s="104"/>
      <c r="L349" s="75"/>
      <c r="M349" s="75"/>
      <c r="N349" s="75"/>
      <c r="O349" s="96"/>
      <c r="P349" s="163"/>
      <c r="Q349" s="109"/>
      <c r="R349" s="108"/>
      <c r="S349" s="100"/>
      <c r="T349" s="110"/>
      <c r="U349" s="110"/>
      <c r="V349" s="100"/>
      <c r="W349" s="100"/>
      <c r="X349" s="100"/>
      <c r="Y349" s="110"/>
      <c r="Z349" s="110"/>
      <c r="AA349" s="100"/>
      <c r="AB349" s="108"/>
      <c r="AC349" s="109"/>
      <c r="AD349" s="109"/>
      <c r="AE349" s="109"/>
      <c r="AF349" s="109"/>
      <c r="AG349" s="108"/>
      <c r="AH349" s="108"/>
      <c r="AI349" s="100"/>
      <c r="AJ349" s="100"/>
      <c r="AK349" s="110"/>
      <c r="AL349" s="11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</row>
    <row r="350" spans="1:48" ht="16.3">
      <c r="A350" s="91" t="s">
        <v>3</v>
      </c>
      <c r="B350" s="219">
        <f>SUM(J350+K350+L350+M350+N350+S350+V350+W350+X350+AA350+AI350+AJ350+AI350+AM350+AP350+AQ350+AS350+AT350+AU350+AV350)</f>
        <v>0</v>
      </c>
      <c r="C350" s="214">
        <f t="shared" si="55"/>
        <v>0</v>
      </c>
      <c r="D350" s="133"/>
      <c r="E350" s="134"/>
      <c r="F350" s="135"/>
      <c r="G350" s="136"/>
      <c r="H350" s="96"/>
      <c r="I350" s="96"/>
      <c r="J350" s="128"/>
      <c r="K350" s="104"/>
      <c r="L350" s="75"/>
      <c r="M350" s="75"/>
      <c r="N350" s="75"/>
      <c r="O350" s="96"/>
      <c r="P350" s="163"/>
      <c r="Q350" s="109"/>
      <c r="R350" s="108"/>
      <c r="S350" s="100"/>
      <c r="T350" s="110"/>
      <c r="U350" s="110"/>
      <c r="V350" s="100"/>
      <c r="W350" s="100"/>
      <c r="X350" s="100"/>
      <c r="Y350" s="110"/>
      <c r="Z350" s="110"/>
      <c r="AA350" s="100"/>
      <c r="AB350" s="108"/>
      <c r="AC350" s="109"/>
      <c r="AD350" s="109"/>
      <c r="AE350" s="109"/>
      <c r="AF350" s="109"/>
      <c r="AG350" s="108"/>
      <c r="AH350" s="108"/>
      <c r="AI350" s="100"/>
      <c r="AJ350" s="100"/>
      <c r="AK350" s="110"/>
      <c r="AL350" s="11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</row>
    <row r="351" spans="1:48" ht="17" thickBot="1">
      <c r="A351" s="92" t="s">
        <v>4</v>
      </c>
      <c r="B351" s="220">
        <f>SUM(J351+K351+L351+M351+N351+S351+V351+W351+X351+AA351+AI351+AJ351+AI351+AM351+AP351+AQ351+AS351+AT351+AU351+AV351)</f>
        <v>0</v>
      </c>
      <c r="C351" s="217">
        <f t="shared" si="55"/>
        <v>0</v>
      </c>
      <c r="D351" s="144"/>
      <c r="E351" s="145"/>
      <c r="F351" s="146"/>
      <c r="G351" s="147"/>
      <c r="H351" s="114"/>
      <c r="I351" s="114"/>
      <c r="J351" s="129"/>
      <c r="K351" s="113"/>
      <c r="L351" s="112"/>
      <c r="M351" s="112"/>
      <c r="N351" s="112"/>
      <c r="O351" s="114"/>
      <c r="P351" s="164"/>
      <c r="Q351" s="118"/>
      <c r="R351" s="117"/>
      <c r="S351" s="116"/>
      <c r="T351" s="120"/>
      <c r="U351" s="120"/>
      <c r="V351" s="116"/>
      <c r="W351" s="116"/>
      <c r="X351" s="116"/>
      <c r="Y351" s="120"/>
      <c r="Z351" s="120"/>
      <c r="AA351" s="116"/>
      <c r="AB351" s="117"/>
      <c r="AC351" s="118"/>
      <c r="AD351" s="118"/>
      <c r="AE351" s="118"/>
      <c r="AF351" s="118"/>
      <c r="AG351" s="117"/>
      <c r="AH351" s="117"/>
      <c r="AI351" s="116"/>
      <c r="AJ351" s="116"/>
      <c r="AK351" s="120"/>
      <c r="AL351" s="120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</row>
    <row r="352" spans="1:48" ht="21.1">
      <c r="A352" s="89" t="s">
        <v>1023</v>
      </c>
      <c r="B352" s="219"/>
      <c r="C352" s="214"/>
      <c r="D352" s="133"/>
      <c r="E352" s="134"/>
      <c r="F352" s="135"/>
      <c r="G352" s="136"/>
      <c r="H352" s="96"/>
      <c r="I352" s="96"/>
      <c r="J352" s="128"/>
      <c r="K352" s="104"/>
      <c r="L352" s="75"/>
      <c r="M352" s="75"/>
      <c r="N352" s="75"/>
      <c r="O352" s="96"/>
      <c r="P352" s="163"/>
      <c r="Q352" s="109"/>
      <c r="R352" s="108"/>
      <c r="S352" s="100"/>
      <c r="T352" s="110"/>
      <c r="U352" s="110"/>
      <c r="V352" s="100"/>
      <c r="W352" s="100"/>
      <c r="X352" s="100"/>
      <c r="Y352" s="110"/>
      <c r="Z352" s="110" t="s">
        <v>984</v>
      </c>
      <c r="AA352" s="100" t="s">
        <v>984</v>
      </c>
      <c r="AB352" s="108"/>
      <c r="AC352" s="109"/>
      <c r="AD352" s="109" t="s">
        <v>432</v>
      </c>
      <c r="AE352" s="109"/>
      <c r="AF352" s="109" t="s">
        <v>375</v>
      </c>
      <c r="AG352" s="108"/>
      <c r="AH352" s="108"/>
      <c r="AI352" s="100"/>
      <c r="AJ352" s="100"/>
      <c r="AK352" s="110"/>
      <c r="AL352" s="11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</row>
    <row r="353" spans="1:48" ht="16.3">
      <c r="A353" s="585" t="s">
        <v>1</v>
      </c>
      <c r="B353" s="221">
        <f>SUM(J353+K353+L353+M353+N353+S353+V353+W353+X353+AA353+AI353+AJ353+AI353+AM353+AP353+AQ353+AS353+AT353+AU353+AV353+AN353)</f>
        <v>0</v>
      </c>
      <c r="C353" s="215">
        <f>B353</f>
        <v>0</v>
      </c>
      <c r="D353" s="133"/>
      <c r="E353" s="134"/>
      <c r="F353" s="135"/>
      <c r="G353" s="136"/>
      <c r="H353" s="96"/>
      <c r="I353" s="96"/>
      <c r="J353" s="128"/>
      <c r="K353" s="104"/>
      <c r="L353" s="75"/>
      <c r="M353" s="75"/>
      <c r="N353" s="75"/>
      <c r="O353" s="96"/>
      <c r="P353" s="163"/>
      <c r="Q353" s="109"/>
      <c r="R353" s="108"/>
      <c r="S353" s="100"/>
      <c r="T353" s="110"/>
      <c r="U353" s="110"/>
      <c r="V353" s="100"/>
      <c r="W353" s="100"/>
      <c r="X353" s="100"/>
      <c r="Y353" s="110"/>
      <c r="Z353" s="110"/>
      <c r="AA353" s="100"/>
      <c r="AB353" s="108"/>
      <c r="AC353" s="109"/>
      <c r="AD353" s="109"/>
      <c r="AE353" s="109"/>
      <c r="AF353" s="109"/>
      <c r="AG353" s="108"/>
      <c r="AH353" s="108"/>
      <c r="AI353" s="100"/>
      <c r="AJ353" s="100"/>
      <c r="AK353" s="110"/>
      <c r="AL353" s="11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</row>
    <row r="354" spans="1:48" ht="16.3">
      <c r="A354" s="585" t="s">
        <v>2</v>
      </c>
      <c r="B354" s="221">
        <f>SUM(J354+K354+L354+M354+N354+S354+V354+W354+X354+AA354+AI354+AJ354+AI354+AM354+AP354+AQ354+AS354+AT354+AU354+AV354)</f>
        <v>0</v>
      </c>
      <c r="C354" s="215">
        <f t="shared" ref="C354:C357" si="56">B354</f>
        <v>0</v>
      </c>
      <c r="D354" s="133"/>
      <c r="E354" s="134"/>
      <c r="F354" s="135"/>
      <c r="G354" s="136"/>
      <c r="H354" s="96"/>
      <c r="I354" s="96"/>
      <c r="J354" s="128"/>
      <c r="K354" s="104"/>
      <c r="L354" s="75"/>
      <c r="M354" s="75"/>
      <c r="N354" s="75"/>
      <c r="O354" s="96"/>
      <c r="P354" s="163"/>
      <c r="Q354" s="109"/>
      <c r="R354" s="108"/>
      <c r="S354" s="100"/>
      <c r="T354" s="110"/>
      <c r="U354" s="110"/>
      <c r="V354" s="100"/>
      <c r="W354" s="100"/>
      <c r="X354" s="100"/>
      <c r="Y354" s="110"/>
      <c r="Z354" s="110"/>
      <c r="AA354" s="100"/>
      <c r="AB354" s="108"/>
      <c r="AC354" s="109"/>
      <c r="AD354" s="109">
        <v>1</v>
      </c>
      <c r="AE354" s="109"/>
      <c r="AF354" s="109">
        <v>1</v>
      </c>
      <c r="AG354" s="108"/>
      <c r="AH354" s="108"/>
      <c r="AI354" s="100"/>
      <c r="AJ354" s="100"/>
      <c r="AK354" s="110"/>
      <c r="AL354" s="11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</row>
    <row r="355" spans="1:48" ht="16.3">
      <c r="A355" s="91" t="s">
        <v>363</v>
      </c>
      <c r="B355" s="219">
        <f>SUM(B353+B354)</f>
        <v>0</v>
      </c>
      <c r="C355" s="214">
        <f t="shared" si="56"/>
        <v>0</v>
      </c>
      <c r="D355" s="133"/>
      <c r="E355" s="134"/>
      <c r="F355" s="135"/>
      <c r="G355" s="136"/>
      <c r="H355" s="96"/>
      <c r="I355" s="96"/>
      <c r="J355" s="128"/>
      <c r="K355" s="104"/>
      <c r="L355" s="75"/>
      <c r="M355" s="75"/>
      <c r="N355" s="75"/>
      <c r="O355" s="96"/>
      <c r="P355" s="163"/>
      <c r="Q355" s="109"/>
      <c r="R355" s="108"/>
      <c r="S355" s="100"/>
      <c r="T355" s="110"/>
      <c r="U355" s="110"/>
      <c r="V355" s="100"/>
      <c r="W355" s="100"/>
      <c r="X355" s="100"/>
      <c r="Y355" s="110"/>
      <c r="Z355" s="110"/>
      <c r="AA355" s="100"/>
      <c r="AB355" s="108"/>
      <c r="AC355" s="109"/>
      <c r="AD355" s="109"/>
      <c r="AE355" s="109"/>
      <c r="AF355" s="109"/>
      <c r="AG355" s="108"/>
      <c r="AH355" s="108"/>
      <c r="AI355" s="100"/>
      <c r="AJ355" s="100"/>
      <c r="AK355" s="110"/>
      <c r="AL355" s="11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</row>
    <row r="356" spans="1:48" ht="16.3">
      <c r="A356" s="91" t="s">
        <v>3</v>
      </c>
      <c r="B356" s="219">
        <f>SUM(J356+K356+L356+M356+N356+S356+V356+W356+X356+AA356+AI356+AJ356+AI356+AM356+AP356+AQ356+AS356+AT356+AU356+AV356)</f>
        <v>0</v>
      </c>
      <c r="C356" s="214">
        <f t="shared" si="56"/>
        <v>0</v>
      </c>
      <c r="D356" s="133"/>
      <c r="E356" s="134"/>
      <c r="F356" s="135"/>
      <c r="G356" s="136"/>
      <c r="H356" s="96"/>
      <c r="I356" s="96"/>
      <c r="J356" s="128"/>
      <c r="K356" s="104"/>
      <c r="L356" s="75"/>
      <c r="M356" s="75"/>
      <c r="N356" s="75"/>
      <c r="O356" s="96"/>
      <c r="P356" s="163"/>
      <c r="Q356" s="109"/>
      <c r="R356" s="108"/>
      <c r="S356" s="100"/>
      <c r="T356" s="110"/>
      <c r="U356" s="110"/>
      <c r="V356" s="100"/>
      <c r="W356" s="100"/>
      <c r="X356" s="100"/>
      <c r="Y356" s="110"/>
      <c r="Z356" s="110"/>
      <c r="AA356" s="100"/>
      <c r="AB356" s="108"/>
      <c r="AC356" s="109"/>
      <c r="AD356" s="109"/>
      <c r="AE356" s="109"/>
      <c r="AF356" s="109"/>
      <c r="AG356" s="108"/>
      <c r="AH356" s="108"/>
      <c r="AI356" s="100"/>
      <c r="AJ356" s="100"/>
      <c r="AK356" s="110"/>
      <c r="AL356" s="11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</row>
    <row r="357" spans="1:48" ht="17" thickBot="1">
      <c r="A357" s="92" t="s">
        <v>4</v>
      </c>
      <c r="B357" s="220">
        <f>SUM(J357+K357+L357+M357+N357+S357+V357+W357+X357+AA357+AI357+AJ357+AI357+AM357+AP357+AQ357+AS357+AT357+AU357+AV357)</f>
        <v>0</v>
      </c>
      <c r="C357" s="217">
        <f t="shared" si="56"/>
        <v>0</v>
      </c>
      <c r="D357" s="144"/>
      <c r="E357" s="145"/>
      <c r="F357" s="146"/>
      <c r="G357" s="147"/>
      <c r="H357" s="114"/>
      <c r="I357" s="114"/>
      <c r="J357" s="129"/>
      <c r="K357" s="113"/>
      <c r="L357" s="112"/>
      <c r="M357" s="112"/>
      <c r="N357" s="112"/>
      <c r="O357" s="114"/>
      <c r="P357" s="164"/>
      <c r="Q357" s="118"/>
      <c r="R357" s="117"/>
      <c r="S357" s="116"/>
      <c r="T357" s="120"/>
      <c r="U357" s="120"/>
      <c r="V357" s="116"/>
      <c r="W357" s="116"/>
      <c r="X357" s="116"/>
      <c r="Y357" s="120"/>
      <c r="Z357" s="120"/>
      <c r="AA357" s="116"/>
      <c r="AB357" s="117"/>
      <c r="AC357" s="118"/>
      <c r="AD357" s="118"/>
      <c r="AE357" s="118"/>
      <c r="AF357" s="118"/>
      <c r="AG357" s="117"/>
      <c r="AH357" s="117"/>
      <c r="AI357" s="116"/>
      <c r="AJ357" s="116"/>
      <c r="AK357" s="120"/>
      <c r="AL357" s="120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</row>
    <row r="358" spans="1:48" ht="21.1">
      <c r="A358" s="89" t="s">
        <v>253</v>
      </c>
      <c r="B358" s="219"/>
      <c r="C358" s="214"/>
      <c r="D358" s="133"/>
      <c r="E358" s="134"/>
      <c r="F358" s="135"/>
      <c r="G358" s="136"/>
      <c r="H358" s="96" t="s">
        <v>434</v>
      </c>
      <c r="I358" s="96" t="s">
        <v>339</v>
      </c>
      <c r="J358" s="128" t="s">
        <v>339</v>
      </c>
      <c r="K358" s="104" t="s">
        <v>339</v>
      </c>
      <c r="L358" s="75" t="s">
        <v>339</v>
      </c>
      <c r="M358" s="75" t="s">
        <v>339</v>
      </c>
      <c r="N358" s="75" t="s">
        <v>375</v>
      </c>
      <c r="O358" s="96"/>
      <c r="P358" s="163"/>
      <c r="Q358" s="109"/>
      <c r="R358" s="108"/>
      <c r="S358" s="100"/>
      <c r="T358" s="110" t="s">
        <v>375</v>
      </c>
      <c r="U358" s="110"/>
      <c r="V358" s="100" t="s">
        <v>375</v>
      </c>
      <c r="W358" s="100"/>
      <c r="X358" s="100" t="s">
        <v>375</v>
      </c>
      <c r="Y358" s="110"/>
      <c r="Z358" s="110" t="s">
        <v>372</v>
      </c>
      <c r="AA358" s="100"/>
      <c r="AB358" s="108"/>
      <c r="AC358" s="109"/>
      <c r="AD358" s="109"/>
      <c r="AE358" s="109"/>
      <c r="AF358" s="109"/>
      <c r="AG358" s="108"/>
      <c r="AH358" s="108"/>
      <c r="AI358" s="100"/>
      <c r="AJ358" s="100"/>
      <c r="AK358" s="110"/>
      <c r="AL358" s="11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</row>
    <row r="359" spans="1:48" ht="16.3">
      <c r="A359" s="585" t="s">
        <v>1</v>
      </c>
      <c r="B359" s="221">
        <f>SUM(J359+K359+L359+M359+N359+S359+V359+W359+X359+AA359+AI359+AJ359+AI359+AM359+AP359+AQ359+AS359+AT359+AU359+AV359+AN359)+18</f>
        <v>18</v>
      </c>
      <c r="C359" s="215">
        <f>SUM(K359+L359+M359+N359+J359+S359+W359+X359+V359+AA359+AJ359+AI359+AJ359+AM359+AN359+AQ359+AP359+AT359+AU359+AV359+AS359+AO359)+136</f>
        <v>136</v>
      </c>
      <c r="D359" s="133"/>
      <c r="E359" s="134"/>
      <c r="F359" s="135"/>
      <c r="G359" s="136"/>
      <c r="H359" s="96"/>
      <c r="I359" s="96"/>
      <c r="J359" s="128"/>
      <c r="K359" s="104"/>
      <c r="L359" s="75"/>
      <c r="M359" s="75"/>
      <c r="N359" s="75"/>
      <c r="O359" s="96"/>
      <c r="P359" s="163"/>
      <c r="Q359" s="109"/>
      <c r="R359" s="108"/>
      <c r="S359" s="100"/>
      <c r="T359" s="110"/>
      <c r="U359" s="110"/>
      <c r="V359" s="100"/>
      <c r="W359" s="100"/>
      <c r="X359" s="100"/>
      <c r="Y359" s="110"/>
      <c r="Z359" s="110">
        <v>1</v>
      </c>
      <c r="AA359" s="100"/>
      <c r="AB359" s="108"/>
      <c r="AC359" s="109"/>
      <c r="AD359" s="109"/>
      <c r="AE359" s="109"/>
      <c r="AF359" s="109"/>
      <c r="AG359" s="108"/>
      <c r="AH359" s="108"/>
      <c r="AI359" s="100"/>
      <c r="AJ359" s="100"/>
      <c r="AK359" s="110"/>
      <c r="AL359" s="11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</row>
    <row r="360" spans="1:48" ht="16.3">
      <c r="A360" s="585" t="s">
        <v>2</v>
      </c>
      <c r="B360" s="221">
        <f>SUM(J360+K360+L360+M360+N360+S360+V360+W360+X360+AA360+AI360+AJ360+AI360+AM360+AP360+AQ360+AS360+AT360+AU360+AV360)+11</f>
        <v>14</v>
      </c>
      <c r="C360" s="215">
        <f>SUM(K360+L360+M360+N360+J360+S360+W360+X360+V360+AA360+AJ360+AI360+AJ360+AM360+AN360+AQ360+AP360+AT360+AU360+AV360+AS360+AO360)+22</f>
        <v>25</v>
      </c>
      <c r="D360" s="133"/>
      <c r="E360" s="134"/>
      <c r="F360" s="135"/>
      <c r="G360" s="136"/>
      <c r="H360" s="96">
        <v>1</v>
      </c>
      <c r="I360" s="96"/>
      <c r="J360" s="128"/>
      <c r="K360" s="104"/>
      <c r="L360" s="75"/>
      <c r="M360" s="75"/>
      <c r="N360" s="75">
        <v>1</v>
      </c>
      <c r="O360" s="96"/>
      <c r="P360" s="163"/>
      <c r="Q360" s="109"/>
      <c r="R360" s="108"/>
      <c r="S360" s="100"/>
      <c r="T360" s="110">
        <v>1</v>
      </c>
      <c r="U360" s="110"/>
      <c r="V360" s="100">
        <v>1</v>
      </c>
      <c r="W360" s="100"/>
      <c r="X360" s="100">
        <v>1</v>
      </c>
      <c r="Y360" s="110"/>
      <c r="Z360" s="110"/>
      <c r="AA360" s="100"/>
      <c r="AB360" s="108"/>
      <c r="AC360" s="109"/>
      <c r="AD360" s="109"/>
      <c r="AE360" s="109"/>
      <c r="AF360" s="109"/>
      <c r="AG360" s="108"/>
      <c r="AH360" s="108"/>
      <c r="AI360" s="100"/>
      <c r="AJ360" s="100"/>
      <c r="AK360" s="110"/>
      <c r="AL360" s="11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</row>
    <row r="361" spans="1:48" ht="16.3">
      <c r="A361" s="91" t="s">
        <v>363</v>
      </c>
      <c r="B361" s="219">
        <f>SUM(B359+B360)</f>
        <v>32</v>
      </c>
      <c r="C361" s="214">
        <f>SUM(C359+C360)</f>
        <v>161</v>
      </c>
      <c r="D361" s="133"/>
      <c r="E361" s="134"/>
      <c r="F361" s="135"/>
      <c r="G361" s="136"/>
      <c r="H361" s="96"/>
      <c r="I361" s="96"/>
      <c r="J361" s="128"/>
      <c r="K361" s="104"/>
      <c r="L361" s="75"/>
      <c r="M361" s="75"/>
      <c r="N361" s="75"/>
      <c r="O361" s="96"/>
      <c r="P361" s="163"/>
      <c r="Q361" s="109"/>
      <c r="R361" s="108"/>
      <c r="S361" s="100"/>
      <c r="T361" s="110"/>
      <c r="U361" s="110"/>
      <c r="V361" s="100"/>
      <c r="W361" s="100"/>
      <c r="X361" s="100"/>
      <c r="Y361" s="110"/>
      <c r="Z361" s="110"/>
      <c r="AA361" s="100"/>
      <c r="AB361" s="108"/>
      <c r="AC361" s="109"/>
      <c r="AD361" s="109"/>
      <c r="AE361" s="109"/>
      <c r="AF361" s="109"/>
      <c r="AG361" s="108"/>
      <c r="AH361" s="108"/>
      <c r="AI361" s="100"/>
      <c r="AJ361" s="100"/>
      <c r="AK361" s="110"/>
      <c r="AL361" s="11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</row>
    <row r="362" spans="1:48" ht="16.3">
      <c r="A362" s="585" t="s">
        <v>362</v>
      </c>
      <c r="B362" s="221">
        <f>SUM(J362+K362+L362+M362+N362+S362+V362+W362+X362+AA362+AI362+AJ362+AI362+AM362+AP362+AQ362+AS362+AT362+AU362+AV362)</f>
        <v>0</v>
      </c>
      <c r="C362" s="215">
        <f>SUM(K362+L362+M362+N362+J362+S362+W362+X362+V362+AA362+AJ362+AI362+AJ362+AM362+AN362+AQ362+AP362+AT362+AU362+AV362+AS362+AO362)+2</f>
        <v>2</v>
      </c>
      <c r="D362" s="133"/>
      <c r="E362" s="134"/>
      <c r="F362" s="135"/>
      <c r="G362" s="136"/>
      <c r="H362" s="96"/>
      <c r="I362" s="96"/>
      <c r="J362" s="128"/>
      <c r="K362" s="104"/>
      <c r="L362" s="75"/>
      <c r="M362" s="75"/>
      <c r="N362" s="75"/>
      <c r="O362" s="96"/>
      <c r="P362" s="163"/>
      <c r="Q362" s="109"/>
      <c r="R362" s="108"/>
      <c r="S362" s="100"/>
      <c r="T362" s="110"/>
      <c r="U362" s="110"/>
      <c r="V362" s="100"/>
      <c r="W362" s="100"/>
      <c r="X362" s="100"/>
      <c r="Y362" s="110"/>
      <c r="Z362" s="110"/>
      <c r="AA362" s="100"/>
      <c r="AB362" s="108"/>
      <c r="AC362" s="109"/>
      <c r="AD362" s="109"/>
      <c r="AE362" s="109"/>
      <c r="AF362" s="109"/>
      <c r="AG362" s="108"/>
      <c r="AH362" s="108"/>
      <c r="AI362" s="100"/>
      <c r="AJ362" s="100"/>
      <c r="AK362" s="110"/>
      <c r="AL362" s="11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</row>
    <row r="363" spans="1:48" ht="16.3">
      <c r="A363" s="585" t="s">
        <v>366</v>
      </c>
      <c r="B363" s="221">
        <f>SUM(J363+K363+L363+M363+N363+S363+V363+W363+X363+AA363+AI363+AJ363+AI363+AM363+AP363+AQ363+AS363+AT363+AU363+AV363)+1</f>
        <v>1</v>
      </c>
      <c r="C363" s="215">
        <f>SUM(K363+L363+M363+N363+J363+S363+W363+X363+V363+AA363+AJ363+AI363+AJ363+AM363+AN363+AQ363+AP363+AT363+AU363+AV363+AS363+AO363)+63</f>
        <v>63</v>
      </c>
      <c r="D363" s="133"/>
      <c r="E363" s="134"/>
      <c r="F363" s="135"/>
      <c r="G363" s="136"/>
      <c r="H363" s="96"/>
      <c r="I363" s="96"/>
      <c r="J363" s="128"/>
      <c r="K363" s="104"/>
      <c r="L363" s="75"/>
      <c r="M363" s="75"/>
      <c r="N363" s="75"/>
      <c r="O363" s="96"/>
      <c r="P363" s="163"/>
      <c r="Q363" s="109"/>
      <c r="R363" s="108"/>
      <c r="S363" s="100"/>
      <c r="T363" s="110"/>
      <c r="U363" s="110"/>
      <c r="V363" s="100"/>
      <c r="W363" s="100"/>
      <c r="X363" s="100"/>
      <c r="Y363" s="110"/>
      <c r="Z363" s="110"/>
      <c r="AA363" s="100"/>
      <c r="AB363" s="108"/>
      <c r="AC363" s="109"/>
      <c r="AD363" s="109"/>
      <c r="AE363" s="109"/>
      <c r="AF363" s="109"/>
      <c r="AG363" s="108"/>
      <c r="AH363" s="108"/>
      <c r="AI363" s="100"/>
      <c r="AJ363" s="100"/>
      <c r="AK363" s="110"/>
      <c r="AL363" s="11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</row>
    <row r="364" spans="1:48" ht="16.3">
      <c r="A364" s="91" t="s">
        <v>3</v>
      </c>
      <c r="B364" s="219">
        <f>SUM(J364+K364+L364+M364+N364+S364+V364+W364+X364+AA364+AI364+AJ364+AI364+AM364+AP364+AQ364+AS364+AT364+AU364+AV364)</f>
        <v>0</v>
      </c>
      <c r="C364" s="214">
        <f>SUM(K364+L364+M364+N364+J364+S364+W364+X364+V364+AA364+AJ364+AI364+AJ364+AM364+AN364+AQ364+AP364+AT364+AU364+AV364+AS364+AO364)+5</f>
        <v>5</v>
      </c>
      <c r="D364" s="133"/>
      <c r="E364" s="134"/>
      <c r="F364" s="135"/>
      <c r="G364" s="136"/>
      <c r="H364" s="96"/>
      <c r="I364" s="96"/>
      <c r="J364" s="128"/>
      <c r="K364" s="104"/>
      <c r="L364" s="75"/>
      <c r="M364" s="75"/>
      <c r="N364" s="75"/>
      <c r="O364" s="96"/>
      <c r="P364" s="163"/>
      <c r="Q364" s="109"/>
      <c r="R364" s="108"/>
      <c r="S364" s="100"/>
      <c r="T364" s="110"/>
      <c r="U364" s="110"/>
      <c r="V364" s="100"/>
      <c r="W364" s="100"/>
      <c r="X364" s="100"/>
      <c r="Y364" s="110"/>
      <c r="Z364" s="110"/>
      <c r="AA364" s="100"/>
      <c r="AB364" s="108"/>
      <c r="AC364" s="109"/>
      <c r="AD364" s="109"/>
      <c r="AE364" s="109"/>
      <c r="AF364" s="109"/>
      <c r="AG364" s="108"/>
      <c r="AH364" s="108"/>
      <c r="AI364" s="100"/>
      <c r="AJ364" s="100"/>
      <c r="AK364" s="110"/>
      <c r="AL364" s="11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</row>
    <row r="365" spans="1:48" ht="17" thickBot="1">
      <c r="A365" s="92" t="s">
        <v>4</v>
      </c>
      <c r="B365" s="220">
        <f>SUM(J365+K365+L365+M365+N365+S365+V365+W365+X365+AA365+AI365+AJ365+AI365+AM365+AP365+AQ365+AS365+AT365+AU365+AV365)</f>
        <v>0</v>
      </c>
      <c r="C365" s="217">
        <f>SUM(K365+L365+M365+N365+J365+S365+W365+X365+V365+AA365+AJ365+AI365+AJ365+AM365+AN365+AQ365+AP365+AT365+AU365+AV365+AS365+AO365)+25</f>
        <v>25</v>
      </c>
      <c r="D365" s="144"/>
      <c r="E365" s="145"/>
      <c r="F365" s="146"/>
      <c r="G365" s="147"/>
      <c r="H365" s="114"/>
      <c r="I365" s="114"/>
      <c r="J365" s="129"/>
      <c r="K365" s="113"/>
      <c r="L365" s="112"/>
      <c r="M365" s="112"/>
      <c r="N365" s="112"/>
      <c r="O365" s="114"/>
      <c r="P365" s="164"/>
      <c r="Q365" s="118"/>
      <c r="R365" s="117"/>
      <c r="S365" s="116"/>
      <c r="T365" s="120"/>
      <c r="U365" s="120"/>
      <c r="V365" s="116"/>
      <c r="W365" s="116"/>
      <c r="X365" s="116"/>
      <c r="Y365" s="120"/>
      <c r="Z365" s="120"/>
      <c r="AA365" s="116"/>
      <c r="AB365" s="117"/>
      <c r="AC365" s="118"/>
      <c r="AD365" s="118"/>
      <c r="AE365" s="118"/>
      <c r="AF365" s="118"/>
      <c r="AG365" s="117"/>
      <c r="AH365" s="117"/>
      <c r="AI365" s="116"/>
      <c r="AJ365" s="116"/>
      <c r="AK365" s="120"/>
      <c r="AL365" s="120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</row>
    <row r="366" spans="1:48" ht="21.1">
      <c r="A366" s="89" t="s">
        <v>223</v>
      </c>
      <c r="B366" s="219"/>
      <c r="C366" s="214"/>
      <c r="D366" s="133"/>
      <c r="E366" s="134"/>
      <c r="F366" s="135"/>
      <c r="G366" s="136"/>
      <c r="H366" s="96" t="s">
        <v>595</v>
      </c>
      <c r="I366" s="96" t="s">
        <v>339</v>
      </c>
      <c r="J366" s="75" t="s">
        <v>339</v>
      </c>
      <c r="K366" s="128" t="s">
        <v>339</v>
      </c>
      <c r="L366" s="75" t="s">
        <v>339</v>
      </c>
      <c r="M366" s="75" t="s">
        <v>387</v>
      </c>
      <c r="N366" s="75" t="s">
        <v>387</v>
      </c>
      <c r="O366" s="96"/>
      <c r="P366" s="163"/>
      <c r="Q366" s="109"/>
      <c r="R366" s="108"/>
      <c r="S366" s="100" t="s">
        <v>387</v>
      </c>
      <c r="T366" s="110">
        <v>5</v>
      </c>
      <c r="U366" s="110" t="s">
        <v>387</v>
      </c>
      <c r="V366" s="100" t="s">
        <v>339</v>
      </c>
      <c r="W366" s="100" t="s">
        <v>339</v>
      </c>
      <c r="X366" s="100" t="s">
        <v>339</v>
      </c>
      <c r="Y366" s="110" t="s">
        <v>339</v>
      </c>
      <c r="Z366" s="110" t="s">
        <v>339</v>
      </c>
      <c r="AA366" s="100" t="s">
        <v>339</v>
      </c>
      <c r="AB366" s="108"/>
      <c r="AC366" s="109" t="s">
        <v>339</v>
      </c>
      <c r="AD366" s="109"/>
      <c r="AE366" s="109"/>
      <c r="AF366" s="109"/>
      <c r="AG366" s="108"/>
      <c r="AH366" s="108"/>
      <c r="AI366" s="100"/>
      <c r="AJ366" s="100"/>
      <c r="AK366" s="110"/>
      <c r="AL366" s="11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</row>
    <row r="367" spans="1:48" ht="16.3">
      <c r="A367" s="611" t="s">
        <v>1</v>
      </c>
      <c r="B367" s="221">
        <f>SUM(J367+K367+L367+M367+N367+S367+V367+W367+X367+AA367+AI367+AJ367+AI367+AM367+AP367+AQ367+AS367+AT367+AU367+AV367+AN367)+58</f>
        <v>61</v>
      </c>
      <c r="C367" s="215">
        <f>B367</f>
        <v>61</v>
      </c>
      <c r="D367" s="139"/>
      <c r="E367" s="140"/>
      <c r="F367" s="135"/>
      <c r="G367" s="136"/>
      <c r="H367" s="96">
        <v>1</v>
      </c>
      <c r="I367" s="96"/>
      <c r="J367" s="75"/>
      <c r="K367" s="128"/>
      <c r="L367" s="75"/>
      <c r="M367" s="75">
        <v>1</v>
      </c>
      <c r="N367" s="75">
        <v>1</v>
      </c>
      <c r="O367" s="96"/>
      <c r="P367" s="163"/>
      <c r="Q367" s="109"/>
      <c r="R367" s="108"/>
      <c r="S367" s="100">
        <v>1</v>
      </c>
      <c r="T367" s="110">
        <v>1</v>
      </c>
      <c r="U367" s="110">
        <v>1</v>
      </c>
      <c r="V367" s="100"/>
      <c r="W367" s="100"/>
      <c r="X367" s="100"/>
      <c r="Y367" s="110"/>
      <c r="Z367" s="110"/>
      <c r="AA367" s="100"/>
      <c r="AB367" s="108"/>
      <c r="AC367" s="109"/>
      <c r="AD367" s="109"/>
      <c r="AE367" s="109"/>
      <c r="AF367" s="109"/>
      <c r="AG367" s="108"/>
      <c r="AH367" s="108"/>
      <c r="AI367" s="100"/>
      <c r="AJ367" s="100"/>
      <c r="AK367" s="110"/>
      <c r="AL367" s="11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</row>
    <row r="368" spans="1:48" ht="16.3">
      <c r="A368" s="611" t="s">
        <v>2</v>
      </c>
      <c r="B368" s="221">
        <f>SUM(J368+K368+L368+M368+N368+S368+V368+W368+X368+AA368+AI368+AJ368+AI368+AM368+AP368+AQ368+AS368+AT368+AU368+AV368)+5</f>
        <v>5</v>
      </c>
      <c r="C368" s="215">
        <f t="shared" ref="C368:C373" si="57">B368</f>
        <v>5</v>
      </c>
      <c r="D368" s="139"/>
      <c r="E368" s="140"/>
      <c r="F368" s="135"/>
      <c r="G368" s="136"/>
      <c r="H368" s="96"/>
      <c r="I368" s="96"/>
      <c r="J368" s="128"/>
      <c r="K368" s="104"/>
      <c r="L368" s="75"/>
      <c r="M368" s="75"/>
      <c r="N368" s="75"/>
      <c r="O368" s="96"/>
      <c r="P368" s="163"/>
      <c r="Q368" s="109"/>
      <c r="R368" s="108"/>
      <c r="S368" s="100"/>
      <c r="T368" s="110"/>
      <c r="U368" s="110"/>
      <c r="V368" s="100"/>
      <c r="W368" s="100"/>
      <c r="X368" s="100"/>
      <c r="Y368" s="110"/>
      <c r="Z368" s="110"/>
      <c r="AA368" s="100"/>
      <c r="AB368" s="108"/>
      <c r="AC368" s="109"/>
      <c r="AD368" s="109"/>
      <c r="AE368" s="109"/>
      <c r="AF368" s="109"/>
      <c r="AG368" s="108"/>
      <c r="AH368" s="108"/>
      <c r="AI368" s="100"/>
      <c r="AJ368" s="100"/>
      <c r="AK368" s="110"/>
      <c r="AL368" s="11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</row>
    <row r="369" spans="1:48" ht="16.3">
      <c r="A369" s="629" t="s">
        <v>363</v>
      </c>
      <c r="B369" s="219">
        <f>SUM(B367+B368)</f>
        <v>66</v>
      </c>
      <c r="C369" s="214">
        <f t="shared" si="57"/>
        <v>66</v>
      </c>
      <c r="D369" s="133"/>
      <c r="E369" s="134"/>
      <c r="F369" s="135"/>
      <c r="G369" s="136"/>
      <c r="H369" s="96"/>
      <c r="I369" s="96"/>
      <c r="J369" s="128"/>
      <c r="K369" s="104"/>
      <c r="L369" s="75"/>
      <c r="M369" s="75"/>
      <c r="N369" s="75"/>
      <c r="O369" s="96"/>
      <c r="P369" s="163"/>
      <c r="Q369" s="109"/>
      <c r="R369" s="108"/>
      <c r="S369" s="100"/>
      <c r="T369" s="110"/>
      <c r="U369" s="110"/>
      <c r="V369" s="100"/>
      <c r="W369" s="100"/>
      <c r="X369" s="100"/>
      <c r="Y369" s="110"/>
      <c r="Z369" s="110"/>
      <c r="AA369" s="100"/>
      <c r="AB369" s="108"/>
      <c r="AC369" s="109"/>
      <c r="AD369" s="109"/>
      <c r="AE369" s="109"/>
      <c r="AF369" s="109"/>
      <c r="AG369" s="108"/>
      <c r="AH369" s="108"/>
      <c r="AI369" s="100"/>
      <c r="AJ369" s="100"/>
      <c r="AK369" s="110"/>
      <c r="AL369" s="11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</row>
    <row r="370" spans="1:48" ht="16.3">
      <c r="A370" s="611" t="s">
        <v>366</v>
      </c>
      <c r="B370" s="221">
        <f>SUM(J370+K370+L370+M370+N370+S370+V370+W370+X370+AA370+AI370+AJ370+AI370+AM370+AP370+AQ370+AS370+AT370+AU370+AV370)+41</f>
        <v>41</v>
      </c>
      <c r="C370" s="215">
        <f t="shared" si="57"/>
        <v>41</v>
      </c>
      <c r="D370" s="139"/>
      <c r="E370" s="140"/>
      <c r="F370" s="135"/>
      <c r="G370" s="136"/>
      <c r="H370" s="96"/>
      <c r="I370" s="96"/>
      <c r="J370" s="128"/>
      <c r="K370" s="104"/>
      <c r="L370" s="75"/>
      <c r="M370" s="75"/>
      <c r="N370" s="75"/>
      <c r="O370" s="96"/>
      <c r="P370" s="163"/>
      <c r="Q370" s="109"/>
      <c r="R370" s="108"/>
      <c r="S370" s="100"/>
      <c r="T370" s="110"/>
      <c r="U370" s="110"/>
      <c r="V370" s="100"/>
      <c r="W370" s="100"/>
      <c r="X370" s="100"/>
      <c r="Y370" s="110"/>
      <c r="Z370" s="110"/>
      <c r="AA370" s="100"/>
      <c r="AB370" s="108"/>
      <c r="AC370" s="109"/>
      <c r="AD370" s="109"/>
      <c r="AE370" s="109"/>
      <c r="AF370" s="109"/>
      <c r="AG370" s="108"/>
      <c r="AH370" s="108"/>
      <c r="AI370" s="100"/>
      <c r="AJ370" s="100"/>
      <c r="AK370" s="110"/>
      <c r="AL370" s="11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</row>
    <row r="371" spans="1:48" ht="16.3">
      <c r="A371" s="611" t="s">
        <v>362</v>
      </c>
      <c r="B371" s="221">
        <f>SUM(J371+K371+L371+M371+N371+S371+V371+W371+X371+AA371+AI371+AJ371+AI371+AM371+AP371+AQ371+AS371+AT371+AU371+AV371)+1</f>
        <v>1</v>
      </c>
      <c r="C371" s="215">
        <f t="shared" si="57"/>
        <v>1</v>
      </c>
      <c r="D371" s="139"/>
      <c r="E371" s="140"/>
      <c r="F371" s="135"/>
      <c r="G371" s="136"/>
      <c r="H371" s="96"/>
      <c r="I371" s="96"/>
      <c r="J371" s="128"/>
      <c r="K371" s="104"/>
      <c r="L371" s="75"/>
      <c r="M371" s="75"/>
      <c r="N371" s="75"/>
      <c r="O371" s="96"/>
      <c r="P371" s="163"/>
      <c r="Q371" s="109"/>
      <c r="R371" s="108"/>
      <c r="S371" s="100"/>
      <c r="T371" s="110"/>
      <c r="U371" s="110"/>
      <c r="V371" s="100"/>
      <c r="W371" s="100"/>
      <c r="X371" s="100"/>
      <c r="Y371" s="110"/>
      <c r="Z371" s="110"/>
      <c r="AA371" s="100"/>
      <c r="AB371" s="108"/>
      <c r="AC371" s="109"/>
      <c r="AD371" s="109"/>
      <c r="AE371" s="109"/>
      <c r="AF371" s="109"/>
      <c r="AG371" s="108"/>
      <c r="AH371" s="108"/>
      <c r="AI371" s="100"/>
      <c r="AJ371" s="100"/>
      <c r="AK371" s="110"/>
      <c r="AL371" s="11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</row>
    <row r="372" spans="1:48" ht="16.3">
      <c r="A372" s="611" t="s">
        <v>364</v>
      </c>
      <c r="B372" s="221">
        <f>SUM(J372+K372+L372+M372+N372+S372+V372+W372+X372+AA372+AI372+AJ372+AI372+AM372+AP372+AQ372+AS372+AT372+AU372+AV372)+1</f>
        <v>1</v>
      </c>
      <c r="C372" s="215">
        <f t="shared" si="57"/>
        <v>1</v>
      </c>
      <c r="D372" s="139"/>
      <c r="E372" s="140"/>
      <c r="F372" s="135"/>
      <c r="G372" s="136"/>
      <c r="H372" s="96"/>
      <c r="I372" s="96"/>
      <c r="J372" s="128"/>
      <c r="K372" s="104"/>
      <c r="L372" s="75"/>
      <c r="M372" s="75"/>
      <c r="N372" s="75"/>
      <c r="O372" s="96"/>
      <c r="P372" s="163"/>
      <c r="Q372" s="109"/>
      <c r="R372" s="108"/>
      <c r="S372" s="100"/>
      <c r="T372" s="110"/>
      <c r="U372" s="110"/>
      <c r="V372" s="100"/>
      <c r="W372" s="100"/>
      <c r="X372" s="100"/>
      <c r="Y372" s="110"/>
      <c r="Z372" s="110"/>
      <c r="AA372" s="100"/>
      <c r="AB372" s="108"/>
      <c r="AC372" s="109"/>
      <c r="AD372" s="109"/>
      <c r="AE372" s="109"/>
      <c r="AF372" s="109"/>
      <c r="AG372" s="108"/>
      <c r="AH372" s="108"/>
      <c r="AI372" s="100"/>
      <c r="AJ372" s="100"/>
      <c r="AK372" s="110"/>
      <c r="AL372" s="11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</row>
    <row r="373" spans="1:48" ht="16.3">
      <c r="A373" s="91" t="s">
        <v>3</v>
      </c>
      <c r="B373" s="219">
        <f>SUM(J373+K373+L373+M373+N373+S373+V373+W373+X373+AA373+AI373+AJ373+AI373+AM373+AP373+AQ373+AS373+AT373+AU373+AV373)+6</f>
        <v>6</v>
      </c>
      <c r="C373" s="214">
        <f t="shared" si="57"/>
        <v>6</v>
      </c>
      <c r="D373" s="133"/>
      <c r="E373" s="134"/>
      <c r="F373" s="135"/>
      <c r="G373" s="136"/>
      <c r="H373" s="96"/>
      <c r="I373" s="96"/>
      <c r="J373" s="128"/>
      <c r="K373" s="104"/>
      <c r="L373" s="75"/>
      <c r="M373" s="75"/>
      <c r="N373" s="75"/>
      <c r="O373" s="96"/>
      <c r="P373" s="163"/>
      <c r="Q373" s="109"/>
      <c r="R373" s="108"/>
      <c r="S373" s="100"/>
      <c r="T373" s="110"/>
      <c r="U373" s="110"/>
      <c r="V373" s="100"/>
      <c r="W373" s="100"/>
      <c r="X373" s="100"/>
      <c r="Y373" s="110"/>
      <c r="Z373" s="110"/>
      <c r="AA373" s="100"/>
      <c r="AB373" s="108"/>
      <c r="AC373" s="109"/>
      <c r="AD373" s="109"/>
      <c r="AE373" s="109"/>
      <c r="AF373" s="109"/>
      <c r="AG373" s="108"/>
      <c r="AH373" s="108"/>
      <c r="AI373" s="100"/>
      <c r="AJ373" s="100"/>
      <c r="AK373" s="110"/>
      <c r="AL373" s="11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</row>
    <row r="374" spans="1:48" ht="17" thickBot="1">
      <c r="A374" s="92" t="s">
        <v>4</v>
      </c>
      <c r="B374" s="220">
        <f>SUM(J374+K374+L374+M374+N374+S374+V374+W374+X374+AA374+AI374+AJ374+AI374+AM374+AP374+AQ374+AS374+AT374+AU374+AV374)+30</f>
        <v>30</v>
      </c>
      <c r="C374" s="217">
        <f t="shared" ref="C374" si="58">B374</f>
        <v>30</v>
      </c>
      <c r="D374" s="144"/>
      <c r="E374" s="145"/>
      <c r="F374" s="146"/>
      <c r="G374" s="147"/>
      <c r="H374" s="114"/>
      <c r="I374" s="114"/>
      <c r="J374" s="129"/>
      <c r="K374" s="113"/>
      <c r="L374" s="112"/>
      <c r="M374" s="112"/>
      <c r="N374" s="112"/>
      <c r="O374" s="114"/>
      <c r="P374" s="164"/>
      <c r="Q374" s="118"/>
      <c r="R374" s="117"/>
      <c r="S374" s="116"/>
      <c r="T374" s="120"/>
      <c r="U374" s="120"/>
      <c r="V374" s="116"/>
      <c r="W374" s="116"/>
      <c r="X374" s="116"/>
      <c r="Y374" s="120"/>
      <c r="Z374" s="120"/>
      <c r="AA374" s="116"/>
      <c r="AB374" s="117"/>
      <c r="AC374" s="118"/>
      <c r="AD374" s="118"/>
      <c r="AE374" s="118"/>
      <c r="AF374" s="118"/>
      <c r="AG374" s="117"/>
      <c r="AH374" s="117"/>
      <c r="AI374" s="116"/>
      <c r="AJ374" s="116"/>
      <c r="AK374" s="120"/>
      <c r="AL374" s="120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</row>
    <row r="375" spans="1:48" ht="21.1">
      <c r="A375" s="89" t="s">
        <v>522</v>
      </c>
      <c r="B375" s="219"/>
      <c r="C375" s="214"/>
      <c r="D375" s="133"/>
      <c r="E375" s="134"/>
      <c r="F375" s="135"/>
      <c r="G375" s="136"/>
      <c r="H375" s="96"/>
      <c r="I375" s="96" t="s">
        <v>372</v>
      </c>
      <c r="J375" s="128">
        <v>5</v>
      </c>
      <c r="K375" s="104">
        <v>5</v>
      </c>
      <c r="L375" s="75">
        <v>5</v>
      </c>
      <c r="M375" s="75" t="s">
        <v>375</v>
      </c>
      <c r="N375" s="75"/>
      <c r="O375" s="96"/>
      <c r="P375" s="163"/>
      <c r="Q375" s="109"/>
      <c r="R375" s="108"/>
      <c r="S375" s="100">
        <v>4</v>
      </c>
      <c r="T375" s="110" t="s">
        <v>372</v>
      </c>
      <c r="U375" s="110" t="s">
        <v>375</v>
      </c>
      <c r="V375" s="100" t="s">
        <v>387</v>
      </c>
      <c r="W375" s="100" t="s">
        <v>387</v>
      </c>
      <c r="X375" s="100" t="s">
        <v>387</v>
      </c>
      <c r="Y375" s="110">
        <v>5</v>
      </c>
      <c r="Z375" s="110" t="s">
        <v>375</v>
      </c>
      <c r="AA375" s="100" t="s">
        <v>372</v>
      </c>
      <c r="AB375" s="108"/>
      <c r="AC375" s="109"/>
      <c r="AD375" s="109"/>
      <c r="AE375" s="109">
        <v>4</v>
      </c>
      <c r="AF375" s="109">
        <v>4</v>
      </c>
      <c r="AG375" s="108"/>
      <c r="AH375" s="108"/>
      <c r="AI375" s="100"/>
      <c r="AJ375" s="100"/>
      <c r="AK375" s="110"/>
      <c r="AL375" s="11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</row>
    <row r="376" spans="1:48" ht="16.3">
      <c r="A376" s="611" t="s">
        <v>1</v>
      </c>
      <c r="B376" s="221">
        <f>SUM(J376+K376+L376+M376+N376+S376+V376+W376+X376+AA376+AI376+AJ376+AI376+AM376+AP376+AQ376+AS376+AT376+AU376+AV376+AN376)</f>
        <v>8</v>
      </c>
      <c r="C376" s="215">
        <f>B376</f>
        <v>8</v>
      </c>
      <c r="D376" s="133"/>
      <c r="E376" s="134"/>
      <c r="F376" s="135"/>
      <c r="G376" s="136"/>
      <c r="H376" s="96"/>
      <c r="I376" s="96">
        <v>1</v>
      </c>
      <c r="J376" s="128">
        <v>1</v>
      </c>
      <c r="K376" s="104">
        <v>1</v>
      </c>
      <c r="L376" s="75">
        <v>1</v>
      </c>
      <c r="M376" s="75"/>
      <c r="N376" s="75"/>
      <c r="O376" s="96"/>
      <c r="P376" s="163"/>
      <c r="Q376" s="109"/>
      <c r="R376" s="108"/>
      <c r="S376" s="100">
        <v>1</v>
      </c>
      <c r="T376" s="110">
        <v>1</v>
      </c>
      <c r="U376" s="110"/>
      <c r="V376" s="100">
        <v>1</v>
      </c>
      <c r="W376" s="100">
        <v>1</v>
      </c>
      <c r="X376" s="100">
        <v>1</v>
      </c>
      <c r="Y376" s="110">
        <v>1</v>
      </c>
      <c r="Z376" s="110"/>
      <c r="AA376" s="100">
        <v>1</v>
      </c>
      <c r="AB376" s="108"/>
      <c r="AC376" s="109"/>
      <c r="AD376" s="109"/>
      <c r="AE376" s="109">
        <v>1</v>
      </c>
      <c r="AF376" s="109">
        <v>1</v>
      </c>
      <c r="AG376" s="108"/>
      <c r="AH376" s="108"/>
      <c r="AI376" s="100"/>
      <c r="AJ376" s="100"/>
      <c r="AK376" s="110"/>
      <c r="AL376" s="11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</row>
    <row r="377" spans="1:48" ht="16.3">
      <c r="A377" s="611" t="s">
        <v>2</v>
      </c>
      <c r="B377" s="221">
        <f>SUM(J377+K377+L377+M377+N377+S377+V377+W377+X377+AA377+AI377+AJ377+AI377+AM377+AP377+AQ377+AS377+AT377+AU377+AV377)</f>
        <v>1</v>
      </c>
      <c r="C377" s="215">
        <f t="shared" ref="C377:C380" si="59">B377</f>
        <v>1</v>
      </c>
      <c r="D377" s="133"/>
      <c r="E377" s="134"/>
      <c r="F377" s="135"/>
      <c r="G377" s="136"/>
      <c r="H377" s="96"/>
      <c r="I377" s="96"/>
      <c r="J377" s="128"/>
      <c r="K377" s="104"/>
      <c r="L377" s="75"/>
      <c r="M377" s="75">
        <v>1</v>
      </c>
      <c r="N377" s="75"/>
      <c r="O377" s="96"/>
      <c r="P377" s="163"/>
      <c r="Q377" s="109"/>
      <c r="R377" s="108"/>
      <c r="S377" s="100"/>
      <c r="T377" s="110"/>
      <c r="U377" s="110">
        <v>1</v>
      </c>
      <c r="V377" s="100"/>
      <c r="W377" s="100"/>
      <c r="X377" s="100"/>
      <c r="Y377" s="110"/>
      <c r="Z377" s="110">
        <v>1</v>
      </c>
      <c r="AA377" s="100"/>
      <c r="AB377" s="108"/>
      <c r="AC377" s="109"/>
      <c r="AD377" s="109"/>
      <c r="AE377" s="109"/>
      <c r="AF377" s="109"/>
      <c r="AG377" s="108"/>
      <c r="AH377" s="108"/>
      <c r="AI377" s="100"/>
      <c r="AJ377" s="100"/>
      <c r="AK377" s="110"/>
      <c r="AL377" s="11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</row>
    <row r="378" spans="1:48" ht="16.3">
      <c r="A378" s="91" t="s">
        <v>363</v>
      </c>
      <c r="B378" s="219">
        <f>SUM(B376+B377)</f>
        <v>9</v>
      </c>
      <c r="C378" s="214">
        <f t="shared" si="59"/>
        <v>9</v>
      </c>
      <c r="D378" s="133"/>
      <c r="E378" s="134"/>
      <c r="F378" s="135"/>
      <c r="G378" s="136"/>
      <c r="H378" s="96"/>
      <c r="I378" s="96"/>
      <c r="J378" s="128"/>
      <c r="K378" s="104"/>
      <c r="L378" s="75"/>
      <c r="M378" s="75"/>
      <c r="N378" s="75"/>
      <c r="O378" s="96"/>
      <c r="P378" s="163"/>
      <c r="Q378" s="109"/>
      <c r="R378" s="108"/>
      <c r="S378" s="100"/>
      <c r="T378" s="110"/>
      <c r="U378" s="110"/>
      <c r="V378" s="100"/>
      <c r="W378" s="100"/>
      <c r="X378" s="100"/>
      <c r="Y378" s="110"/>
      <c r="Z378" s="110"/>
      <c r="AA378" s="100"/>
      <c r="AB378" s="108"/>
      <c r="AC378" s="109"/>
      <c r="AD378" s="109"/>
      <c r="AE378" s="109"/>
      <c r="AF378" s="109"/>
      <c r="AG378" s="108"/>
      <c r="AH378" s="108"/>
      <c r="AI378" s="100"/>
      <c r="AJ378" s="100"/>
      <c r="AK378" s="110"/>
      <c r="AL378" s="11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</row>
    <row r="379" spans="1:48" ht="16.3">
      <c r="A379" s="91" t="s">
        <v>3</v>
      </c>
      <c r="B379" s="219">
        <f>SUM(J379+K379+L379+M379+N379+S379+V379+W379+X379+AA379+AI379+AJ379+AI379+AM379+AP379+AQ379+AS379+AT379+AU379+AV379)</f>
        <v>0</v>
      </c>
      <c r="C379" s="214">
        <f t="shared" si="59"/>
        <v>0</v>
      </c>
      <c r="D379" s="133"/>
      <c r="E379" s="134"/>
      <c r="F379" s="135"/>
      <c r="G379" s="136"/>
      <c r="H379" s="96"/>
      <c r="I379" s="96"/>
      <c r="J379" s="128"/>
      <c r="K379" s="104"/>
      <c r="L379" s="75"/>
      <c r="M379" s="75"/>
      <c r="N379" s="75"/>
      <c r="O379" s="96"/>
      <c r="P379" s="163"/>
      <c r="Q379" s="109"/>
      <c r="R379" s="108"/>
      <c r="S379" s="100"/>
      <c r="T379" s="110"/>
      <c r="U379" s="110">
        <v>2</v>
      </c>
      <c r="V379" s="100"/>
      <c r="W379" s="100"/>
      <c r="X379" s="100"/>
      <c r="Y379" s="110"/>
      <c r="Z379" s="110"/>
      <c r="AA379" s="100"/>
      <c r="AB379" s="108"/>
      <c r="AC379" s="109"/>
      <c r="AD379" s="109"/>
      <c r="AE379" s="109"/>
      <c r="AF379" s="109">
        <v>1</v>
      </c>
      <c r="AG379" s="108"/>
      <c r="AH379" s="108"/>
      <c r="AI379" s="100"/>
      <c r="AJ379" s="100"/>
      <c r="AK379" s="110"/>
      <c r="AL379" s="11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</row>
    <row r="380" spans="1:48" ht="17" thickBot="1">
      <c r="A380" s="91" t="s">
        <v>4</v>
      </c>
      <c r="B380" s="220">
        <f>SUM(J380+K380+L380+M380+N380+S380+V380+W380+X380+AA380+AI380+AJ380+AI380+AM380+AP380+AQ380+AS380+AT380+AU380+AV380)</f>
        <v>0</v>
      </c>
      <c r="C380" s="217">
        <f t="shared" si="59"/>
        <v>0</v>
      </c>
      <c r="D380" s="144"/>
      <c r="E380" s="145"/>
      <c r="F380" s="146"/>
      <c r="G380" s="147"/>
      <c r="H380" s="96"/>
      <c r="I380" s="96"/>
      <c r="J380" s="128"/>
      <c r="K380" s="104"/>
      <c r="L380" s="75"/>
      <c r="M380" s="75"/>
      <c r="N380" s="75"/>
      <c r="O380" s="96"/>
      <c r="P380" s="163"/>
      <c r="Q380" s="109"/>
      <c r="R380" s="108"/>
      <c r="S380" s="100"/>
      <c r="T380" s="110"/>
      <c r="U380" s="110">
        <v>10</v>
      </c>
      <c r="V380" s="100"/>
      <c r="W380" s="100"/>
      <c r="X380" s="100"/>
      <c r="Y380" s="110"/>
      <c r="Z380" s="110"/>
      <c r="AA380" s="100"/>
      <c r="AB380" s="108"/>
      <c r="AC380" s="109"/>
      <c r="AD380" s="109"/>
      <c r="AE380" s="109"/>
      <c r="AF380" s="109">
        <v>5</v>
      </c>
      <c r="AG380" s="108"/>
      <c r="AH380" s="108"/>
      <c r="AI380" s="100"/>
      <c r="AJ380" s="100"/>
      <c r="AK380" s="110"/>
      <c r="AL380" s="11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</row>
    <row r="381" spans="1:48" ht="21.1">
      <c r="A381" s="90" t="s">
        <v>523</v>
      </c>
      <c r="B381" s="219"/>
      <c r="C381" s="214"/>
      <c r="D381" s="133"/>
      <c r="E381" s="134"/>
      <c r="F381" s="135"/>
      <c r="G381" s="136"/>
      <c r="H381" s="124" t="s">
        <v>394</v>
      </c>
      <c r="I381" s="124" t="s">
        <v>394</v>
      </c>
      <c r="J381" s="165" t="s">
        <v>394</v>
      </c>
      <c r="K381" s="123" t="s">
        <v>394</v>
      </c>
      <c r="L381" s="122" t="s">
        <v>740</v>
      </c>
      <c r="M381" s="122" t="s">
        <v>372</v>
      </c>
      <c r="N381" s="122">
        <v>4</v>
      </c>
      <c r="O381" s="124"/>
      <c r="P381" s="166"/>
      <c r="Q381" s="99" t="s">
        <v>394</v>
      </c>
      <c r="R381" s="98"/>
      <c r="S381" s="102" t="s">
        <v>375</v>
      </c>
      <c r="T381" s="101"/>
      <c r="U381" s="101">
        <v>4</v>
      </c>
      <c r="V381" s="102">
        <v>4</v>
      </c>
      <c r="W381" s="102">
        <v>4</v>
      </c>
      <c r="X381" s="102" t="s">
        <v>372</v>
      </c>
      <c r="Y381" s="101" t="s">
        <v>372</v>
      </c>
      <c r="Z381" s="101">
        <v>5</v>
      </c>
      <c r="AA381" s="102">
        <v>5</v>
      </c>
      <c r="AB381" s="98"/>
      <c r="AC381" s="99"/>
      <c r="AD381" s="99"/>
      <c r="AE381" s="99"/>
      <c r="AF381" s="99"/>
      <c r="AG381" s="98"/>
      <c r="AH381" s="98"/>
      <c r="AI381" s="102"/>
      <c r="AJ381" s="102"/>
      <c r="AK381" s="101"/>
      <c r="AL381" s="101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</row>
    <row r="382" spans="1:48" ht="16.3">
      <c r="A382" s="611" t="s">
        <v>1</v>
      </c>
      <c r="B382" s="221">
        <f>SUM(J382+K382+L382+M382+N382+S382+V382+W382+X382+AA382+AI382+AJ382+AI382+AM382+AP382+AQ382+AS382+AT382+AU382+AV382+AN382)</f>
        <v>7</v>
      </c>
      <c r="C382" s="215">
        <f>B382</f>
        <v>7</v>
      </c>
      <c r="D382" s="139"/>
      <c r="E382" s="140"/>
      <c r="F382" s="135"/>
      <c r="G382" s="136"/>
      <c r="H382" s="96"/>
      <c r="I382" s="96"/>
      <c r="J382" s="128"/>
      <c r="K382" s="104"/>
      <c r="L382" s="75">
        <v>1</v>
      </c>
      <c r="M382" s="75">
        <v>1</v>
      </c>
      <c r="N382" s="75">
        <v>1</v>
      </c>
      <c r="O382" s="96"/>
      <c r="P382" s="163"/>
      <c r="Q382" s="109"/>
      <c r="R382" s="108"/>
      <c r="S382" s="100"/>
      <c r="T382" s="110"/>
      <c r="U382" s="110">
        <v>1</v>
      </c>
      <c r="V382" s="100">
        <v>1</v>
      </c>
      <c r="W382" s="100">
        <v>1</v>
      </c>
      <c r="X382" s="100">
        <v>1</v>
      </c>
      <c r="Y382" s="110">
        <v>1</v>
      </c>
      <c r="Z382" s="110">
        <v>1</v>
      </c>
      <c r="AA382" s="100">
        <v>1</v>
      </c>
      <c r="AB382" s="108"/>
      <c r="AC382" s="109"/>
      <c r="AD382" s="109"/>
      <c r="AE382" s="109"/>
      <c r="AF382" s="109"/>
      <c r="AG382" s="108"/>
      <c r="AH382" s="108"/>
      <c r="AI382" s="100"/>
      <c r="AJ382" s="100"/>
      <c r="AK382" s="110"/>
      <c r="AL382" s="11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</row>
    <row r="383" spans="1:48" ht="16.3">
      <c r="A383" s="611" t="s">
        <v>2</v>
      </c>
      <c r="B383" s="221">
        <f>SUM(J383+K383+L383+M383+N383+S383+V383+W383+X383+AA383+AI383+AJ383+AI383+AM383+AP383+AQ383+AS383+AT383+AU383+AV383)</f>
        <v>1</v>
      </c>
      <c r="C383" s="215">
        <f t="shared" ref="C383:C386" si="60">B383</f>
        <v>1</v>
      </c>
      <c r="D383" s="139"/>
      <c r="E383" s="140"/>
      <c r="F383" s="135"/>
      <c r="G383" s="136"/>
      <c r="H383" s="96"/>
      <c r="I383" s="96"/>
      <c r="J383" s="128"/>
      <c r="K383" s="104"/>
      <c r="L383" s="75"/>
      <c r="M383" s="75"/>
      <c r="N383" s="75"/>
      <c r="O383" s="96"/>
      <c r="P383" s="163"/>
      <c r="Q383" s="109"/>
      <c r="R383" s="108"/>
      <c r="S383" s="100">
        <v>1</v>
      </c>
      <c r="T383" s="110"/>
      <c r="U383" s="110"/>
      <c r="V383" s="100"/>
      <c r="W383" s="100"/>
      <c r="X383" s="100"/>
      <c r="Y383" s="110"/>
      <c r="Z383" s="110"/>
      <c r="AA383" s="100"/>
      <c r="AB383" s="108"/>
      <c r="AC383" s="109"/>
      <c r="AD383" s="109"/>
      <c r="AE383" s="109"/>
      <c r="AF383" s="109"/>
      <c r="AG383" s="108"/>
      <c r="AH383" s="108"/>
      <c r="AI383" s="100"/>
      <c r="AJ383" s="100"/>
      <c r="AK383" s="110"/>
      <c r="AL383" s="11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</row>
    <row r="384" spans="1:48" ht="16.3">
      <c r="A384" s="629" t="s">
        <v>363</v>
      </c>
      <c r="B384" s="219">
        <f>SUM(B382+B383)</f>
        <v>8</v>
      </c>
      <c r="C384" s="214">
        <f t="shared" si="60"/>
        <v>8</v>
      </c>
      <c r="D384" s="133"/>
      <c r="E384" s="134"/>
      <c r="F384" s="135"/>
      <c r="G384" s="136"/>
      <c r="H384" s="96"/>
      <c r="I384" s="96"/>
      <c r="J384" s="128"/>
      <c r="K384" s="104"/>
      <c r="L384" s="75"/>
      <c r="M384" s="75"/>
      <c r="N384" s="75"/>
      <c r="O384" s="96"/>
      <c r="P384" s="163"/>
      <c r="Q384" s="109"/>
      <c r="R384" s="108"/>
      <c r="S384" s="100"/>
      <c r="T384" s="110"/>
      <c r="U384" s="110"/>
      <c r="V384" s="100"/>
      <c r="W384" s="100"/>
      <c r="X384" s="100"/>
      <c r="Y384" s="110"/>
      <c r="Z384" s="110"/>
      <c r="AA384" s="100"/>
      <c r="AB384" s="108"/>
      <c r="AC384" s="109"/>
      <c r="AD384" s="109"/>
      <c r="AE384" s="109"/>
      <c r="AF384" s="109"/>
      <c r="AG384" s="108"/>
      <c r="AH384" s="108"/>
      <c r="AI384" s="100"/>
      <c r="AJ384" s="100"/>
      <c r="AK384" s="110"/>
      <c r="AL384" s="11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</row>
    <row r="385" spans="1:48" ht="16.3">
      <c r="A385" s="91" t="s">
        <v>3</v>
      </c>
      <c r="B385" s="219">
        <f>SUM(J385+K385+L385+M385+N385+S385+V385+W385+X385+AA385+AI385+AJ385+AI385+AM385+AP385+AQ385+AS385+AT385+AU385+AV385)</f>
        <v>0</v>
      </c>
      <c r="C385" s="214">
        <f t="shared" si="60"/>
        <v>0</v>
      </c>
      <c r="D385" s="133"/>
      <c r="E385" s="134"/>
      <c r="F385" s="135"/>
      <c r="G385" s="136"/>
      <c r="H385" s="96"/>
      <c r="I385" s="96"/>
      <c r="J385" s="128"/>
      <c r="K385" s="104"/>
      <c r="L385" s="75"/>
      <c r="M385" s="75"/>
      <c r="N385" s="75"/>
      <c r="O385" s="96"/>
      <c r="P385" s="163"/>
      <c r="Q385" s="109"/>
      <c r="R385" s="108"/>
      <c r="S385" s="100"/>
      <c r="T385" s="110"/>
      <c r="U385" s="110"/>
      <c r="V385" s="100"/>
      <c r="W385" s="100"/>
      <c r="X385" s="100"/>
      <c r="Y385" s="110"/>
      <c r="Z385" s="110"/>
      <c r="AA385" s="100"/>
      <c r="AB385" s="108"/>
      <c r="AC385" s="109"/>
      <c r="AD385" s="109"/>
      <c r="AE385" s="109"/>
      <c r="AF385" s="109"/>
      <c r="AG385" s="108"/>
      <c r="AH385" s="108"/>
      <c r="AI385" s="100"/>
      <c r="AJ385" s="100"/>
      <c r="AK385" s="110"/>
      <c r="AL385" s="11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</row>
    <row r="386" spans="1:48" ht="17" thickBot="1">
      <c r="A386" s="91" t="s">
        <v>4</v>
      </c>
      <c r="B386" s="220">
        <f>SUM(J386+K386+L386+M386+N386+S386+V386+W386+X386+AA386+AI386+AJ386+AI386+AM386+AP386+AQ386+AS386+AT386+AU386+AV386)</f>
        <v>0</v>
      </c>
      <c r="C386" s="217">
        <f t="shared" si="60"/>
        <v>0</v>
      </c>
      <c r="D386" s="144"/>
      <c r="E386" s="145"/>
      <c r="F386" s="146"/>
      <c r="G386" s="147"/>
      <c r="H386" s="114"/>
      <c r="I386" s="114"/>
      <c r="J386" s="129"/>
      <c r="K386" s="113"/>
      <c r="L386" s="112"/>
      <c r="M386" s="112"/>
      <c r="N386" s="112"/>
      <c r="O386" s="114"/>
      <c r="P386" s="164"/>
      <c r="Q386" s="118"/>
      <c r="R386" s="117"/>
      <c r="S386" s="116"/>
      <c r="T386" s="120"/>
      <c r="U386" s="119"/>
      <c r="V386" s="100"/>
      <c r="W386" s="100"/>
      <c r="X386" s="100"/>
      <c r="Y386" s="110"/>
      <c r="Z386" s="110"/>
      <c r="AA386" s="100"/>
      <c r="AB386" s="108"/>
      <c r="AC386" s="109"/>
      <c r="AD386" s="109"/>
      <c r="AE386" s="109"/>
      <c r="AF386" s="109"/>
      <c r="AG386" s="108"/>
      <c r="AH386" s="108"/>
      <c r="AI386" s="100"/>
      <c r="AJ386" s="100"/>
      <c r="AK386" s="110"/>
      <c r="AL386" s="11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</row>
    <row r="387" spans="1:48" ht="21.1">
      <c r="A387" s="90" t="s">
        <v>244</v>
      </c>
      <c r="B387" s="219"/>
      <c r="C387" s="214"/>
      <c r="D387" s="133"/>
      <c r="E387" s="134"/>
      <c r="F387" s="135"/>
      <c r="G387" s="136"/>
      <c r="H387" s="96" t="s">
        <v>375</v>
      </c>
      <c r="I387" s="96" t="s">
        <v>375</v>
      </c>
      <c r="J387" s="128"/>
      <c r="K387" s="104"/>
      <c r="L387" s="75"/>
      <c r="M387" s="75" t="s">
        <v>441</v>
      </c>
      <c r="N387" s="75"/>
      <c r="O387" s="96" t="s">
        <v>372</v>
      </c>
      <c r="P387" s="105"/>
      <c r="Q387" s="109">
        <v>4</v>
      </c>
      <c r="R387" s="108"/>
      <c r="S387" s="100"/>
      <c r="T387" s="110"/>
      <c r="U387" s="110"/>
      <c r="V387" s="102"/>
      <c r="W387" s="102"/>
      <c r="X387" s="102"/>
      <c r="Y387" s="101"/>
      <c r="Z387" s="101"/>
      <c r="AA387" s="102"/>
      <c r="AB387" s="98"/>
      <c r="AC387" s="99">
        <v>4</v>
      </c>
      <c r="AD387" s="99" t="s">
        <v>372</v>
      </c>
      <c r="AE387" s="99"/>
      <c r="AF387" s="99"/>
      <c r="AG387" s="98"/>
      <c r="AH387" s="98"/>
      <c r="AI387" s="102"/>
      <c r="AJ387" s="102"/>
      <c r="AK387" s="101"/>
      <c r="AL387" s="101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</row>
    <row r="388" spans="1:48" ht="16.3">
      <c r="A388" s="585" t="s">
        <v>1</v>
      </c>
      <c r="B388" s="221">
        <f>SUM(J388+K388+L388+M388+N388+S388+V388+W388+X388+AA388+AI388+AJ388+AI388+AM388+AP388+AQ388+AS388+AT388+AU388+AV388+AN388)</f>
        <v>0</v>
      </c>
      <c r="C388" s="215">
        <f>B388</f>
        <v>0</v>
      </c>
      <c r="D388" s="133"/>
      <c r="E388" s="134"/>
      <c r="F388" s="135"/>
      <c r="G388" s="136"/>
      <c r="H388" s="96"/>
      <c r="I388" s="96"/>
      <c r="J388" s="128"/>
      <c r="K388" s="104"/>
      <c r="L388" s="75"/>
      <c r="M388" s="75"/>
      <c r="N388" s="75"/>
      <c r="O388" s="96">
        <v>1</v>
      </c>
      <c r="P388" s="105"/>
      <c r="Q388" s="109">
        <v>1</v>
      </c>
      <c r="R388" s="108"/>
      <c r="S388" s="100"/>
      <c r="T388" s="110"/>
      <c r="U388" s="110"/>
      <c r="V388" s="100"/>
      <c r="W388" s="100"/>
      <c r="X388" s="100"/>
      <c r="Y388" s="110"/>
      <c r="Z388" s="110"/>
      <c r="AA388" s="100"/>
      <c r="AB388" s="108"/>
      <c r="AC388" s="109">
        <v>1</v>
      </c>
      <c r="AD388" s="109">
        <v>1</v>
      </c>
      <c r="AE388" s="109"/>
      <c r="AF388" s="109"/>
      <c r="AG388" s="108"/>
      <c r="AH388" s="108"/>
      <c r="AI388" s="100"/>
      <c r="AJ388" s="100"/>
      <c r="AK388" s="110"/>
      <c r="AL388" s="11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</row>
    <row r="389" spans="1:48" ht="16.3">
      <c r="A389" s="585" t="s">
        <v>2</v>
      </c>
      <c r="B389" s="221">
        <f>SUM(J389+K389+L389+M389+N389+S389+V389+W389+X389+AA389+AI389+AJ389+AI389+AM389+AP389+AQ389+AS389+AT389+AU389+AV389)</f>
        <v>1</v>
      </c>
      <c r="C389" s="215">
        <f t="shared" ref="C389:C392" si="61">B389</f>
        <v>1</v>
      </c>
      <c r="D389" s="133"/>
      <c r="E389" s="134"/>
      <c r="F389" s="135"/>
      <c r="G389" s="136"/>
      <c r="H389" s="96">
        <v>1</v>
      </c>
      <c r="I389" s="96">
        <v>1</v>
      </c>
      <c r="J389" s="128"/>
      <c r="K389" s="104"/>
      <c r="L389" s="75"/>
      <c r="M389" s="75">
        <v>1</v>
      </c>
      <c r="N389" s="75"/>
      <c r="O389" s="96"/>
      <c r="P389" s="163"/>
      <c r="Q389" s="109"/>
      <c r="R389" s="108"/>
      <c r="S389" s="100"/>
      <c r="T389" s="110"/>
      <c r="U389" s="110"/>
      <c r="V389" s="100"/>
      <c r="W389" s="100"/>
      <c r="X389" s="100"/>
      <c r="Y389" s="110"/>
      <c r="Z389" s="110"/>
      <c r="AA389" s="100"/>
      <c r="AB389" s="108"/>
      <c r="AC389" s="109"/>
      <c r="AD389" s="109"/>
      <c r="AE389" s="109"/>
      <c r="AF389" s="109"/>
      <c r="AG389" s="108"/>
      <c r="AH389" s="108"/>
      <c r="AI389" s="100"/>
      <c r="AJ389" s="100"/>
      <c r="AK389" s="110"/>
      <c r="AL389" s="11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</row>
    <row r="390" spans="1:48" ht="16.3">
      <c r="A390" s="91" t="s">
        <v>363</v>
      </c>
      <c r="B390" s="219">
        <f>SUM(B388+B389)</f>
        <v>1</v>
      </c>
      <c r="C390" s="214">
        <f t="shared" si="61"/>
        <v>1</v>
      </c>
      <c r="D390" s="133"/>
      <c r="E390" s="134"/>
      <c r="F390" s="135"/>
      <c r="G390" s="136"/>
      <c r="H390" s="96"/>
      <c r="I390" s="96"/>
      <c r="J390" s="128"/>
      <c r="K390" s="104"/>
      <c r="L390" s="75"/>
      <c r="M390" s="75"/>
      <c r="N390" s="75"/>
      <c r="O390" s="96"/>
      <c r="P390" s="163"/>
      <c r="Q390" s="109"/>
      <c r="R390" s="108"/>
      <c r="S390" s="100"/>
      <c r="T390" s="110"/>
      <c r="U390" s="110"/>
      <c r="V390" s="100"/>
      <c r="W390" s="100"/>
      <c r="X390" s="100"/>
      <c r="Y390" s="110"/>
      <c r="Z390" s="110"/>
      <c r="AA390" s="100"/>
      <c r="AB390" s="108"/>
      <c r="AC390" s="109"/>
      <c r="AD390" s="109"/>
      <c r="AE390" s="109"/>
      <c r="AF390" s="109"/>
      <c r="AG390" s="108"/>
      <c r="AH390" s="108"/>
      <c r="AI390" s="100"/>
      <c r="AJ390" s="100"/>
      <c r="AK390" s="110"/>
      <c r="AL390" s="11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</row>
    <row r="391" spans="1:48" ht="16.3">
      <c r="A391" s="585" t="s">
        <v>362</v>
      </c>
      <c r="B391" s="221">
        <f>SUM(J391+K391+L391+M391+N391+S391+V391+W391+X391+AA391+AI391+AJ391+AI391+AM391+AP391+AQ391+AS391+AT391+AU391+AV391)</f>
        <v>1</v>
      </c>
      <c r="C391" s="215">
        <f t="shared" si="61"/>
        <v>1</v>
      </c>
      <c r="D391" s="133"/>
      <c r="E391" s="134"/>
      <c r="F391" s="135"/>
      <c r="G391" s="136"/>
      <c r="H391" s="96"/>
      <c r="I391" s="96"/>
      <c r="J391" s="128"/>
      <c r="K391" s="104"/>
      <c r="L391" s="75"/>
      <c r="M391" s="75">
        <v>1</v>
      </c>
      <c r="N391" s="75"/>
      <c r="O391" s="96"/>
      <c r="P391" s="163"/>
      <c r="Q391" s="109"/>
      <c r="R391" s="108"/>
      <c r="S391" s="100"/>
      <c r="T391" s="110"/>
      <c r="U391" s="110"/>
      <c r="V391" s="100"/>
      <c r="W391" s="100"/>
      <c r="X391" s="100"/>
      <c r="Y391" s="110"/>
      <c r="Z391" s="110"/>
      <c r="AA391" s="100"/>
      <c r="AB391" s="108"/>
      <c r="AC391" s="109"/>
      <c r="AD391" s="109"/>
      <c r="AE391" s="109"/>
      <c r="AF391" s="109"/>
      <c r="AG391" s="108"/>
      <c r="AH391" s="108"/>
      <c r="AI391" s="100"/>
      <c r="AJ391" s="100"/>
      <c r="AK391" s="110"/>
      <c r="AL391" s="11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</row>
    <row r="392" spans="1:48" ht="16.3">
      <c r="A392" s="91" t="s">
        <v>3</v>
      </c>
      <c r="B392" s="219">
        <f>SUM(J392+K392+L392+M392+N392+S392+V392+W392+X392+AA392+AI392+AJ392+AI392+AM392+AP392+AQ392+AS392+AT392+AU392+AV392)</f>
        <v>0</v>
      </c>
      <c r="C392" s="214">
        <f t="shared" si="61"/>
        <v>0</v>
      </c>
      <c r="D392" s="133"/>
      <c r="E392" s="134"/>
      <c r="F392" s="135"/>
      <c r="G392" s="136"/>
      <c r="H392" s="96"/>
      <c r="I392" s="96"/>
      <c r="J392" s="128"/>
      <c r="K392" s="104"/>
      <c r="L392" s="75"/>
      <c r="M392" s="75"/>
      <c r="N392" s="75"/>
      <c r="O392" s="96"/>
      <c r="P392" s="163"/>
      <c r="Q392" s="109"/>
      <c r="R392" s="108"/>
      <c r="S392" s="100"/>
      <c r="T392" s="110"/>
      <c r="U392" s="110"/>
      <c r="V392" s="100"/>
      <c r="W392" s="100"/>
      <c r="X392" s="100"/>
      <c r="Y392" s="110"/>
      <c r="Z392" s="110"/>
      <c r="AA392" s="100"/>
      <c r="AB392" s="108"/>
      <c r="AC392" s="109">
        <v>1</v>
      </c>
      <c r="AD392" s="109"/>
      <c r="AE392" s="109"/>
      <c r="AF392" s="109"/>
      <c r="AG392" s="108"/>
      <c r="AH392" s="108"/>
      <c r="AI392" s="100"/>
      <c r="AJ392" s="100"/>
      <c r="AK392" s="110"/>
      <c r="AL392" s="11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</row>
    <row r="393" spans="1:48" ht="17" thickBot="1">
      <c r="A393" s="92" t="s">
        <v>4</v>
      </c>
      <c r="B393" s="220">
        <f>SUM(J393+K393+L393+M393+N393+S393+V393+W393+X393+AA393+AI393+AJ393+AI393+AM393+AP393+AQ393+AS393+AT393+AU393+AV393)</f>
        <v>0</v>
      </c>
      <c r="C393" s="217">
        <f t="shared" ref="C393" si="62">B393</f>
        <v>0</v>
      </c>
      <c r="D393" s="144"/>
      <c r="E393" s="145"/>
      <c r="F393" s="146"/>
      <c r="G393" s="147"/>
      <c r="H393" s="114"/>
      <c r="I393" s="114"/>
      <c r="J393" s="129"/>
      <c r="K393" s="113"/>
      <c r="L393" s="112"/>
      <c r="M393" s="112"/>
      <c r="N393" s="112"/>
      <c r="O393" s="114"/>
      <c r="P393" s="117"/>
      <c r="Q393" s="118"/>
      <c r="R393" s="117"/>
      <c r="S393" s="116"/>
      <c r="T393" s="120"/>
      <c r="U393" s="120"/>
      <c r="V393" s="116"/>
      <c r="W393" s="116"/>
      <c r="X393" s="116"/>
      <c r="Y393" s="120"/>
      <c r="Z393" s="120"/>
      <c r="AA393" s="116"/>
      <c r="AB393" s="117"/>
      <c r="AC393" s="118">
        <v>5</v>
      </c>
      <c r="AD393" s="118"/>
      <c r="AE393" s="118"/>
      <c r="AF393" s="118"/>
      <c r="AG393" s="117"/>
      <c r="AH393" s="117"/>
      <c r="AI393" s="116"/>
      <c r="AJ393" s="116"/>
      <c r="AK393" s="120"/>
      <c r="AL393" s="120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</row>
    <row r="394" spans="1:48" ht="21.1">
      <c r="A394" s="89" t="s">
        <v>124</v>
      </c>
      <c r="B394" s="219"/>
      <c r="C394" s="214"/>
      <c r="D394" s="133"/>
      <c r="E394" s="134"/>
      <c r="F394" s="135"/>
      <c r="G394" s="136"/>
      <c r="H394" s="96">
        <v>4</v>
      </c>
      <c r="I394" s="96">
        <v>5</v>
      </c>
      <c r="J394" s="128" t="s">
        <v>375</v>
      </c>
      <c r="K394" s="104" t="s">
        <v>375</v>
      </c>
      <c r="L394" s="75" t="s">
        <v>375</v>
      </c>
      <c r="M394" s="75"/>
      <c r="N394" s="75" t="s">
        <v>375</v>
      </c>
      <c r="O394" s="96" t="s">
        <v>387</v>
      </c>
      <c r="P394" s="163"/>
      <c r="Q394" s="109">
        <v>5</v>
      </c>
      <c r="R394" s="108"/>
      <c r="S394" s="100"/>
      <c r="T394" s="110"/>
      <c r="U394" s="110"/>
      <c r="V394" s="100"/>
      <c r="W394" s="100" t="s">
        <v>375</v>
      </c>
      <c r="X394" s="100"/>
      <c r="Y394" s="110"/>
      <c r="Z394" s="110"/>
      <c r="AA394" s="100"/>
      <c r="AB394" s="108"/>
      <c r="AC394" s="109">
        <v>5</v>
      </c>
      <c r="AD394" s="109">
        <v>5</v>
      </c>
      <c r="AE394" s="109" t="s">
        <v>387</v>
      </c>
      <c r="AF394" s="109" t="s">
        <v>387</v>
      </c>
      <c r="AG394" s="108"/>
      <c r="AH394" s="108"/>
      <c r="AI394" s="100"/>
      <c r="AJ394" s="100"/>
      <c r="AK394" s="110"/>
      <c r="AL394" s="11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</row>
    <row r="395" spans="1:48" ht="16.3">
      <c r="A395" s="611" t="s">
        <v>1</v>
      </c>
      <c r="B395" s="221">
        <f>SUM(J395+K395+L395+M395+N395+S395+V395+W395+X395+AA395+AI395+AJ395+AI395+AM395+AP395+AQ395+AS395+AT395+AU395+AV395+AN395)+2</f>
        <v>2</v>
      </c>
      <c r="C395" s="215">
        <f>B395</f>
        <v>2</v>
      </c>
      <c r="D395" s="133"/>
      <c r="E395" s="134"/>
      <c r="F395" s="135"/>
      <c r="G395" s="136"/>
      <c r="H395" s="96">
        <v>1</v>
      </c>
      <c r="I395" s="96">
        <v>1</v>
      </c>
      <c r="J395" s="128"/>
      <c r="K395" s="104"/>
      <c r="L395" s="75"/>
      <c r="M395" s="75"/>
      <c r="N395" s="75"/>
      <c r="O395" s="96">
        <v>1</v>
      </c>
      <c r="P395" s="163"/>
      <c r="Q395" s="109">
        <v>1</v>
      </c>
      <c r="R395" s="108"/>
      <c r="S395" s="100"/>
      <c r="T395" s="110"/>
      <c r="U395" s="110"/>
      <c r="V395" s="100"/>
      <c r="W395" s="100"/>
      <c r="X395" s="100"/>
      <c r="Y395" s="110"/>
      <c r="Z395" s="110"/>
      <c r="AA395" s="100"/>
      <c r="AB395" s="108"/>
      <c r="AC395" s="109">
        <v>1</v>
      </c>
      <c r="AD395" s="109">
        <v>1</v>
      </c>
      <c r="AE395" s="109">
        <v>1</v>
      </c>
      <c r="AF395" s="109">
        <v>1</v>
      </c>
      <c r="AG395" s="108"/>
      <c r="AH395" s="108"/>
      <c r="AI395" s="100"/>
      <c r="AJ395" s="100"/>
      <c r="AK395" s="110"/>
      <c r="AL395" s="11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</row>
    <row r="396" spans="1:48" ht="16.3">
      <c r="A396" s="611" t="s">
        <v>2</v>
      </c>
      <c r="B396" s="221">
        <f>SUM(J396+K396+L396+M396+N396+S396+V396+W396+X396+AA396+AI396+AJ396+AI396+AM396+AP396+AQ396+AS396+AT396+AU396+AV396)</f>
        <v>5</v>
      </c>
      <c r="C396" s="215">
        <f t="shared" ref="C396:C399" si="63">B396</f>
        <v>5</v>
      </c>
      <c r="D396" s="133"/>
      <c r="E396" s="134"/>
      <c r="F396" s="135"/>
      <c r="G396" s="136"/>
      <c r="H396" s="96"/>
      <c r="I396" s="96"/>
      <c r="J396" s="128">
        <v>1</v>
      </c>
      <c r="K396" s="104">
        <v>1</v>
      </c>
      <c r="L396" s="75">
        <v>1</v>
      </c>
      <c r="M396" s="75"/>
      <c r="N396" s="75">
        <v>1</v>
      </c>
      <c r="O396" s="96"/>
      <c r="P396" s="163"/>
      <c r="Q396" s="109"/>
      <c r="R396" s="108"/>
      <c r="S396" s="100"/>
      <c r="T396" s="110"/>
      <c r="U396" s="110"/>
      <c r="V396" s="100"/>
      <c r="W396" s="100">
        <v>1</v>
      </c>
      <c r="X396" s="100"/>
      <c r="Y396" s="110"/>
      <c r="Z396" s="110"/>
      <c r="AA396" s="100"/>
      <c r="AB396" s="108"/>
      <c r="AC396" s="109"/>
      <c r="AD396" s="109"/>
      <c r="AE396" s="109"/>
      <c r="AF396" s="109"/>
      <c r="AG396" s="108"/>
      <c r="AH396" s="108"/>
      <c r="AI396" s="100"/>
      <c r="AJ396" s="100"/>
      <c r="AK396" s="110"/>
      <c r="AL396" s="11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</row>
    <row r="397" spans="1:48" ht="16.3">
      <c r="A397" s="91" t="s">
        <v>363</v>
      </c>
      <c r="B397" s="219">
        <f>SUM(B395+B396)</f>
        <v>7</v>
      </c>
      <c r="C397" s="214">
        <f t="shared" si="63"/>
        <v>7</v>
      </c>
      <c r="D397" s="133"/>
      <c r="E397" s="134"/>
      <c r="F397" s="135"/>
      <c r="G397" s="136"/>
      <c r="H397" s="96"/>
      <c r="I397" s="96"/>
      <c r="J397" s="128"/>
      <c r="K397" s="104"/>
      <c r="L397" s="75"/>
      <c r="M397" s="75"/>
      <c r="N397" s="75"/>
      <c r="O397" s="96"/>
      <c r="P397" s="163"/>
      <c r="Q397" s="109"/>
      <c r="R397" s="108"/>
      <c r="S397" s="100"/>
      <c r="T397" s="110"/>
      <c r="U397" s="110"/>
      <c r="V397" s="100"/>
      <c r="W397" s="100"/>
      <c r="X397" s="100"/>
      <c r="Y397" s="110"/>
      <c r="Z397" s="110"/>
      <c r="AA397" s="100"/>
      <c r="AB397" s="108"/>
      <c r="AC397" s="109"/>
      <c r="AD397" s="109"/>
      <c r="AE397" s="109"/>
      <c r="AF397" s="109"/>
      <c r="AG397" s="108"/>
      <c r="AH397" s="108"/>
      <c r="AI397" s="100"/>
      <c r="AJ397" s="100"/>
      <c r="AK397" s="110"/>
      <c r="AL397" s="11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</row>
    <row r="398" spans="1:48" ht="16.3">
      <c r="A398" s="91" t="s">
        <v>3</v>
      </c>
      <c r="B398" s="219">
        <f>SUM(J398+K398+L398+M398+N398+S398+V398+W398+X398+AA398+AI398+AJ398+AI398+AM398+AP398+AQ398+AS398+AT398+AU398+AV398)</f>
        <v>0</v>
      </c>
      <c r="C398" s="214">
        <f t="shared" si="63"/>
        <v>0</v>
      </c>
      <c r="D398" s="133"/>
      <c r="E398" s="134"/>
      <c r="F398" s="135"/>
      <c r="G398" s="136"/>
      <c r="H398" s="96"/>
      <c r="I398" s="96"/>
      <c r="J398" s="128"/>
      <c r="K398" s="104"/>
      <c r="L398" s="75"/>
      <c r="M398" s="75"/>
      <c r="N398" s="75"/>
      <c r="O398" s="96"/>
      <c r="P398" s="163"/>
      <c r="Q398" s="109"/>
      <c r="R398" s="108"/>
      <c r="S398" s="100"/>
      <c r="T398" s="110"/>
      <c r="U398" s="110"/>
      <c r="V398" s="100"/>
      <c r="W398" s="100"/>
      <c r="X398" s="100"/>
      <c r="Y398" s="110"/>
      <c r="Z398" s="110"/>
      <c r="AA398" s="100"/>
      <c r="AB398" s="108"/>
      <c r="AC398" s="109"/>
      <c r="AD398" s="109"/>
      <c r="AE398" s="109"/>
      <c r="AF398" s="109"/>
      <c r="AG398" s="108"/>
      <c r="AH398" s="108"/>
      <c r="AI398" s="100"/>
      <c r="AJ398" s="100"/>
      <c r="AK398" s="110"/>
      <c r="AL398" s="11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</row>
    <row r="399" spans="1:48" ht="17" thickBot="1">
      <c r="A399" s="92" t="s">
        <v>4</v>
      </c>
      <c r="B399" s="220">
        <f>SUM(J399+K399+L399+M399+N399+S399+V399+W399+X399+AA399+AI399+AJ399+AI399+AM399+AP399+AQ399+AS399+AT399+AU399+AV399)</f>
        <v>0</v>
      </c>
      <c r="C399" s="217">
        <f t="shared" si="63"/>
        <v>0</v>
      </c>
      <c r="D399" s="144"/>
      <c r="E399" s="145"/>
      <c r="F399" s="146"/>
      <c r="G399" s="147"/>
      <c r="H399" s="114"/>
      <c r="I399" s="114"/>
      <c r="J399" s="129"/>
      <c r="K399" s="113"/>
      <c r="L399" s="112"/>
      <c r="M399" s="112"/>
      <c r="N399" s="112"/>
      <c r="O399" s="114"/>
      <c r="P399" s="164"/>
      <c r="Q399" s="118"/>
      <c r="R399" s="117"/>
      <c r="S399" s="116"/>
      <c r="T399" s="120"/>
      <c r="U399" s="120"/>
      <c r="V399" s="116"/>
      <c r="W399" s="116"/>
      <c r="X399" s="116"/>
      <c r="Y399" s="120"/>
      <c r="Z399" s="120"/>
      <c r="AA399" s="116"/>
      <c r="AB399" s="117"/>
      <c r="AC399" s="118"/>
      <c r="AD399" s="118"/>
      <c r="AE399" s="118"/>
      <c r="AF399" s="118"/>
      <c r="AG399" s="117"/>
      <c r="AH399" s="117"/>
      <c r="AI399" s="116"/>
      <c r="AJ399" s="116"/>
      <c r="AK399" s="120"/>
      <c r="AL399" s="120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</row>
    <row r="400" spans="1:48" ht="21.1">
      <c r="A400" s="89" t="s">
        <v>597</v>
      </c>
      <c r="B400" s="219"/>
      <c r="C400" s="214"/>
      <c r="D400" s="133"/>
      <c r="E400" s="134"/>
      <c r="F400" s="135"/>
      <c r="G400" s="136"/>
      <c r="H400" s="96" t="s">
        <v>375</v>
      </c>
      <c r="I400" s="96"/>
      <c r="J400" s="128"/>
      <c r="K400" s="104"/>
      <c r="L400" s="75"/>
      <c r="M400" s="75"/>
      <c r="N400" s="75"/>
      <c r="O400" s="96" t="s">
        <v>375</v>
      </c>
      <c r="P400" s="163"/>
      <c r="Q400" s="109">
        <v>6</v>
      </c>
      <c r="R400" s="108"/>
      <c r="S400" s="100"/>
      <c r="T400" s="110"/>
      <c r="U400" s="110"/>
      <c r="V400" s="100"/>
      <c r="W400" s="100"/>
      <c r="X400" s="100" t="s">
        <v>375</v>
      </c>
      <c r="Y400" s="110" t="s">
        <v>375</v>
      </c>
      <c r="Z400" s="110"/>
      <c r="AA400" s="100" t="s">
        <v>375</v>
      </c>
      <c r="AB400" s="108"/>
      <c r="AC400" s="109" t="s">
        <v>984</v>
      </c>
      <c r="AD400" s="109" t="s">
        <v>984</v>
      </c>
      <c r="AE400" s="109" t="s">
        <v>984</v>
      </c>
      <c r="AF400" s="109"/>
      <c r="AG400" s="108"/>
      <c r="AH400" s="108"/>
      <c r="AI400" s="100"/>
      <c r="AJ400" s="100"/>
      <c r="AK400" s="110"/>
      <c r="AL400" s="11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</row>
    <row r="401" spans="1:48" ht="16.3">
      <c r="A401" s="611" t="s">
        <v>1</v>
      </c>
      <c r="B401" s="221">
        <f>SUM(J401+K401+L401+M401+N401+S401+V401+W401+X401+AA401+AI401+AJ401+AI401+AM401+AP401+AQ401+AS401+AT401+AU401+AV401+AN401)</f>
        <v>0</v>
      </c>
      <c r="C401" s="215">
        <f>B401</f>
        <v>0</v>
      </c>
      <c r="D401" s="133"/>
      <c r="E401" s="134"/>
      <c r="F401" s="135"/>
      <c r="G401" s="136"/>
      <c r="H401" s="96"/>
      <c r="I401" s="96"/>
      <c r="J401" s="128"/>
      <c r="K401" s="104"/>
      <c r="L401" s="75"/>
      <c r="M401" s="75"/>
      <c r="N401" s="75"/>
      <c r="O401" s="96"/>
      <c r="P401" s="163"/>
      <c r="Q401" s="109">
        <v>1</v>
      </c>
      <c r="R401" s="108"/>
      <c r="S401" s="100"/>
      <c r="T401" s="110"/>
      <c r="U401" s="110"/>
      <c r="V401" s="100"/>
      <c r="W401" s="100"/>
      <c r="X401" s="100"/>
      <c r="Y401" s="110"/>
      <c r="Z401" s="110"/>
      <c r="AA401" s="100"/>
      <c r="AB401" s="108"/>
      <c r="AC401" s="109"/>
      <c r="AD401" s="109"/>
      <c r="AE401" s="109"/>
      <c r="AF401" s="109"/>
      <c r="AG401" s="108"/>
      <c r="AH401" s="108"/>
      <c r="AI401" s="100"/>
      <c r="AJ401" s="100"/>
      <c r="AK401" s="110"/>
      <c r="AL401" s="11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</row>
    <row r="402" spans="1:48" ht="16.3">
      <c r="A402" s="611" t="s">
        <v>2</v>
      </c>
      <c r="B402" s="221">
        <f>SUM(J402+K402+L402+M402+N402+S402+V402+W402+X402+AA402+AI402+AJ402+AI402+AM402+AP402+AQ402+AS402+AT402+AU402+AV402)</f>
        <v>2</v>
      </c>
      <c r="C402" s="215">
        <f t="shared" ref="C402:C405" si="64">B402</f>
        <v>2</v>
      </c>
      <c r="D402" s="133"/>
      <c r="E402" s="134"/>
      <c r="F402" s="135"/>
      <c r="G402" s="136"/>
      <c r="H402" s="96">
        <v>1</v>
      </c>
      <c r="I402" s="96"/>
      <c r="J402" s="128"/>
      <c r="K402" s="104"/>
      <c r="L402" s="75"/>
      <c r="M402" s="75"/>
      <c r="N402" s="75"/>
      <c r="O402" s="96">
        <v>1</v>
      </c>
      <c r="P402" s="163"/>
      <c r="Q402" s="109"/>
      <c r="R402" s="108"/>
      <c r="S402" s="100"/>
      <c r="T402" s="110"/>
      <c r="U402" s="110"/>
      <c r="V402" s="100"/>
      <c r="W402" s="100"/>
      <c r="X402" s="100">
        <v>1</v>
      </c>
      <c r="Y402" s="110">
        <v>1</v>
      </c>
      <c r="Z402" s="110"/>
      <c r="AA402" s="100">
        <v>1</v>
      </c>
      <c r="AB402" s="108"/>
      <c r="AC402" s="109"/>
      <c r="AD402" s="109"/>
      <c r="AE402" s="109"/>
      <c r="AF402" s="109"/>
      <c r="AG402" s="108"/>
      <c r="AH402" s="108"/>
      <c r="AI402" s="100"/>
      <c r="AJ402" s="100"/>
      <c r="AK402" s="110"/>
      <c r="AL402" s="11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</row>
    <row r="403" spans="1:48" ht="16.3">
      <c r="A403" s="91" t="s">
        <v>363</v>
      </c>
      <c r="B403" s="219">
        <f>SUM(B401+B402)</f>
        <v>2</v>
      </c>
      <c r="C403" s="214">
        <f t="shared" si="64"/>
        <v>2</v>
      </c>
      <c r="D403" s="133"/>
      <c r="E403" s="134"/>
      <c r="F403" s="135"/>
      <c r="G403" s="136"/>
      <c r="H403" s="96"/>
      <c r="I403" s="96"/>
      <c r="J403" s="128"/>
      <c r="K403" s="104"/>
      <c r="L403" s="75"/>
      <c r="M403" s="75"/>
      <c r="N403" s="75"/>
      <c r="O403" s="96"/>
      <c r="P403" s="163"/>
      <c r="Q403" s="109"/>
      <c r="R403" s="108"/>
      <c r="S403" s="100"/>
      <c r="T403" s="110"/>
      <c r="U403" s="110"/>
      <c r="V403" s="100"/>
      <c r="W403" s="100"/>
      <c r="X403" s="100"/>
      <c r="Y403" s="110"/>
      <c r="Z403" s="110"/>
      <c r="AA403" s="100"/>
      <c r="AB403" s="108"/>
      <c r="AC403" s="109"/>
      <c r="AD403" s="109"/>
      <c r="AE403" s="109"/>
      <c r="AF403" s="109"/>
      <c r="AG403" s="108"/>
      <c r="AH403" s="108"/>
      <c r="AI403" s="100"/>
      <c r="AJ403" s="100"/>
      <c r="AK403" s="110"/>
      <c r="AL403" s="11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</row>
    <row r="404" spans="1:48" ht="16.3">
      <c r="A404" s="91" t="s">
        <v>3</v>
      </c>
      <c r="B404" s="219">
        <f>SUM(J404+K404+L404+M404+N404+S404+V404+W404+X404+AA404+AI404+AJ404+AI404+AM404+AP404+AQ404+AS404+AT404+AU404+AV404)</f>
        <v>0</v>
      </c>
      <c r="C404" s="214">
        <f t="shared" si="64"/>
        <v>0</v>
      </c>
      <c r="D404" s="133"/>
      <c r="E404" s="134"/>
      <c r="F404" s="135"/>
      <c r="G404" s="136"/>
      <c r="H404" s="96"/>
      <c r="I404" s="96"/>
      <c r="J404" s="128"/>
      <c r="K404" s="104"/>
      <c r="L404" s="75"/>
      <c r="M404" s="75"/>
      <c r="N404" s="75"/>
      <c r="O404" s="96"/>
      <c r="P404" s="163"/>
      <c r="Q404" s="109"/>
      <c r="R404" s="108"/>
      <c r="S404" s="100"/>
      <c r="T404" s="110"/>
      <c r="U404" s="110"/>
      <c r="V404" s="100"/>
      <c r="W404" s="100"/>
      <c r="X404" s="100"/>
      <c r="Y404" s="110"/>
      <c r="Z404" s="110"/>
      <c r="AA404" s="100"/>
      <c r="AB404" s="108"/>
      <c r="AC404" s="109"/>
      <c r="AD404" s="109"/>
      <c r="AE404" s="109"/>
      <c r="AF404" s="109"/>
      <c r="AG404" s="108"/>
      <c r="AH404" s="108"/>
      <c r="AI404" s="100"/>
      <c r="AJ404" s="100"/>
      <c r="AK404" s="110"/>
      <c r="AL404" s="11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</row>
    <row r="405" spans="1:48" ht="17" thickBot="1">
      <c r="A405" s="92" t="s">
        <v>4</v>
      </c>
      <c r="B405" s="220">
        <f>SUM(J405+K405+L405+M405+N405+S405+V405+W405+X405+AA405+AI405+AJ405+AI405+AM405+AP405+AQ405+AS405+AT405+AU405+AV405)</f>
        <v>0</v>
      </c>
      <c r="C405" s="217">
        <f t="shared" si="64"/>
        <v>0</v>
      </c>
      <c r="D405" s="144"/>
      <c r="E405" s="145"/>
      <c r="F405" s="146"/>
      <c r="G405" s="147"/>
      <c r="H405" s="114"/>
      <c r="I405" s="114"/>
      <c r="J405" s="129"/>
      <c r="K405" s="113"/>
      <c r="L405" s="112"/>
      <c r="M405" s="112"/>
      <c r="N405" s="112"/>
      <c r="O405" s="114"/>
      <c r="P405" s="164"/>
      <c r="Q405" s="118"/>
      <c r="R405" s="117"/>
      <c r="S405" s="116"/>
      <c r="T405" s="120"/>
      <c r="U405" s="120"/>
      <c r="V405" s="116"/>
      <c r="W405" s="116"/>
      <c r="X405" s="116"/>
      <c r="Y405" s="120"/>
      <c r="Z405" s="120"/>
      <c r="AA405" s="116"/>
      <c r="AB405" s="117"/>
      <c r="AC405" s="118"/>
      <c r="AD405" s="118"/>
      <c r="AE405" s="118"/>
      <c r="AF405" s="118"/>
      <c r="AG405" s="117"/>
      <c r="AH405" s="117"/>
      <c r="AI405" s="116"/>
      <c r="AJ405" s="116"/>
      <c r="AK405" s="120"/>
      <c r="AL405" s="120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</row>
    <row r="406" spans="1:48" ht="21.1">
      <c r="A406" s="89" t="s">
        <v>1014</v>
      </c>
      <c r="B406" s="219"/>
      <c r="C406" s="214"/>
      <c r="D406" s="133"/>
      <c r="E406" s="134"/>
      <c r="F406" s="135"/>
      <c r="G406" s="136"/>
      <c r="H406" s="96" t="s">
        <v>1015</v>
      </c>
      <c r="I406" s="96" t="s">
        <v>344</v>
      </c>
      <c r="J406" s="128" t="s">
        <v>344</v>
      </c>
      <c r="K406" s="104" t="s">
        <v>344</v>
      </c>
      <c r="L406" s="75" t="s">
        <v>344</v>
      </c>
      <c r="M406" s="75" t="s">
        <v>344</v>
      </c>
      <c r="N406" s="75" t="s">
        <v>344</v>
      </c>
      <c r="O406" s="96" t="s">
        <v>344</v>
      </c>
      <c r="P406" s="163" t="s">
        <v>344</v>
      </c>
      <c r="Q406" s="109" t="s">
        <v>344</v>
      </c>
      <c r="R406" s="108" t="s">
        <v>344</v>
      </c>
      <c r="S406" s="100" t="s">
        <v>344</v>
      </c>
      <c r="T406" s="110" t="s">
        <v>344</v>
      </c>
      <c r="U406" s="110" t="s">
        <v>344</v>
      </c>
      <c r="V406" s="100" t="s">
        <v>344</v>
      </c>
      <c r="W406" s="100" t="s">
        <v>344</v>
      </c>
      <c r="X406" s="100" t="s">
        <v>344</v>
      </c>
      <c r="Y406" s="110" t="s">
        <v>344</v>
      </c>
      <c r="Z406" s="110" t="s">
        <v>344</v>
      </c>
      <c r="AA406" s="100" t="s">
        <v>1008</v>
      </c>
      <c r="AB406" s="108"/>
      <c r="AC406" s="109" t="s">
        <v>432</v>
      </c>
      <c r="AD406" s="109" t="s">
        <v>375</v>
      </c>
      <c r="AE406" s="109" t="s">
        <v>375</v>
      </c>
      <c r="AF406" s="109"/>
      <c r="AG406" s="108"/>
      <c r="AH406" s="108"/>
      <c r="AI406" s="100"/>
      <c r="AJ406" s="100"/>
      <c r="AK406" s="110"/>
      <c r="AL406" s="11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</row>
    <row r="407" spans="1:48" ht="16.3">
      <c r="A407" s="611" t="s">
        <v>1</v>
      </c>
      <c r="B407" s="221">
        <f>SUM(J407+K407+L407+M407+N407+S407+V407+W407+X407+AA407+AI407+AJ407+AI407+AM407+AP407+AQ407+AS407+AT407+AU407+AV407+AN407)</f>
        <v>0</v>
      </c>
      <c r="C407" s="215">
        <f>B407</f>
        <v>0</v>
      </c>
      <c r="D407" s="133"/>
      <c r="E407" s="134"/>
      <c r="F407" s="135"/>
      <c r="G407" s="136"/>
      <c r="H407" s="96"/>
      <c r="I407" s="96"/>
      <c r="J407" s="128"/>
      <c r="K407" s="104"/>
      <c r="L407" s="75"/>
      <c r="M407" s="75"/>
      <c r="N407" s="75"/>
      <c r="O407" s="96"/>
      <c r="P407" s="163"/>
      <c r="Q407" s="109"/>
      <c r="R407" s="108"/>
      <c r="S407" s="100"/>
      <c r="T407" s="110"/>
      <c r="U407" s="110"/>
      <c r="V407" s="100"/>
      <c r="W407" s="100"/>
      <c r="X407" s="100"/>
      <c r="Y407" s="110"/>
      <c r="Z407" s="110"/>
      <c r="AA407" s="100"/>
      <c r="AB407" s="108"/>
      <c r="AC407" s="109"/>
      <c r="AD407" s="109"/>
      <c r="AE407" s="109"/>
      <c r="AF407" s="109"/>
      <c r="AG407" s="108"/>
      <c r="AH407" s="108"/>
      <c r="AI407" s="100"/>
      <c r="AJ407" s="100"/>
      <c r="AK407" s="110"/>
      <c r="AL407" s="11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</row>
    <row r="408" spans="1:48" ht="16.3">
      <c r="A408" s="611" t="s">
        <v>2</v>
      </c>
      <c r="B408" s="221">
        <f>SUM(J408+K408+L408+M408+N408+S408+V408+W408+X408+AA408+AI408+AJ408+AI408+AM408+AP408+AQ408+AS408+AT408+AU408+AV408)</f>
        <v>0</v>
      </c>
      <c r="C408" s="215">
        <f t="shared" ref="C408:C411" si="65">B408</f>
        <v>0</v>
      </c>
      <c r="D408" s="133"/>
      <c r="E408" s="134"/>
      <c r="F408" s="135"/>
      <c r="G408" s="136"/>
      <c r="H408" s="96"/>
      <c r="I408" s="96"/>
      <c r="J408" s="128"/>
      <c r="K408" s="104"/>
      <c r="L408" s="75"/>
      <c r="M408" s="75"/>
      <c r="N408" s="75"/>
      <c r="O408" s="96"/>
      <c r="P408" s="163"/>
      <c r="Q408" s="109"/>
      <c r="R408" s="108"/>
      <c r="S408" s="100"/>
      <c r="T408" s="110"/>
      <c r="U408" s="110"/>
      <c r="V408" s="100"/>
      <c r="W408" s="100"/>
      <c r="X408" s="100"/>
      <c r="Y408" s="110"/>
      <c r="Z408" s="110"/>
      <c r="AA408" s="100"/>
      <c r="AB408" s="108"/>
      <c r="AC408" s="109">
        <v>1</v>
      </c>
      <c r="AD408" s="109">
        <v>1</v>
      </c>
      <c r="AE408" s="109">
        <v>1</v>
      </c>
      <c r="AF408" s="109"/>
      <c r="AG408" s="108"/>
      <c r="AH408" s="108"/>
      <c r="AI408" s="100"/>
      <c r="AJ408" s="100"/>
      <c r="AK408" s="110"/>
      <c r="AL408" s="11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</row>
    <row r="409" spans="1:48" ht="16.3">
      <c r="A409" s="91" t="s">
        <v>363</v>
      </c>
      <c r="B409" s="219">
        <f>SUM(B407+B408)</f>
        <v>0</v>
      </c>
      <c r="C409" s="214">
        <f t="shared" si="65"/>
        <v>0</v>
      </c>
      <c r="D409" s="133"/>
      <c r="E409" s="134"/>
      <c r="F409" s="135"/>
      <c r="G409" s="136"/>
      <c r="H409" s="96"/>
      <c r="I409" s="96"/>
      <c r="J409" s="128"/>
      <c r="K409" s="104"/>
      <c r="L409" s="75"/>
      <c r="M409" s="75"/>
      <c r="N409" s="75"/>
      <c r="O409" s="96"/>
      <c r="P409" s="163"/>
      <c r="Q409" s="109"/>
      <c r="R409" s="108"/>
      <c r="S409" s="100"/>
      <c r="T409" s="110"/>
      <c r="U409" s="110"/>
      <c r="V409" s="100"/>
      <c r="W409" s="100"/>
      <c r="X409" s="100"/>
      <c r="Y409" s="110"/>
      <c r="Z409" s="110"/>
      <c r="AA409" s="100"/>
      <c r="AB409" s="108"/>
      <c r="AC409" s="109"/>
      <c r="AD409" s="109"/>
      <c r="AE409" s="109"/>
      <c r="AF409" s="109"/>
      <c r="AG409" s="108"/>
      <c r="AH409" s="108"/>
      <c r="AI409" s="100"/>
      <c r="AJ409" s="100"/>
      <c r="AK409" s="110"/>
      <c r="AL409" s="11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</row>
    <row r="410" spans="1:48" ht="16.3">
      <c r="A410" s="91" t="s">
        <v>3</v>
      </c>
      <c r="B410" s="219">
        <f>SUM(J410+K410+L410+M410+N410+S410+V410+W410+X410+AA410+AI410+AJ410+AI410+AM410+AP410+AQ410+AS410+AT410+AU410+AV410)</f>
        <v>0</v>
      </c>
      <c r="C410" s="214">
        <f t="shared" si="65"/>
        <v>0</v>
      </c>
      <c r="D410" s="133"/>
      <c r="E410" s="134"/>
      <c r="F410" s="135"/>
      <c r="G410" s="136"/>
      <c r="H410" s="96"/>
      <c r="I410" s="96"/>
      <c r="J410" s="128"/>
      <c r="K410" s="104"/>
      <c r="L410" s="75"/>
      <c r="M410" s="75"/>
      <c r="N410" s="75"/>
      <c r="O410" s="96"/>
      <c r="P410" s="163"/>
      <c r="Q410" s="109"/>
      <c r="R410" s="108"/>
      <c r="S410" s="100"/>
      <c r="T410" s="110"/>
      <c r="U410" s="110"/>
      <c r="V410" s="100"/>
      <c r="W410" s="100"/>
      <c r="X410" s="100"/>
      <c r="Y410" s="110"/>
      <c r="Z410" s="110"/>
      <c r="AA410" s="100"/>
      <c r="AB410" s="108"/>
      <c r="AC410" s="109"/>
      <c r="AD410" s="109"/>
      <c r="AE410" s="109"/>
      <c r="AF410" s="109"/>
      <c r="AG410" s="108"/>
      <c r="AH410" s="108"/>
      <c r="AI410" s="100"/>
      <c r="AJ410" s="100"/>
      <c r="AK410" s="110"/>
      <c r="AL410" s="11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</row>
    <row r="411" spans="1:48" ht="17" thickBot="1">
      <c r="A411" s="92" t="s">
        <v>4</v>
      </c>
      <c r="B411" s="220">
        <f>SUM(J411+K411+L411+M411+N411+S411+V411+W411+X411+AA411+AI411+AJ411+AI411+AM411+AP411+AQ411+AS411+AT411+AU411+AV411)</f>
        <v>0</v>
      </c>
      <c r="C411" s="217">
        <f t="shared" si="65"/>
        <v>0</v>
      </c>
      <c r="D411" s="144"/>
      <c r="E411" s="145"/>
      <c r="F411" s="146"/>
      <c r="G411" s="147"/>
      <c r="H411" s="114"/>
      <c r="I411" s="114"/>
      <c r="J411" s="129"/>
      <c r="K411" s="113"/>
      <c r="L411" s="112"/>
      <c r="M411" s="112"/>
      <c r="N411" s="112"/>
      <c r="O411" s="114"/>
      <c r="P411" s="164"/>
      <c r="Q411" s="118"/>
      <c r="R411" s="117"/>
      <c r="S411" s="116"/>
      <c r="T411" s="120"/>
      <c r="U411" s="120"/>
      <c r="V411" s="116"/>
      <c r="W411" s="116"/>
      <c r="X411" s="116"/>
      <c r="Y411" s="120"/>
      <c r="Z411" s="120"/>
      <c r="AA411" s="116"/>
      <c r="AB411" s="117"/>
      <c r="AC411" s="118"/>
      <c r="AD411" s="118"/>
      <c r="AE411" s="118"/>
      <c r="AF411" s="118"/>
      <c r="AG411" s="117"/>
      <c r="AH411" s="117"/>
      <c r="AI411" s="116"/>
      <c r="AJ411" s="116"/>
      <c r="AK411" s="120"/>
      <c r="AL411" s="120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</row>
    <row r="412" spans="1:48" ht="21.1">
      <c r="A412" s="89" t="s">
        <v>225</v>
      </c>
      <c r="B412" s="219"/>
      <c r="C412" s="214"/>
      <c r="D412" s="133"/>
      <c r="E412" s="134"/>
      <c r="F412" s="135"/>
      <c r="G412" s="136"/>
      <c r="H412" s="96" t="s">
        <v>339</v>
      </c>
      <c r="I412" s="96" t="s">
        <v>339</v>
      </c>
      <c r="J412" s="128" t="s">
        <v>339</v>
      </c>
      <c r="K412" s="104" t="s">
        <v>339</v>
      </c>
      <c r="L412" s="75" t="s">
        <v>339</v>
      </c>
      <c r="M412" s="75" t="s">
        <v>339</v>
      </c>
      <c r="N412" s="75" t="s">
        <v>339</v>
      </c>
      <c r="O412" s="96" t="s">
        <v>339</v>
      </c>
      <c r="P412" s="163"/>
      <c r="Q412" s="109" t="s">
        <v>339</v>
      </c>
      <c r="R412" s="108"/>
      <c r="S412" s="100" t="s">
        <v>339</v>
      </c>
      <c r="T412" s="110" t="s">
        <v>339</v>
      </c>
      <c r="U412" s="110" t="s">
        <v>339</v>
      </c>
      <c r="V412" s="100" t="s">
        <v>339</v>
      </c>
      <c r="W412" s="100" t="s">
        <v>339</v>
      </c>
      <c r="X412" s="100" t="s">
        <v>339</v>
      </c>
      <c r="Y412" s="110" t="s">
        <v>339</v>
      </c>
      <c r="Z412" s="110" t="s">
        <v>339</v>
      </c>
      <c r="AA412" s="100" t="s">
        <v>339</v>
      </c>
      <c r="AB412" s="108"/>
      <c r="AC412" s="109" t="s">
        <v>339</v>
      </c>
      <c r="AD412" s="109" t="s">
        <v>339</v>
      </c>
      <c r="AE412" s="109" t="s">
        <v>339</v>
      </c>
      <c r="AF412" s="109"/>
      <c r="AG412" s="108"/>
      <c r="AH412" s="108"/>
      <c r="AI412" s="100"/>
      <c r="AJ412" s="100"/>
      <c r="AK412" s="110"/>
      <c r="AL412" s="11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</row>
    <row r="413" spans="1:48" ht="16.3">
      <c r="A413" s="611" t="s">
        <v>1</v>
      </c>
      <c r="B413" s="221">
        <f>SUM(J413+K413+L413+M413+N413+S413+V413+W413+X413+AA413+AI413+AJ413+AI413+AM413+AP413+AQ413+AS413+AT413+AU413+AV413+AN413)+79</f>
        <v>79</v>
      </c>
      <c r="C413" s="215">
        <f>B413</f>
        <v>79</v>
      </c>
      <c r="D413" s="133"/>
      <c r="E413" s="134"/>
      <c r="F413" s="135"/>
      <c r="G413" s="136"/>
      <c r="H413" s="96"/>
      <c r="I413" s="96"/>
      <c r="J413" s="128"/>
      <c r="K413" s="104"/>
      <c r="L413" s="75"/>
      <c r="M413" s="75"/>
      <c r="N413" s="75"/>
      <c r="O413" s="96"/>
      <c r="P413" s="163"/>
      <c r="Q413" s="109"/>
      <c r="R413" s="108"/>
      <c r="S413" s="100"/>
      <c r="T413" s="110"/>
      <c r="U413" s="110"/>
      <c r="V413" s="100"/>
      <c r="W413" s="100"/>
      <c r="X413" s="100"/>
      <c r="Y413" s="110"/>
      <c r="Z413" s="110"/>
      <c r="AA413" s="100"/>
      <c r="AB413" s="108"/>
      <c r="AC413" s="109"/>
      <c r="AD413" s="109"/>
      <c r="AE413" s="109"/>
      <c r="AF413" s="109"/>
      <c r="AG413" s="108"/>
      <c r="AH413" s="108"/>
      <c r="AI413" s="100"/>
      <c r="AJ413" s="100"/>
      <c r="AK413" s="110"/>
      <c r="AL413" s="11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</row>
    <row r="414" spans="1:48" ht="16.3">
      <c r="A414" s="611" t="s">
        <v>2</v>
      </c>
      <c r="B414" s="221">
        <f>SUM(J414+K414+L414+M414+N414+S414+V414+W414+X414+AA414+AI414+AJ414+AI414+AM414+AP414+AQ414+AS414+AT414+AU414+AV414)+40</f>
        <v>40</v>
      </c>
      <c r="C414" s="215">
        <f t="shared" ref="C414:C417" si="66">B414</f>
        <v>40</v>
      </c>
      <c r="D414" s="133"/>
      <c r="E414" s="134"/>
      <c r="F414" s="135"/>
      <c r="G414" s="136"/>
      <c r="H414" s="96"/>
      <c r="I414" s="96"/>
      <c r="J414" s="128"/>
      <c r="K414" s="104"/>
      <c r="L414" s="75"/>
      <c r="M414" s="75"/>
      <c r="N414" s="75"/>
      <c r="O414" s="96"/>
      <c r="P414" s="163"/>
      <c r="Q414" s="109"/>
      <c r="R414" s="108"/>
      <c r="S414" s="100"/>
      <c r="T414" s="110"/>
      <c r="U414" s="110"/>
      <c r="V414" s="100"/>
      <c r="W414" s="100"/>
      <c r="X414" s="100"/>
      <c r="Y414" s="110"/>
      <c r="Z414" s="110"/>
      <c r="AA414" s="100"/>
      <c r="AB414" s="108"/>
      <c r="AC414" s="109"/>
      <c r="AD414" s="109"/>
      <c r="AE414" s="109"/>
      <c r="AF414" s="109"/>
      <c r="AG414" s="108"/>
      <c r="AH414" s="108"/>
      <c r="AI414" s="100"/>
      <c r="AJ414" s="100"/>
      <c r="AK414" s="110"/>
      <c r="AL414" s="11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</row>
    <row r="415" spans="1:48" ht="16.3">
      <c r="A415" s="91" t="s">
        <v>363</v>
      </c>
      <c r="B415" s="219">
        <f>SUM(B413+B414)</f>
        <v>119</v>
      </c>
      <c r="C415" s="214">
        <f t="shared" si="66"/>
        <v>119</v>
      </c>
      <c r="D415" s="133"/>
      <c r="E415" s="134"/>
      <c r="F415" s="135"/>
      <c r="G415" s="136"/>
      <c r="H415" s="96"/>
      <c r="I415" s="96"/>
      <c r="J415" s="128"/>
      <c r="K415" s="104"/>
      <c r="L415" s="75"/>
      <c r="M415" s="75"/>
      <c r="N415" s="75"/>
      <c r="O415" s="96"/>
      <c r="P415" s="163"/>
      <c r="Q415" s="109"/>
      <c r="R415" s="108"/>
      <c r="S415" s="100"/>
      <c r="T415" s="110"/>
      <c r="U415" s="110"/>
      <c r="V415" s="100"/>
      <c r="W415" s="100"/>
      <c r="X415" s="100"/>
      <c r="Y415" s="110"/>
      <c r="Z415" s="110"/>
      <c r="AA415" s="100"/>
      <c r="AB415" s="108"/>
      <c r="AC415" s="109"/>
      <c r="AD415" s="109"/>
      <c r="AE415" s="109"/>
      <c r="AF415" s="109"/>
      <c r="AG415" s="108"/>
      <c r="AH415" s="108"/>
      <c r="AI415" s="100"/>
      <c r="AJ415" s="100"/>
      <c r="AK415" s="110"/>
      <c r="AL415" s="11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</row>
    <row r="416" spans="1:48" ht="16.3">
      <c r="A416" s="611" t="s">
        <v>366</v>
      </c>
      <c r="B416" s="221">
        <f>SUM(J416+K416+L416+M416+N416+S416+V416+W416+X416+AA416+AI416+AJ416+AI416+AM416+AP416+AQ416+AS416+AT416+AU416+AV416)+7</f>
        <v>7</v>
      </c>
      <c r="C416" s="215">
        <f t="shared" si="66"/>
        <v>7</v>
      </c>
      <c r="D416" s="133"/>
      <c r="E416" s="134"/>
      <c r="F416" s="135"/>
      <c r="G416" s="136"/>
      <c r="H416" s="96"/>
      <c r="I416" s="96"/>
      <c r="J416" s="128"/>
      <c r="K416" s="104"/>
      <c r="L416" s="75"/>
      <c r="M416" s="75"/>
      <c r="N416" s="75"/>
      <c r="O416" s="96"/>
      <c r="P416" s="163"/>
      <c r="Q416" s="109"/>
      <c r="R416" s="108"/>
      <c r="S416" s="100"/>
      <c r="T416" s="110"/>
      <c r="U416" s="110"/>
      <c r="V416" s="100"/>
      <c r="W416" s="100"/>
      <c r="X416" s="100"/>
      <c r="Y416" s="110"/>
      <c r="Z416" s="110"/>
      <c r="AA416" s="100"/>
      <c r="AB416" s="108"/>
      <c r="AC416" s="109"/>
      <c r="AD416" s="109"/>
      <c r="AE416" s="109"/>
      <c r="AF416" s="109"/>
      <c r="AG416" s="108"/>
      <c r="AH416" s="108"/>
      <c r="AI416" s="100"/>
      <c r="AJ416" s="100"/>
      <c r="AK416" s="110"/>
      <c r="AL416" s="11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</row>
    <row r="417" spans="1:48" ht="16.3">
      <c r="A417" s="611" t="s">
        <v>362</v>
      </c>
      <c r="B417" s="221">
        <f>SUM(J417+K417+L417+M417+N417+S417+V417+W417+X417+AA417+AI417+AJ417+AI417+AM417+AP417+AQ417+AS417+AT417+AU417+AV417)+7</f>
        <v>7</v>
      </c>
      <c r="C417" s="215">
        <f t="shared" si="66"/>
        <v>7</v>
      </c>
      <c r="D417" s="133"/>
      <c r="E417" s="134"/>
      <c r="F417" s="135"/>
      <c r="G417" s="136"/>
      <c r="H417" s="96"/>
      <c r="I417" s="96"/>
      <c r="J417" s="128"/>
      <c r="K417" s="104"/>
      <c r="L417" s="75"/>
      <c r="M417" s="75"/>
      <c r="N417" s="75"/>
      <c r="O417" s="96"/>
      <c r="P417" s="163"/>
      <c r="Q417" s="109"/>
      <c r="R417" s="108"/>
      <c r="S417" s="100"/>
      <c r="T417" s="110"/>
      <c r="U417" s="110"/>
      <c r="V417" s="100"/>
      <c r="W417" s="100"/>
      <c r="X417" s="100"/>
      <c r="Y417" s="110"/>
      <c r="Z417" s="110"/>
      <c r="AA417" s="100"/>
      <c r="AB417" s="108"/>
      <c r="AC417" s="109"/>
      <c r="AD417" s="109"/>
      <c r="AE417" s="109"/>
      <c r="AF417" s="109"/>
      <c r="AG417" s="108"/>
      <c r="AH417" s="108"/>
      <c r="AI417" s="100"/>
      <c r="AJ417" s="100"/>
      <c r="AK417" s="110"/>
      <c r="AL417" s="11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</row>
    <row r="418" spans="1:48" ht="16.3">
      <c r="A418" s="91" t="s">
        <v>3</v>
      </c>
      <c r="B418" s="219">
        <f>SUM(J418+K418+L418+M418+N418+S418+V418+W418+X418+AA418+AI418+AJ418+AI418+AM418+AP418+AQ418+AS418+AT418+AU418+AV418)+11</f>
        <v>11</v>
      </c>
      <c r="C418" s="214">
        <f t="shared" ref="C418:C419" si="67">B418</f>
        <v>11</v>
      </c>
      <c r="D418" s="133"/>
      <c r="E418" s="134"/>
      <c r="F418" s="135"/>
      <c r="G418" s="136"/>
      <c r="H418" s="96"/>
      <c r="I418" s="96"/>
      <c r="J418" s="128"/>
      <c r="K418" s="104"/>
      <c r="L418" s="75"/>
      <c r="M418" s="75"/>
      <c r="N418" s="75"/>
      <c r="O418" s="96"/>
      <c r="P418" s="163"/>
      <c r="Q418" s="109"/>
      <c r="R418" s="108"/>
      <c r="S418" s="100"/>
      <c r="T418" s="110"/>
      <c r="U418" s="110"/>
      <c r="V418" s="100"/>
      <c r="W418" s="100"/>
      <c r="X418" s="100"/>
      <c r="Y418" s="110"/>
      <c r="Z418" s="110"/>
      <c r="AA418" s="100"/>
      <c r="AB418" s="108"/>
      <c r="AC418" s="109"/>
      <c r="AD418" s="109"/>
      <c r="AE418" s="109"/>
      <c r="AF418" s="109"/>
      <c r="AG418" s="108"/>
      <c r="AH418" s="108"/>
      <c r="AI418" s="100"/>
      <c r="AJ418" s="100"/>
      <c r="AK418" s="110"/>
      <c r="AL418" s="11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</row>
    <row r="419" spans="1:48" ht="17" thickBot="1">
      <c r="A419" s="92" t="s">
        <v>4</v>
      </c>
      <c r="B419" s="220">
        <f>SUM(J419+K419+L419+M419+N419+S419+V419+W419+X419+AA419+AI419+AJ419+AI419+AM419+AP419+AQ419+AS419+AT419+AU419+AV419)+55</f>
        <v>55</v>
      </c>
      <c r="C419" s="217">
        <f t="shared" si="67"/>
        <v>55</v>
      </c>
      <c r="D419" s="144"/>
      <c r="E419" s="145"/>
      <c r="F419" s="146"/>
      <c r="G419" s="147"/>
      <c r="H419" s="114"/>
      <c r="I419" s="114"/>
      <c r="J419" s="129"/>
      <c r="K419" s="113"/>
      <c r="L419" s="112"/>
      <c r="M419" s="112"/>
      <c r="N419" s="112"/>
      <c r="O419" s="114"/>
      <c r="P419" s="164"/>
      <c r="Q419" s="118"/>
      <c r="R419" s="117"/>
      <c r="S419" s="116"/>
      <c r="T419" s="120"/>
      <c r="U419" s="119"/>
      <c r="V419" s="100"/>
      <c r="W419" s="100"/>
      <c r="X419" s="100"/>
      <c r="Y419" s="110"/>
      <c r="Z419" s="110"/>
      <c r="AA419" s="100"/>
      <c r="AB419" s="108"/>
      <c r="AC419" s="109"/>
      <c r="AD419" s="109"/>
      <c r="AE419" s="109"/>
      <c r="AF419" s="109"/>
      <c r="AG419" s="108"/>
      <c r="AH419" s="108"/>
      <c r="AI419" s="100"/>
      <c r="AJ419" s="100"/>
      <c r="AK419" s="110"/>
      <c r="AL419" s="11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</row>
    <row r="420" spans="1:48" ht="21.1">
      <c r="A420" s="89" t="s">
        <v>41</v>
      </c>
      <c r="B420" s="219"/>
      <c r="C420" s="214"/>
      <c r="D420" s="133"/>
      <c r="E420" s="134"/>
      <c r="F420" s="135"/>
      <c r="G420" s="136"/>
      <c r="H420" s="96"/>
      <c r="I420" s="96">
        <v>6</v>
      </c>
      <c r="J420" s="128">
        <v>6</v>
      </c>
      <c r="K420" s="104" t="s">
        <v>382</v>
      </c>
      <c r="L420" s="75">
        <v>6</v>
      </c>
      <c r="M420" s="75">
        <v>6</v>
      </c>
      <c r="N420" s="75" t="s">
        <v>382</v>
      </c>
      <c r="O420" s="96" t="s">
        <v>775</v>
      </c>
      <c r="P420" s="163"/>
      <c r="Q420" s="109" t="s">
        <v>775</v>
      </c>
      <c r="R420" s="108"/>
      <c r="S420" s="100" t="s">
        <v>375</v>
      </c>
      <c r="T420" s="110"/>
      <c r="U420" s="110">
        <v>6</v>
      </c>
      <c r="V420" s="102">
        <v>7</v>
      </c>
      <c r="W420" s="102">
        <v>6</v>
      </c>
      <c r="X420" s="102">
        <v>7</v>
      </c>
      <c r="Y420" s="101" t="s">
        <v>373</v>
      </c>
      <c r="Z420" s="101" t="s">
        <v>373</v>
      </c>
      <c r="AA420" s="102" t="s">
        <v>373</v>
      </c>
      <c r="AB420" s="98"/>
      <c r="AC420" s="99" t="s">
        <v>816</v>
      </c>
      <c r="AD420" s="99" t="s">
        <v>775</v>
      </c>
      <c r="AE420" s="99" t="s">
        <v>375</v>
      </c>
      <c r="AF420" s="99">
        <v>7</v>
      </c>
      <c r="AG420" s="98"/>
      <c r="AH420" s="98"/>
      <c r="AI420" s="102"/>
      <c r="AJ420" s="102"/>
      <c r="AK420" s="101"/>
      <c r="AL420" s="101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</row>
    <row r="421" spans="1:48" ht="16.3">
      <c r="A421" s="611" t="s">
        <v>1</v>
      </c>
      <c r="B421" s="221">
        <f>SUM(J421+K421+L421+M421+N421+S421+V421+W421+X421+AA421+AI421+AJ421+AI421+AM421+AP421+AQ421+AS421+AT421+AU421+AV421+AN421)+51</f>
        <v>60</v>
      </c>
      <c r="C421" s="215">
        <f>B421</f>
        <v>60</v>
      </c>
      <c r="D421" s="139"/>
      <c r="E421" s="140"/>
      <c r="F421" s="135"/>
      <c r="G421" s="136"/>
      <c r="H421" s="96"/>
      <c r="I421" s="96">
        <v>1</v>
      </c>
      <c r="J421" s="128">
        <v>1</v>
      </c>
      <c r="K421" s="104">
        <v>1</v>
      </c>
      <c r="L421" s="75">
        <v>1</v>
      </c>
      <c r="M421" s="75">
        <v>1</v>
      </c>
      <c r="N421" s="75">
        <v>1</v>
      </c>
      <c r="O421" s="96"/>
      <c r="P421" s="105"/>
      <c r="Q421" s="96"/>
      <c r="R421" s="105"/>
      <c r="S421" s="75"/>
      <c r="T421" s="106"/>
      <c r="U421" s="106">
        <v>1</v>
      </c>
      <c r="V421" s="75">
        <v>1</v>
      </c>
      <c r="W421" s="75">
        <v>1</v>
      </c>
      <c r="X421" s="75">
        <v>1</v>
      </c>
      <c r="Y421" s="106">
        <v>1</v>
      </c>
      <c r="Z421" s="106">
        <v>1</v>
      </c>
      <c r="AA421" s="75">
        <v>1</v>
      </c>
      <c r="AB421" s="105"/>
      <c r="AC421" s="96"/>
      <c r="AD421" s="96"/>
      <c r="AE421" s="96"/>
      <c r="AF421" s="96">
        <v>1</v>
      </c>
      <c r="AG421" s="105"/>
      <c r="AH421" s="105"/>
      <c r="AI421" s="75"/>
      <c r="AJ421" s="75"/>
      <c r="AK421" s="106"/>
      <c r="AL421" s="106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</row>
    <row r="422" spans="1:48" ht="16.3">
      <c r="A422" s="611" t="s">
        <v>2</v>
      </c>
      <c r="B422" s="221">
        <f>SUM(J422+K422+L422+M422+N422+S422+V422+W422+X422+AA422+AI422+AJ422+AI422+AM422+AP422+AQ422+AS422+AT422+AU422+AV422)+6</f>
        <v>7</v>
      </c>
      <c r="C422" s="215">
        <f t="shared" ref="C422:C426" si="68">B422</f>
        <v>7</v>
      </c>
      <c r="D422" s="139"/>
      <c r="E422" s="140"/>
      <c r="F422" s="135"/>
      <c r="G422" s="136"/>
      <c r="H422" s="96"/>
      <c r="I422" s="96"/>
      <c r="J422" s="128"/>
      <c r="K422" s="104"/>
      <c r="L422" s="75"/>
      <c r="M422" s="75"/>
      <c r="N422" s="75"/>
      <c r="O422" s="96"/>
      <c r="P422" s="163"/>
      <c r="Q422" s="109"/>
      <c r="R422" s="108"/>
      <c r="S422" s="100">
        <v>1</v>
      </c>
      <c r="T422" s="110"/>
      <c r="U422" s="110"/>
      <c r="V422" s="100"/>
      <c r="W422" s="100"/>
      <c r="X422" s="100"/>
      <c r="Y422" s="110"/>
      <c r="Z422" s="110"/>
      <c r="AA422" s="100"/>
      <c r="AB422" s="108"/>
      <c r="AC422" s="109"/>
      <c r="AD422" s="109"/>
      <c r="AE422" s="109">
        <v>1</v>
      </c>
      <c r="AF422" s="109"/>
      <c r="AG422" s="108"/>
      <c r="AH422" s="108"/>
      <c r="AI422" s="100"/>
      <c r="AJ422" s="100"/>
      <c r="AK422" s="110"/>
      <c r="AL422" s="11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</row>
    <row r="423" spans="1:48" ht="16.3">
      <c r="A423" s="629" t="s">
        <v>363</v>
      </c>
      <c r="B423" s="219">
        <f>SUM(B421+B422)</f>
        <v>67</v>
      </c>
      <c r="C423" s="214">
        <f t="shared" si="68"/>
        <v>67</v>
      </c>
      <c r="D423" s="133"/>
      <c r="E423" s="134"/>
      <c r="F423" s="135"/>
      <c r="G423" s="136"/>
      <c r="H423" s="96"/>
      <c r="I423" s="96"/>
      <c r="J423" s="128"/>
      <c r="K423" s="104"/>
      <c r="L423" s="75"/>
      <c r="M423" s="75"/>
      <c r="N423" s="75"/>
      <c r="O423" s="96"/>
      <c r="P423" s="163"/>
      <c r="Q423" s="109"/>
      <c r="R423" s="108"/>
      <c r="S423" s="100"/>
      <c r="T423" s="110"/>
      <c r="U423" s="110"/>
      <c r="V423" s="100"/>
      <c r="W423" s="100"/>
      <c r="X423" s="100"/>
      <c r="Y423" s="110"/>
      <c r="Z423" s="110"/>
      <c r="AA423" s="100"/>
      <c r="AB423" s="108"/>
      <c r="AC423" s="109"/>
      <c r="AD423" s="109"/>
      <c r="AE423" s="109"/>
      <c r="AF423" s="109"/>
      <c r="AG423" s="108"/>
      <c r="AH423" s="108"/>
      <c r="AI423" s="100"/>
      <c r="AJ423" s="100"/>
      <c r="AK423" s="110"/>
      <c r="AL423" s="11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</row>
    <row r="424" spans="1:48" ht="16.3">
      <c r="A424" s="611" t="s">
        <v>362</v>
      </c>
      <c r="B424" s="221">
        <f>SUM(J424+K424+L424+M424+N424+S424+V424+W424+X424+AA424+AI424+AJ424+AI424+AM424+AP424+AQ424+AS424+AT424+AU424+AV424)+2</f>
        <v>2</v>
      </c>
      <c r="C424" s="215">
        <f t="shared" si="68"/>
        <v>2</v>
      </c>
      <c r="D424" s="133"/>
      <c r="E424" s="134"/>
      <c r="F424" s="135"/>
      <c r="G424" s="136"/>
      <c r="H424" s="96"/>
      <c r="I424" s="96"/>
      <c r="J424" s="128"/>
      <c r="K424" s="104"/>
      <c r="L424" s="75"/>
      <c r="M424" s="75"/>
      <c r="N424" s="75"/>
      <c r="O424" s="96"/>
      <c r="P424" s="163"/>
      <c r="Q424" s="109"/>
      <c r="R424" s="108"/>
      <c r="S424" s="100"/>
      <c r="T424" s="110"/>
      <c r="U424" s="110"/>
      <c r="V424" s="100"/>
      <c r="W424" s="100"/>
      <c r="X424" s="100"/>
      <c r="Y424" s="110"/>
      <c r="Z424" s="110"/>
      <c r="AA424" s="100"/>
      <c r="AB424" s="108"/>
      <c r="AC424" s="109"/>
      <c r="AD424" s="109"/>
      <c r="AE424" s="109"/>
      <c r="AF424" s="109"/>
      <c r="AG424" s="108"/>
      <c r="AH424" s="108"/>
      <c r="AI424" s="100"/>
      <c r="AJ424" s="100"/>
      <c r="AK424" s="110"/>
      <c r="AL424" s="11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</row>
    <row r="425" spans="1:48" ht="16.3">
      <c r="A425" s="91" t="s">
        <v>3</v>
      </c>
      <c r="B425" s="219">
        <f>SUM(J425+K425+L425+M425+N425+S425+V425+W425+X425+AA425+AI425+AJ425+AI425+AM425+AP425+AQ425+AS425+AT425+AU425+AV425)+6</f>
        <v>7</v>
      </c>
      <c r="C425" s="214">
        <f t="shared" si="68"/>
        <v>7</v>
      </c>
      <c r="D425" s="133"/>
      <c r="E425" s="134"/>
      <c r="F425" s="135"/>
      <c r="G425" s="136"/>
      <c r="H425" s="96"/>
      <c r="I425" s="96"/>
      <c r="J425" s="128">
        <v>1</v>
      </c>
      <c r="K425" s="104"/>
      <c r="L425" s="75"/>
      <c r="M425" s="75"/>
      <c r="N425" s="75"/>
      <c r="O425" s="96"/>
      <c r="P425" s="163"/>
      <c r="Q425" s="109"/>
      <c r="R425" s="108"/>
      <c r="S425" s="100"/>
      <c r="T425" s="110"/>
      <c r="U425" s="110"/>
      <c r="V425" s="100"/>
      <c r="W425" s="100"/>
      <c r="X425" s="100"/>
      <c r="Y425" s="110">
        <v>1</v>
      </c>
      <c r="Z425" s="110"/>
      <c r="AA425" s="100"/>
      <c r="AB425" s="108"/>
      <c r="AC425" s="109"/>
      <c r="AD425" s="109"/>
      <c r="AE425" s="109"/>
      <c r="AF425" s="109"/>
      <c r="AG425" s="108"/>
      <c r="AH425" s="108"/>
      <c r="AI425" s="100"/>
      <c r="AJ425" s="100"/>
      <c r="AK425" s="110"/>
      <c r="AL425" s="11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</row>
    <row r="426" spans="1:48" ht="17" thickBot="1">
      <c r="A426" s="92" t="s">
        <v>4</v>
      </c>
      <c r="B426" s="220">
        <f>SUM(J426+K426+L426+M426+N426+S426+V426+W426+X426+AA426+AI426+AJ426+AI426+AM426+AP426+AQ426+AS426+AT426+AU426+AV426)+30</f>
        <v>35</v>
      </c>
      <c r="C426" s="217">
        <f t="shared" si="68"/>
        <v>35</v>
      </c>
      <c r="D426" s="144"/>
      <c r="E426" s="145"/>
      <c r="F426" s="146"/>
      <c r="G426" s="147"/>
      <c r="H426" s="114"/>
      <c r="I426" s="114"/>
      <c r="J426" s="129">
        <v>5</v>
      </c>
      <c r="K426" s="113"/>
      <c r="L426" s="112"/>
      <c r="M426" s="112"/>
      <c r="N426" s="112"/>
      <c r="O426" s="114"/>
      <c r="P426" s="164"/>
      <c r="Q426" s="109"/>
      <c r="R426" s="108"/>
      <c r="S426" s="116"/>
      <c r="T426" s="120"/>
      <c r="U426" s="120"/>
      <c r="V426" s="112"/>
      <c r="W426" s="100"/>
      <c r="X426" s="100"/>
      <c r="Y426" s="110">
        <v>5</v>
      </c>
      <c r="Z426" s="110"/>
      <c r="AA426" s="100"/>
      <c r="AB426" s="108"/>
      <c r="AC426" s="109"/>
      <c r="AD426" s="109"/>
      <c r="AE426" s="109"/>
      <c r="AF426" s="109"/>
      <c r="AG426" s="108"/>
      <c r="AH426" s="108"/>
      <c r="AI426" s="100"/>
      <c r="AJ426" s="100"/>
      <c r="AK426" s="110"/>
      <c r="AL426" s="11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</row>
    <row r="427" spans="1:48" ht="21.1">
      <c r="A427" s="89" t="s">
        <v>42</v>
      </c>
      <c r="B427" s="224"/>
      <c r="C427" s="227"/>
      <c r="D427" s="158"/>
      <c r="E427" s="158"/>
      <c r="F427" s="96"/>
      <c r="G427" s="75"/>
      <c r="H427" s="96">
        <v>7</v>
      </c>
      <c r="I427" s="96">
        <v>8</v>
      </c>
      <c r="J427" s="75"/>
      <c r="K427" s="128"/>
      <c r="L427" s="75"/>
      <c r="M427" s="75"/>
      <c r="N427" s="75"/>
      <c r="O427" s="96"/>
      <c r="P427" s="105"/>
      <c r="Q427" s="99"/>
      <c r="R427" s="98"/>
      <c r="S427" s="100"/>
      <c r="T427" s="110" t="s">
        <v>374</v>
      </c>
      <c r="U427" s="110"/>
      <c r="V427" s="100"/>
      <c r="W427" s="102">
        <v>7</v>
      </c>
      <c r="X427" s="102"/>
      <c r="Y427" s="101" t="s">
        <v>375</v>
      </c>
      <c r="Z427" s="101" t="s">
        <v>375</v>
      </c>
      <c r="AA427" s="102" t="s">
        <v>375</v>
      </c>
      <c r="AB427" s="98"/>
      <c r="AC427" s="99">
        <v>8</v>
      </c>
      <c r="AD427" s="99">
        <v>7</v>
      </c>
      <c r="AE427" s="99" t="s">
        <v>382</v>
      </c>
      <c r="AF427" s="99"/>
      <c r="AG427" s="98"/>
      <c r="AH427" s="98"/>
      <c r="AI427" s="102"/>
      <c r="AJ427" s="102"/>
      <c r="AK427" s="101"/>
      <c r="AL427" s="101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</row>
    <row r="428" spans="1:48" ht="16.3">
      <c r="A428" s="611" t="s">
        <v>1</v>
      </c>
      <c r="B428" s="230">
        <f>SUM(J428+K428+L428+M428+N428+S428+V428+W428+X428+AA428+AI428+AJ428+AI428+AM428+AP428+AQ428+AS428+AT428+AU428+AV428+AN428)+42</f>
        <v>43</v>
      </c>
      <c r="C428" s="231">
        <f>SUM(K428+L428+M428+N428+J428+S428+W428+X428+V428+AA428+AJ428+AI428+AJ428+AM428+AN428+AQ428+AP428+AT428+AU428+AV428+AS428+AO428)+45</f>
        <v>46</v>
      </c>
      <c r="D428" s="159"/>
      <c r="E428" s="158"/>
      <c r="F428" s="96"/>
      <c r="G428" s="75"/>
      <c r="H428" s="96">
        <v>1</v>
      </c>
      <c r="I428" s="96">
        <v>1</v>
      </c>
      <c r="J428" s="75"/>
      <c r="K428" s="128"/>
      <c r="L428" s="75"/>
      <c r="M428" s="75"/>
      <c r="N428" s="75"/>
      <c r="O428" s="96"/>
      <c r="P428" s="105"/>
      <c r="Q428" s="96"/>
      <c r="R428" s="105"/>
      <c r="S428" s="75"/>
      <c r="T428" s="106">
        <v>1</v>
      </c>
      <c r="U428" s="106"/>
      <c r="V428" s="75"/>
      <c r="W428" s="75">
        <v>1</v>
      </c>
      <c r="X428" s="75"/>
      <c r="Y428" s="106"/>
      <c r="Z428" s="106"/>
      <c r="AA428" s="75"/>
      <c r="AB428" s="105"/>
      <c r="AC428" s="96">
        <v>1</v>
      </c>
      <c r="AD428" s="96">
        <v>1</v>
      </c>
      <c r="AE428" s="96">
        <v>1</v>
      </c>
      <c r="AF428" s="96"/>
      <c r="AG428" s="105"/>
      <c r="AH428" s="105"/>
      <c r="AI428" s="75"/>
      <c r="AJ428" s="75"/>
      <c r="AK428" s="106"/>
      <c r="AL428" s="106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</row>
    <row r="429" spans="1:48" ht="16.3">
      <c r="A429" s="611" t="s">
        <v>2</v>
      </c>
      <c r="B429" s="230">
        <f>SUM(J429+K429+L429+M429+N429+S429+V429+W429+X429+AA429+AI429+AJ429+AI429+AM429+AP429+AQ429+AS429+AT429+AU429+AV429)+25</f>
        <v>26</v>
      </c>
      <c r="C429" s="231">
        <f>SUM(K429+L429+M429+N429+J429+S429+W429+X429+V429+AA429+AJ429+AI429+AJ429+AM429+AN429+AQ429+AP429+AT429+AU429+AV429+AS429+AO429)+30</f>
        <v>31</v>
      </c>
      <c r="D429" s="159"/>
      <c r="E429" s="158"/>
      <c r="F429" s="96"/>
      <c r="G429" s="75"/>
      <c r="H429" s="96"/>
      <c r="I429" s="96"/>
      <c r="J429" s="75"/>
      <c r="K429" s="128"/>
      <c r="L429" s="75"/>
      <c r="M429" s="75"/>
      <c r="N429" s="75"/>
      <c r="O429" s="96"/>
      <c r="P429" s="163"/>
      <c r="Q429" s="109"/>
      <c r="R429" s="108"/>
      <c r="S429" s="100"/>
      <c r="T429" s="110"/>
      <c r="U429" s="110"/>
      <c r="V429" s="100"/>
      <c r="W429" s="100"/>
      <c r="X429" s="100"/>
      <c r="Y429" s="110">
        <v>1</v>
      </c>
      <c r="Z429" s="110">
        <v>1</v>
      </c>
      <c r="AA429" s="100">
        <v>1</v>
      </c>
      <c r="AB429" s="108"/>
      <c r="AC429" s="109"/>
      <c r="AD429" s="109"/>
      <c r="AE429" s="109"/>
      <c r="AF429" s="109"/>
      <c r="AG429" s="108"/>
      <c r="AH429" s="108"/>
      <c r="AI429" s="100"/>
      <c r="AJ429" s="100"/>
      <c r="AK429" s="110"/>
      <c r="AL429" s="11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</row>
    <row r="430" spans="1:48" ht="16.3">
      <c r="A430" s="91" t="s">
        <v>363</v>
      </c>
      <c r="B430" s="224">
        <f>SUM(B428+B429)</f>
        <v>69</v>
      </c>
      <c r="C430" s="227">
        <f>SUM(C428+C429)</f>
        <v>77</v>
      </c>
      <c r="D430" s="159"/>
      <c r="E430" s="158"/>
      <c r="F430" s="96"/>
      <c r="G430" s="75"/>
      <c r="H430" s="96"/>
      <c r="I430" s="96"/>
      <c r="J430" s="75"/>
      <c r="K430" s="128"/>
      <c r="L430" s="75"/>
      <c r="M430" s="75"/>
      <c r="N430" s="75"/>
      <c r="O430" s="96"/>
      <c r="P430" s="163"/>
      <c r="Q430" s="109"/>
      <c r="R430" s="108"/>
      <c r="S430" s="100"/>
      <c r="T430" s="110"/>
      <c r="U430" s="110"/>
      <c r="V430" s="100"/>
      <c r="W430" s="100"/>
      <c r="X430" s="100"/>
      <c r="Y430" s="110"/>
      <c r="Z430" s="110"/>
      <c r="AA430" s="100"/>
      <c r="AB430" s="108"/>
      <c r="AC430" s="109"/>
      <c r="AD430" s="109"/>
      <c r="AE430" s="109"/>
      <c r="AF430" s="109"/>
      <c r="AG430" s="108"/>
      <c r="AH430" s="108"/>
      <c r="AI430" s="100"/>
      <c r="AJ430" s="100"/>
      <c r="AK430" s="110"/>
      <c r="AL430" s="11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</row>
    <row r="431" spans="1:48" ht="16.3">
      <c r="A431" s="611" t="s">
        <v>362</v>
      </c>
      <c r="B431" s="230">
        <f>SUM(J431+K431+L431+M431+N431+S431+V431+W431+X431+AA431+AI431+AJ431+AI431+AM431+AP431+AQ431+AS431+AT431+AU431+AV431)+1</f>
        <v>1</v>
      </c>
      <c r="C431" s="231">
        <f>SUM(K431+L431+M431+N431+J431+S431+W431+X431+V431+AA431+AJ431+AI431+AJ431+AM431+AN431+AQ431+AP431+AT431+AU431+AV431+AS431+AO431)+1</f>
        <v>1</v>
      </c>
      <c r="D431" s="159"/>
      <c r="E431" s="158"/>
      <c r="F431" s="96"/>
      <c r="G431" s="75"/>
      <c r="H431" s="96"/>
      <c r="I431" s="96"/>
      <c r="J431" s="75"/>
      <c r="K431" s="128"/>
      <c r="L431" s="75"/>
      <c r="M431" s="75"/>
      <c r="N431" s="75"/>
      <c r="O431" s="96"/>
      <c r="P431" s="163"/>
      <c r="Q431" s="109"/>
      <c r="R431" s="108"/>
      <c r="S431" s="100"/>
      <c r="T431" s="110"/>
      <c r="U431" s="110"/>
      <c r="V431" s="100"/>
      <c r="W431" s="100"/>
      <c r="X431" s="100"/>
      <c r="Y431" s="110"/>
      <c r="Z431" s="110"/>
      <c r="AA431" s="100"/>
      <c r="AB431" s="108"/>
      <c r="AC431" s="109"/>
      <c r="AD431" s="109"/>
      <c r="AE431" s="109"/>
      <c r="AF431" s="109"/>
      <c r="AG431" s="108"/>
      <c r="AH431" s="108"/>
      <c r="AI431" s="100"/>
      <c r="AJ431" s="100"/>
      <c r="AK431" s="110"/>
      <c r="AL431" s="11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</row>
    <row r="432" spans="1:48" ht="16.3">
      <c r="A432" s="611" t="s">
        <v>366</v>
      </c>
      <c r="B432" s="230">
        <f>SUM(J432+K432+L432+M432+N432+S432+V432+W432+X432+AA432+AI432+AJ432+AI432+AM432+AP432+AQ432+AS432+AT432+AU432+AV432)+1</f>
        <v>1</v>
      </c>
      <c r="C432" s="231">
        <f>SUM(K432+L432+M432+N432+J432+S432+W432+X432+V432+AA432+AJ432+AI432+AJ432+AM432+AN432+AQ432+AP432+AT432+AU432+AV432+AS432+AO432)+1</f>
        <v>1</v>
      </c>
      <c r="D432" s="159"/>
      <c r="E432" s="158"/>
      <c r="F432" s="96"/>
      <c r="G432" s="75"/>
      <c r="H432" s="96"/>
      <c r="I432" s="96"/>
      <c r="J432" s="75"/>
      <c r="K432" s="128"/>
      <c r="L432" s="75"/>
      <c r="M432" s="75"/>
      <c r="N432" s="75"/>
      <c r="O432" s="96"/>
      <c r="P432" s="163"/>
      <c r="Q432" s="109"/>
      <c r="R432" s="108"/>
      <c r="S432" s="100"/>
      <c r="T432" s="110"/>
      <c r="U432" s="110"/>
      <c r="V432" s="100"/>
      <c r="W432" s="100"/>
      <c r="X432" s="100"/>
      <c r="Y432" s="110"/>
      <c r="Z432" s="110"/>
      <c r="AA432" s="100"/>
      <c r="AB432" s="108"/>
      <c r="AC432" s="109"/>
      <c r="AD432" s="109"/>
      <c r="AE432" s="109"/>
      <c r="AF432" s="109"/>
      <c r="AG432" s="108"/>
      <c r="AH432" s="108"/>
      <c r="AI432" s="100"/>
      <c r="AJ432" s="100"/>
      <c r="AK432" s="110"/>
      <c r="AL432" s="11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</row>
    <row r="433" spans="1:48" ht="16.3">
      <c r="A433" s="91" t="s">
        <v>3</v>
      </c>
      <c r="B433" s="224">
        <f>SUM(J433+K433+L433+M433+N433+S433+V433+W433+X433+AA433+AI433+AJ433+AI433+AM433+AP433+AQ433+AS433+AT433+AU433+AV433)+4</f>
        <v>4</v>
      </c>
      <c r="C433" s="227">
        <f>SUM(K433+L433+M433+N433+J433+S433+W433+X433+V433+AA433+AJ433+AI433+AJ433+AM433+AN433+AQ433+AP433+AT433+AU433+AV433+AS433+AO433)+6</f>
        <v>6</v>
      </c>
      <c r="D433" s="159"/>
      <c r="E433" s="158"/>
      <c r="F433" s="96"/>
      <c r="G433" s="75"/>
      <c r="H433" s="96"/>
      <c r="I433" s="96"/>
      <c r="J433" s="75"/>
      <c r="K433" s="128"/>
      <c r="L433" s="75"/>
      <c r="M433" s="75"/>
      <c r="N433" s="75"/>
      <c r="O433" s="96"/>
      <c r="P433" s="163"/>
      <c r="Q433" s="109"/>
      <c r="R433" s="108"/>
      <c r="S433" s="100"/>
      <c r="T433" s="110"/>
      <c r="U433" s="110"/>
      <c r="V433" s="100"/>
      <c r="W433" s="100"/>
      <c r="X433" s="100"/>
      <c r="Y433" s="110"/>
      <c r="Z433" s="110">
        <v>1</v>
      </c>
      <c r="AA433" s="100"/>
      <c r="AB433" s="108"/>
      <c r="AC433" s="109">
        <v>1</v>
      </c>
      <c r="AD433" s="109">
        <v>1</v>
      </c>
      <c r="AE433" s="109"/>
      <c r="AF433" s="109"/>
      <c r="AG433" s="108"/>
      <c r="AH433" s="108"/>
      <c r="AI433" s="100"/>
      <c r="AJ433" s="100"/>
      <c r="AK433" s="110"/>
      <c r="AL433" s="11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</row>
    <row r="434" spans="1:48" ht="17" thickBot="1">
      <c r="A434" s="92" t="s">
        <v>4</v>
      </c>
      <c r="B434" s="225">
        <f>SUM(J434+K434+L434+M434+N434+S434+V434+W434+X434+AA434+AI434+AJ434+AI434+AM434+AP434+AQ434+AS434+AT434+AU434+AV434)+20</f>
        <v>20</v>
      </c>
      <c r="C434" s="228">
        <f>SUM(K434+L434+M434+N434+J434+S434+W434+X434+V434+AA434+AJ434+AI434+AJ434+AM434+AN434+AQ434+AP434+AT434+AU434+AV434+AS434+AO434)+30</f>
        <v>30</v>
      </c>
      <c r="D434" s="160"/>
      <c r="E434" s="161"/>
      <c r="F434" s="114"/>
      <c r="G434" s="112"/>
      <c r="H434" s="114"/>
      <c r="I434" s="114"/>
      <c r="J434" s="112"/>
      <c r="K434" s="129"/>
      <c r="L434" s="112"/>
      <c r="M434" s="112"/>
      <c r="N434" s="112"/>
      <c r="O434" s="114"/>
      <c r="P434" s="117"/>
      <c r="Q434" s="118"/>
      <c r="R434" s="127"/>
      <c r="S434" s="116"/>
      <c r="T434" s="120"/>
      <c r="U434" s="120"/>
      <c r="V434" s="112"/>
      <c r="W434" s="116"/>
      <c r="X434" s="116"/>
      <c r="Y434" s="120"/>
      <c r="Z434" s="120">
        <v>5</v>
      </c>
      <c r="AA434" s="116"/>
      <c r="AB434" s="117"/>
      <c r="AC434" s="118">
        <v>5</v>
      </c>
      <c r="AD434" s="118">
        <v>5</v>
      </c>
      <c r="AE434" s="118"/>
      <c r="AF434" s="118"/>
      <c r="AG434" s="117"/>
      <c r="AH434" s="117"/>
      <c r="AI434" s="116"/>
      <c r="AJ434" s="116"/>
      <c r="AK434" s="120"/>
      <c r="AL434" s="120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</row>
    <row r="435" spans="1:48" ht="21.1">
      <c r="A435" s="89" t="s">
        <v>44</v>
      </c>
      <c r="B435" s="224"/>
      <c r="C435" s="227"/>
      <c r="D435" s="159"/>
      <c r="E435" s="158"/>
      <c r="F435" s="96"/>
      <c r="G435" s="75"/>
      <c r="H435" s="96"/>
      <c r="I435" s="96" t="s">
        <v>373</v>
      </c>
      <c r="J435" s="75" t="s">
        <v>373</v>
      </c>
      <c r="K435" s="128">
        <v>7</v>
      </c>
      <c r="L435" s="75" t="s">
        <v>373</v>
      </c>
      <c r="M435" s="75" t="s">
        <v>373</v>
      </c>
      <c r="N435" s="75">
        <v>7</v>
      </c>
      <c r="O435" s="96"/>
      <c r="P435" s="163"/>
      <c r="Q435" s="109"/>
      <c r="R435" s="108"/>
      <c r="S435" s="100" t="s">
        <v>373</v>
      </c>
      <c r="T435" s="110">
        <v>7</v>
      </c>
      <c r="U435" s="110" t="s">
        <v>623</v>
      </c>
      <c r="V435" s="100" t="s">
        <v>375</v>
      </c>
      <c r="W435" s="100" t="s">
        <v>339</v>
      </c>
      <c r="X435" s="100" t="s">
        <v>339</v>
      </c>
      <c r="Y435" s="110" t="s">
        <v>339</v>
      </c>
      <c r="Z435" s="110" t="s">
        <v>339</v>
      </c>
      <c r="AA435" s="100" t="s">
        <v>339</v>
      </c>
      <c r="AB435" s="108"/>
      <c r="AC435" s="109" t="s">
        <v>339</v>
      </c>
      <c r="AD435" s="109" t="s">
        <v>339</v>
      </c>
      <c r="AE435" s="109" t="s">
        <v>339</v>
      </c>
      <c r="AF435" s="109" t="s">
        <v>375</v>
      </c>
      <c r="AG435" s="108"/>
      <c r="AH435" s="108"/>
      <c r="AI435" s="100"/>
      <c r="AJ435" s="100"/>
      <c r="AK435" s="110"/>
      <c r="AL435" s="11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</row>
    <row r="436" spans="1:48" ht="16.3">
      <c r="A436" s="611" t="s">
        <v>1</v>
      </c>
      <c r="B436" s="230">
        <f>SUM(J436+K436+L436+M436+N436+S436+V436+W436+X436+AA436+AI436+AJ436+AI436+AM436+AP436+AQ436+AS436+AT436+AU436+AV436+AN436)+69</f>
        <v>75</v>
      </c>
      <c r="C436" s="231">
        <f>SUM(K436+L436+M436+N436+J436+S436+W436+X436+V436+AA436+AJ436+AI436+AJ436+AM436+AN436+AQ436+AP436+AT436+AU436+AV436+AS436+AO436)+77</f>
        <v>83</v>
      </c>
      <c r="D436" s="159"/>
      <c r="E436" s="158"/>
      <c r="F436" s="96"/>
      <c r="G436" s="75"/>
      <c r="H436" s="96"/>
      <c r="I436" s="96">
        <v>1</v>
      </c>
      <c r="J436" s="75">
        <v>1</v>
      </c>
      <c r="K436" s="128">
        <v>1</v>
      </c>
      <c r="L436" s="75">
        <v>1</v>
      </c>
      <c r="M436" s="75">
        <v>1</v>
      </c>
      <c r="N436" s="75">
        <v>1</v>
      </c>
      <c r="O436" s="96"/>
      <c r="P436" s="163"/>
      <c r="Q436" s="109"/>
      <c r="R436" s="108"/>
      <c r="S436" s="100">
        <v>1</v>
      </c>
      <c r="T436" s="110">
        <v>1</v>
      </c>
      <c r="U436" s="110">
        <v>1</v>
      </c>
      <c r="V436" s="100"/>
      <c r="W436" s="100"/>
      <c r="X436" s="100"/>
      <c r="Y436" s="110"/>
      <c r="Z436" s="110"/>
      <c r="AA436" s="100"/>
      <c r="AB436" s="108"/>
      <c r="AC436" s="109"/>
      <c r="AD436" s="109"/>
      <c r="AE436" s="109"/>
      <c r="AF436" s="109"/>
      <c r="AG436" s="108"/>
      <c r="AH436" s="108"/>
      <c r="AI436" s="100"/>
      <c r="AJ436" s="100"/>
      <c r="AK436" s="110"/>
      <c r="AL436" s="11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</row>
    <row r="437" spans="1:48" ht="16.3">
      <c r="A437" s="611" t="s">
        <v>2</v>
      </c>
      <c r="B437" s="230">
        <f>SUM(J437+K437+L437+M437+N437+S437+V437+W437+X437+AA437+AI437+AJ437+AI437+AM437+AP437+AQ437+AS437+AT437+AU437+AV437)+12</f>
        <v>13</v>
      </c>
      <c r="C437" s="231">
        <f>SUM(K437+L437+M437+N437+J437+S437+W437+X437+V437+AA437+AJ437+AI437+AJ437+AM437+AN437+AQ437+AP437+AT437+AU437+AV437+AS437+AO437)+30</f>
        <v>31</v>
      </c>
      <c r="D437" s="159"/>
      <c r="E437" s="158"/>
      <c r="F437" s="96"/>
      <c r="G437" s="75"/>
      <c r="H437" s="96"/>
      <c r="I437" s="96"/>
      <c r="J437" s="75"/>
      <c r="K437" s="128"/>
      <c r="L437" s="75"/>
      <c r="M437" s="75"/>
      <c r="N437" s="75"/>
      <c r="O437" s="96"/>
      <c r="P437" s="163"/>
      <c r="Q437" s="109"/>
      <c r="R437" s="108"/>
      <c r="S437" s="100"/>
      <c r="T437" s="110"/>
      <c r="U437" s="110"/>
      <c r="V437" s="100">
        <v>1</v>
      </c>
      <c r="W437" s="100"/>
      <c r="X437" s="100"/>
      <c r="Y437" s="110"/>
      <c r="Z437" s="110"/>
      <c r="AA437" s="100"/>
      <c r="AB437" s="108"/>
      <c r="AC437" s="109"/>
      <c r="AD437" s="109"/>
      <c r="AE437" s="109"/>
      <c r="AF437" s="109">
        <v>1</v>
      </c>
      <c r="AG437" s="108"/>
      <c r="AH437" s="108"/>
      <c r="AI437" s="100"/>
      <c r="AJ437" s="100"/>
      <c r="AK437" s="110"/>
      <c r="AL437" s="11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</row>
    <row r="438" spans="1:48" ht="16.3">
      <c r="A438" s="91" t="s">
        <v>363</v>
      </c>
      <c r="B438" s="224">
        <f>SUM(B436+B437)</f>
        <v>88</v>
      </c>
      <c r="C438" s="227">
        <f>SUM(C436+C437)</f>
        <v>114</v>
      </c>
      <c r="D438" s="159"/>
      <c r="E438" s="158"/>
      <c r="F438" s="96"/>
      <c r="G438" s="75"/>
      <c r="H438" s="96"/>
      <c r="I438" s="96"/>
      <c r="J438" s="75"/>
      <c r="K438" s="128"/>
      <c r="L438" s="75"/>
      <c r="M438" s="75"/>
      <c r="N438" s="75"/>
      <c r="O438" s="96"/>
      <c r="P438" s="163"/>
      <c r="Q438" s="109"/>
      <c r="R438" s="108"/>
      <c r="S438" s="100"/>
      <c r="T438" s="110"/>
      <c r="U438" s="110"/>
      <c r="V438" s="100"/>
      <c r="W438" s="100"/>
      <c r="X438" s="100"/>
      <c r="Y438" s="110"/>
      <c r="Z438" s="110"/>
      <c r="AA438" s="100"/>
      <c r="AB438" s="108"/>
      <c r="AC438" s="109"/>
      <c r="AD438" s="109"/>
      <c r="AE438" s="109"/>
      <c r="AF438" s="109"/>
      <c r="AG438" s="108"/>
      <c r="AH438" s="108"/>
      <c r="AI438" s="100"/>
      <c r="AJ438" s="100"/>
      <c r="AK438" s="110"/>
      <c r="AL438" s="11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</row>
    <row r="439" spans="1:48" ht="16.3">
      <c r="A439" s="611" t="s">
        <v>362</v>
      </c>
      <c r="B439" s="230">
        <f>SUM(J439+K439+L439+M439+N439+S439+V439+W439+X439+AA439+AI439+AJ439+AI439+AM439+AP439+AQ439+AS439+AT439+AU439+AV439)+2</f>
        <v>2</v>
      </c>
      <c r="C439" s="231">
        <f>SUM(K439+L439+M439+N439+J439+S439+W439+X439+V439+AA439+AJ439+AI439+AJ439+AM439+AN439+AQ439+AP439+AT439+AU439+AV439+AS439+AO439)+2</f>
        <v>2</v>
      </c>
      <c r="D439" s="159"/>
      <c r="E439" s="158"/>
      <c r="F439" s="96"/>
      <c r="G439" s="75"/>
      <c r="H439" s="96"/>
      <c r="I439" s="96"/>
      <c r="J439" s="75"/>
      <c r="K439" s="128"/>
      <c r="L439" s="75"/>
      <c r="M439" s="75"/>
      <c r="N439" s="75"/>
      <c r="O439" s="96"/>
      <c r="P439" s="163"/>
      <c r="Q439" s="109"/>
      <c r="R439" s="108"/>
      <c r="S439" s="100"/>
      <c r="T439" s="110"/>
      <c r="U439" s="110">
        <v>1</v>
      </c>
      <c r="V439" s="100"/>
      <c r="W439" s="100"/>
      <c r="X439" s="100"/>
      <c r="Y439" s="110"/>
      <c r="Z439" s="110"/>
      <c r="AA439" s="100"/>
      <c r="AB439" s="108"/>
      <c r="AC439" s="109"/>
      <c r="AD439" s="109"/>
      <c r="AE439" s="109"/>
      <c r="AF439" s="109"/>
      <c r="AG439" s="108"/>
      <c r="AH439" s="108"/>
      <c r="AI439" s="100"/>
      <c r="AJ439" s="100"/>
      <c r="AK439" s="110"/>
      <c r="AL439" s="11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</row>
    <row r="440" spans="1:48" ht="16.3">
      <c r="A440" s="611" t="s">
        <v>746</v>
      </c>
      <c r="B440" s="230">
        <f>SUM(J440+K440+L440+M440+N440+S440+V440+W440+X440+AA440+AI440+AJ440+AI440+AM440+AP440+AQ440+AS440+AT440+AU440+AV440)</f>
        <v>1</v>
      </c>
      <c r="C440" s="231">
        <f>SUM(K440+L440+M440+N440+J440+S440+W440+X440+V440+AA440+AJ440+AI440+AJ440+AM440+AN440+AQ440+AP440+AT440+AU440+AV440+AS440+AO440)</f>
        <v>1</v>
      </c>
      <c r="D440" s="159"/>
      <c r="E440" s="158"/>
      <c r="F440" s="96"/>
      <c r="G440" s="75"/>
      <c r="H440" s="96"/>
      <c r="I440" s="96"/>
      <c r="J440" s="75">
        <v>1</v>
      </c>
      <c r="K440" s="128"/>
      <c r="L440" s="75"/>
      <c r="M440" s="75"/>
      <c r="N440" s="75"/>
      <c r="O440" s="96"/>
      <c r="P440" s="163"/>
      <c r="Q440" s="109"/>
      <c r="R440" s="108"/>
      <c r="S440" s="100"/>
      <c r="T440" s="110"/>
      <c r="U440" s="110"/>
      <c r="V440" s="100"/>
      <c r="W440" s="100"/>
      <c r="X440" s="100"/>
      <c r="Y440" s="110"/>
      <c r="Z440" s="110"/>
      <c r="AA440" s="100"/>
      <c r="AB440" s="108"/>
      <c r="AC440" s="109"/>
      <c r="AD440" s="109"/>
      <c r="AE440" s="109"/>
      <c r="AF440" s="109"/>
      <c r="AG440" s="108"/>
      <c r="AH440" s="108"/>
      <c r="AI440" s="100"/>
      <c r="AJ440" s="100"/>
      <c r="AK440" s="110"/>
      <c r="AL440" s="11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</row>
    <row r="441" spans="1:48" ht="16.3">
      <c r="A441" s="91" t="s">
        <v>3</v>
      </c>
      <c r="B441" s="224">
        <f>SUM(J441+K441+L441+M441+N441+S441+V441+W441+X441+AA441+AI441+AJ441+AI441+AM441+AP441+AQ441+AS441+AT441+AU441+AV441)+11</f>
        <v>15</v>
      </c>
      <c r="C441" s="227">
        <f>SUM(K441+L441+M441+N441+J441+S441+W441+X441+V441+AA441+AJ441+AI441+AJ441+AM441+AN441+AQ441+AP441+AT441+AU441+AV441+AS441+AO441)+14</f>
        <v>18</v>
      </c>
      <c r="D441" s="159"/>
      <c r="E441" s="158"/>
      <c r="F441" s="96"/>
      <c r="G441" s="75"/>
      <c r="H441" s="96"/>
      <c r="I441" s="96"/>
      <c r="J441" s="168">
        <v>3</v>
      </c>
      <c r="K441" s="128"/>
      <c r="L441" s="75"/>
      <c r="M441" s="75"/>
      <c r="N441" s="75">
        <v>1</v>
      </c>
      <c r="O441" s="96"/>
      <c r="P441" s="163"/>
      <c r="Q441" s="109"/>
      <c r="R441" s="108"/>
      <c r="S441" s="100"/>
      <c r="T441" s="110"/>
      <c r="U441" s="110"/>
      <c r="V441" s="100"/>
      <c r="W441" s="100"/>
      <c r="X441" s="100"/>
      <c r="Y441" s="110"/>
      <c r="Z441" s="110"/>
      <c r="AA441" s="100"/>
      <c r="AB441" s="108"/>
      <c r="AC441" s="109"/>
      <c r="AD441" s="109"/>
      <c r="AE441" s="109"/>
      <c r="AF441" s="109"/>
      <c r="AG441" s="108"/>
      <c r="AH441" s="108"/>
      <c r="AI441" s="100"/>
      <c r="AJ441" s="100"/>
      <c r="AK441" s="110"/>
      <c r="AL441" s="11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</row>
    <row r="442" spans="1:48" ht="17" thickBot="1">
      <c r="A442" s="92" t="s">
        <v>4</v>
      </c>
      <c r="B442" s="225">
        <f>SUM(J442+K442+L442+M442+N442+S442+V442+W442+X442+AA442+AI442+AJ442+AI442+AM442+AP442+AQ442+AS442+AT442+AU442+AV442)+55</f>
        <v>75</v>
      </c>
      <c r="C442" s="228">
        <f>SUM(K442+L442+M442+N442+J442+S442+W442+X442+V442+AA442+AJ442+AI442+AJ442+AM442+AN442+AQ442+AP442+AT442+AU442+AV442+AS442+AO442)+70</f>
        <v>90</v>
      </c>
      <c r="D442" s="160"/>
      <c r="E442" s="161"/>
      <c r="F442" s="114"/>
      <c r="G442" s="112"/>
      <c r="H442" s="114"/>
      <c r="I442" s="114"/>
      <c r="J442" s="112">
        <v>15</v>
      </c>
      <c r="K442" s="129"/>
      <c r="L442" s="112"/>
      <c r="M442" s="112"/>
      <c r="N442" s="112">
        <v>5</v>
      </c>
      <c r="O442" s="114"/>
      <c r="P442" s="164"/>
      <c r="Q442" s="118"/>
      <c r="R442" s="117"/>
      <c r="S442" s="116"/>
      <c r="T442" s="120"/>
      <c r="U442" s="120"/>
      <c r="V442" s="112"/>
      <c r="W442" s="100"/>
      <c r="X442" s="100"/>
      <c r="Y442" s="110"/>
      <c r="Z442" s="110"/>
      <c r="AA442" s="100"/>
      <c r="AB442" s="108"/>
      <c r="AC442" s="109"/>
      <c r="AD442" s="109"/>
      <c r="AE442" s="109"/>
      <c r="AF442" s="109"/>
      <c r="AG442" s="108"/>
      <c r="AH442" s="108"/>
      <c r="AI442" s="100"/>
      <c r="AJ442" s="100"/>
      <c r="AK442" s="110"/>
      <c r="AL442" s="11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</row>
    <row r="443" spans="1:48" ht="21.1">
      <c r="A443" s="90" t="s">
        <v>281</v>
      </c>
      <c r="B443" s="224"/>
      <c r="C443" s="227"/>
      <c r="D443" s="159"/>
      <c r="E443" s="158"/>
      <c r="F443" s="96"/>
      <c r="G443" s="75"/>
      <c r="H443" s="96" t="s">
        <v>501</v>
      </c>
      <c r="I443" s="96"/>
      <c r="J443" s="75" t="s">
        <v>688</v>
      </c>
      <c r="K443" s="128">
        <v>4</v>
      </c>
      <c r="L443" s="75" t="s">
        <v>374</v>
      </c>
      <c r="M443" s="75" t="s">
        <v>374</v>
      </c>
      <c r="N443" s="75" t="s">
        <v>339</v>
      </c>
      <c r="O443" s="96" t="s">
        <v>775</v>
      </c>
      <c r="P443" s="163"/>
      <c r="Q443" s="109" t="s">
        <v>775</v>
      </c>
      <c r="R443" s="108"/>
      <c r="S443" s="100">
        <v>6</v>
      </c>
      <c r="T443" s="110"/>
      <c r="U443" s="110" t="s">
        <v>375</v>
      </c>
      <c r="V443" s="100" t="s">
        <v>374</v>
      </c>
      <c r="W443" s="102" t="s">
        <v>374</v>
      </c>
      <c r="X443" s="102" t="s">
        <v>382</v>
      </c>
      <c r="Y443" s="101">
        <v>6</v>
      </c>
      <c r="Z443" s="101" t="s">
        <v>382</v>
      </c>
      <c r="AA443" s="102">
        <v>6</v>
      </c>
      <c r="AB443" s="98"/>
      <c r="AC443" s="99" t="s">
        <v>775</v>
      </c>
      <c r="AD443" s="99" t="s">
        <v>775</v>
      </c>
      <c r="AE443" s="99" t="s">
        <v>775</v>
      </c>
      <c r="AF443" s="99" t="s">
        <v>382</v>
      </c>
      <c r="AG443" s="98"/>
      <c r="AH443" s="98"/>
      <c r="AI443" s="102"/>
      <c r="AJ443" s="102"/>
      <c r="AK443" s="101"/>
      <c r="AL443" s="101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</row>
    <row r="444" spans="1:48" ht="16.3">
      <c r="A444" s="611" t="s">
        <v>1</v>
      </c>
      <c r="B444" s="230">
        <f>SUM(J444+K444+L444+M444+N444+S444+V444+W444+X444+AA444+AI444+AJ444+AI444+AM444+AP444+AQ444+AS444+AT444+AU444+AV444+AN444)+12</f>
        <v>21</v>
      </c>
      <c r="C444" s="231">
        <f>SUM(K444+L444+M444+N444+J444+S444+W444+X444+V444+AA444+AJ444+AI444+AJ444+AM444+AN444+AQ444+AP444+AT444+AU444+AV444+AS444+AO444)+15</f>
        <v>24</v>
      </c>
      <c r="D444" s="159"/>
      <c r="E444" s="158"/>
      <c r="F444" s="96"/>
      <c r="G444" s="75"/>
      <c r="H444" s="96"/>
      <c r="I444" s="96"/>
      <c r="J444" s="75">
        <v>1</v>
      </c>
      <c r="K444" s="128">
        <v>1</v>
      </c>
      <c r="L444" s="75">
        <v>1</v>
      </c>
      <c r="M444" s="75">
        <v>1</v>
      </c>
      <c r="N444" s="75"/>
      <c r="O444" s="96"/>
      <c r="P444" s="163"/>
      <c r="Q444" s="109"/>
      <c r="R444" s="108"/>
      <c r="S444" s="100">
        <v>1</v>
      </c>
      <c r="T444" s="110"/>
      <c r="U444" s="110"/>
      <c r="V444" s="100">
        <v>1</v>
      </c>
      <c r="W444" s="100">
        <v>1</v>
      </c>
      <c r="X444" s="100">
        <v>1</v>
      </c>
      <c r="Y444" s="110">
        <v>1</v>
      </c>
      <c r="Z444" s="110">
        <v>1</v>
      </c>
      <c r="AA444" s="100">
        <v>1</v>
      </c>
      <c r="AB444" s="108"/>
      <c r="AC444" s="109"/>
      <c r="AD444" s="109"/>
      <c r="AE444" s="109"/>
      <c r="AF444" s="109">
        <v>1</v>
      </c>
      <c r="AG444" s="108"/>
      <c r="AH444" s="108"/>
      <c r="AI444" s="100"/>
      <c r="AJ444" s="100"/>
      <c r="AK444" s="110"/>
      <c r="AL444" s="11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</row>
    <row r="445" spans="1:48" ht="16.3">
      <c r="A445" s="611" t="s">
        <v>2</v>
      </c>
      <c r="B445" s="230">
        <f>SUM(J445+K445+L445+M445+N445+S445+V445+W445+X445+AA445+AI445+AJ445+AI445+AM445+AP445+AQ445+AS445+AT445+AU445+AV445)+7</f>
        <v>7</v>
      </c>
      <c r="C445" s="231">
        <f>SUM(K445+L445+M445+N445+J445+S445+W445+X445+V445+AA445+AJ445+AI445+AJ445+AM445+AN445+AQ445+AP445+AT445+AU445+AV445+AS445+AO445)+23</f>
        <v>23</v>
      </c>
      <c r="D445" s="159"/>
      <c r="E445" s="158"/>
      <c r="F445" s="96"/>
      <c r="G445" s="75"/>
      <c r="H445" s="96"/>
      <c r="I445" s="96"/>
      <c r="J445" s="75"/>
      <c r="K445" s="128"/>
      <c r="L445" s="75"/>
      <c r="M445" s="75"/>
      <c r="N445" s="75"/>
      <c r="O445" s="96"/>
      <c r="P445" s="163"/>
      <c r="Q445" s="109"/>
      <c r="R445" s="108"/>
      <c r="S445" s="100"/>
      <c r="T445" s="110"/>
      <c r="U445" s="110">
        <v>1</v>
      </c>
      <c r="V445" s="100"/>
      <c r="W445" s="100"/>
      <c r="X445" s="100"/>
      <c r="Y445" s="110"/>
      <c r="Z445" s="110"/>
      <c r="AA445" s="100"/>
      <c r="AB445" s="108"/>
      <c r="AC445" s="109"/>
      <c r="AD445" s="109"/>
      <c r="AE445" s="109"/>
      <c r="AF445" s="109"/>
      <c r="AG445" s="108"/>
      <c r="AH445" s="108"/>
      <c r="AI445" s="100"/>
      <c r="AJ445" s="100"/>
      <c r="AK445" s="110"/>
      <c r="AL445" s="11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</row>
    <row r="446" spans="1:48" ht="16.3">
      <c r="A446" s="91" t="s">
        <v>363</v>
      </c>
      <c r="B446" s="224">
        <f>SUM(B444+B445)</f>
        <v>28</v>
      </c>
      <c r="C446" s="227">
        <f>SUM(C444+C445)</f>
        <v>47</v>
      </c>
      <c r="D446" s="159"/>
      <c r="E446" s="158"/>
      <c r="F446" s="96"/>
      <c r="G446" s="75"/>
      <c r="H446" s="96"/>
      <c r="I446" s="96"/>
      <c r="J446" s="75"/>
      <c r="K446" s="128"/>
      <c r="L446" s="75"/>
      <c r="M446" s="75"/>
      <c r="N446" s="75"/>
      <c r="O446" s="96"/>
      <c r="P446" s="163"/>
      <c r="Q446" s="109"/>
      <c r="R446" s="108"/>
      <c r="S446" s="100"/>
      <c r="T446" s="110"/>
      <c r="U446" s="110"/>
      <c r="V446" s="100"/>
      <c r="W446" s="100"/>
      <c r="X446" s="100"/>
      <c r="Y446" s="110"/>
      <c r="Z446" s="110"/>
      <c r="AA446" s="100"/>
      <c r="AB446" s="108"/>
      <c r="AC446" s="109"/>
      <c r="AD446" s="109"/>
      <c r="AE446" s="109"/>
      <c r="AF446" s="109"/>
      <c r="AG446" s="108"/>
      <c r="AH446" s="108"/>
      <c r="AI446" s="100"/>
      <c r="AJ446" s="100"/>
      <c r="AK446" s="110"/>
      <c r="AL446" s="11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</row>
    <row r="447" spans="1:48" ht="16.3">
      <c r="A447" s="611" t="s">
        <v>362</v>
      </c>
      <c r="B447" s="230">
        <f>SUM(J447+K447+L447+M447+N447+S447+V447+W447+X447+AA447+AI447+AJ447+AI447+AM447+AP447+AQ447+AS447+AT447+AU447+AV447)</f>
        <v>1</v>
      </c>
      <c r="C447" s="231">
        <f>SUM(K447+L447+M447+N447+J447+S447+W447+X447+V447+AA447+AJ447+AI447+AJ447+AM447+AN447+AQ447+AP447+AT447+AU447+AV447+AS447+AO447)</f>
        <v>1</v>
      </c>
      <c r="D447" s="159"/>
      <c r="E447" s="158"/>
      <c r="F447" s="96"/>
      <c r="G447" s="75"/>
      <c r="H447" s="96"/>
      <c r="I447" s="96"/>
      <c r="J447" s="75">
        <v>1</v>
      </c>
      <c r="K447" s="128"/>
      <c r="L447" s="75"/>
      <c r="M447" s="75"/>
      <c r="N447" s="75"/>
      <c r="O447" s="96"/>
      <c r="P447" s="163"/>
      <c r="Q447" s="109"/>
      <c r="R447" s="108"/>
      <c r="S447" s="100"/>
      <c r="T447" s="110"/>
      <c r="U447" s="110"/>
      <c r="V447" s="100"/>
      <c r="W447" s="100"/>
      <c r="X447" s="100"/>
      <c r="Y447" s="110"/>
      <c r="Z447" s="110"/>
      <c r="AA447" s="100"/>
      <c r="AB447" s="108"/>
      <c r="AC447" s="109"/>
      <c r="AD447" s="109"/>
      <c r="AE447" s="109"/>
      <c r="AF447" s="109"/>
      <c r="AG447" s="108"/>
      <c r="AH447" s="108"/>
      <c r="AI447" s="100"/>
      <c r="AJ447" s="100"/>
      <c r="AK447" s="110"/>
      <c r="AL447" s="11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</row>
    <row r="448" spans="1:48" ht="16.3">
      <c r="A448" s="91" t="s">
        <v>3</v>
      </c>
      <c r="B448" s="224">
        <f>SUM(J448+K448+L448+M448+N448+S448+V448+W448+X448+AA448+AI448+AJ448+AI448+AM448+AP448+AQ448+AS448+AT448+AU448+AV448)+2</f>
        <v>3</v>
      </c>
      <c r="C448" s="227">
        <f>SUM(K448+L448+M448+N448+J448+S448+W448+X448+V448+AA448+AJ448+AI448+AJ448+AM448+AN448+AQ448+AP448+AT448+AU448+AV448+AS448+AO448)+5</f>
        <v>6</v>
      </c>
      <c r="D448" s="159"/>
      <c r="E448" s="158"/>
      <c r="F448" s="96"/>
      <c r="G448" s="75"/>
      <c r="H448" s="96"/>
      <c r="I448" s="96"/>
      <c r="J448" s="75"/>
      <c r="K448" s="128"/>
      <c r="L448" s="75"/>
      <c r="M448" s="75"/>
      <c r="N448" s="75"/>
      <c r="O448" s="96"/>
      <c r="P448" s="163"/>
      <c r="Q448" s="109"/>
      <c r="R448" s="108"/>
      <c r="S448" s="100"/>
      <c r="T448" s="110"/>
      <c r="U448" s="110"/>
      <c r="V448" s="100"/>
      <c r="W448" s="100"/>
      <c r="X448" s="100"/>
      <c r="Y448" s="110">
        <v>1</v>
      </c>
      <c r="Z448" s="110"/>
      <c r="AA448" s="100">
        <v>1</v>
      </c>
      <c r="AB448" s="108"/>
      <c r="AC448" s="109"/>
      <c r="AD448" s="109"/>
      <c r="AE448" s="109"/>
      <c r="AF448" s="109">
        <v>1</v>
      </c>
      <c r="AG448" s="108"/>
      <c r="AH448" s="108"/>
      <c r="AI448" s="100"/>
      <c r="AJ448" s="100"/>
      <c r="AK448" s="110"/>
      <c r="AL448" s="11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</row>
    <row r="449" spans="1:48" ht="17" thickBot="1">
      <c r="A449" s="92" t="s">
        <v>4</v>
      </c>
      <c r="B449" s="225">
        <f>SUM(J449+K449+L449+M449+N449+S449+V449+W449+X449+AA449+AI449+AJ449+AI449+AM449+AP449+AQ449+AS449+AT449+AU449+AV449)+10</f>
        <v>15</v>
      </c>
      <c r="C449" s="228">
        <f>SUM(K449+L449+M449+N449+J449+S449+W449+X449+V449+AA449+AJ449+AI449+AJ449+AM449+AN449+AQ449+AP449+AT449+AU449+AV449+AS449+AO449)+25</f>
        <v>30</v>
      </c>
      <c r="D449" s="160"/>
      <c r="E449" s="161"/>
      <c r="F449" s="114"/>
      <c r="G449" s="112"/>
      <c r="H449" s="114"/>
      <c r="I449" s="114"/>
      <c r="J449" s="112"/>
      <c r="K449" s="129"/>
      <c r="L449" s="112"/>
      <c r="M449" s="112"/>
      <c r="N449" s="112"/>
      <c r="O449" s="114"/>
      <c r="P449" s="164"/>
      <c r="Q449" s="118"/>
      <c r="R449" s="117"/>
      <c r="S449" s="116"/>
      <c r="T449" s="120"/>
      <c r="U449" s="120"/>
      <c r="V449" s="116"/>
      <c r="W449" s="116"/>
      <c r="X449" s="116"/>
      <c r="Y449" s="120">
        <v>5</v>
      </c>
      <c r="Z449" s="120"/>
      <c r="AA449" s="116">
        <v>5</v>
      </c>
      <c r="AB449" s="117"/>
      <c r="AC449" s="118"/>
      <c r="AD449" s="118"/>
      <c r="AE449" s="118"/>
      <c r="AF449" s="118">
        <v>5</v>
      </c>
      <c r="AG449" s="117"/>
      <c r="AH449" s="117"/>
      <c r="AI449" s="116"/>
      <c r="AJ449" s="116"/>
      <c r="AK449" s="120"/>
      <c r="AL449" s="120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</row>
    <row r="450" spans="1:48" ht="21.1">
      <c r="A450" s="90" t="s">
        <v>125</v>
      </c>
      <c r="B450" s="226"/>
      <c r="C450" s="229"/>
      <c r="D450" s="185"/>
      <c r="E450" s="186"/>
      <c r="F450" s="124"/>
      <c r="G450" s="122"/>
      <c r="H450" s="124">
        <v>6</v>
      </c>
      <c r="I450" s="124" t="s">
        <v>375</v>
      </c>
      <c r="J450" s="122" t="s">
        <v>375</v>
      </c>
      <c r="K450" s="165" t="s">
        <v>375</v>
      </c>
      <c r="L450" s="122" t="s">
        <v>375</v>
      </c>
      <c r="M450" s="122" t="s">
        <v>375</v>
      </c>
      <c r="N450" s="122">
        <v>8</v>
      </c>
      <c r="O450" s="124" t="s">
        <v>382</v>
      </c>
      <c r="P450" s="166"/>
      <c r="Q450" s="99" t="s">
        <v>375</v>
      </c>
      <c r="R450" s="98"/>
      <c r="S450" s="102"/>
      <c r="T450" s="101">
        <v>6</v>
      </c>
      <c r="U450" s="101">
        <v>8</v>
      </c>
      <c r="V450" s="102" t="s">
        <v>382</v>
      </c>
      <c r="W450" s="102"/>
      <c r="X450" s="102" t="s">
        <v>375</v>
      </c>
      <c r="Y450" s="101" t="s">
        <v>375</v>
      </c>
      <c r="Z450" s="101" t="s">
        <v>375</v>
      </c>
      <c r="AA450" s="102"/>
      <c r="AB450" s="98"/>
      <c r="AC450" s="99" t="s">
        <v>375</v>
      </c>
      <c r="AD450" s="99">
        <v>8</v>
      </c>
      <c r="AE450" s="99"/>
      <c r="AF450" s="99" t="s">
        <v>375</v>
      </c>
      <c r="AG450" s="98"/>
      <c r="AH450" s="98"/>
      <c r="AI450" s="102"/>
      <c r="AJ450" s="102"/>
      <c r="AK450" s="101"/>
      <c r="AL450" s="101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</row>
    <row r="451" spans="1:48" ht="16.3">
      <c r="A451" s="611" t="s">
        <v>1</v>
      </c>
      <c r="B451" s="230">
        <f>SUM(J451+K451+L451+M451+N451+S451+V451+W451+X451+AA451+AI451+AJ451+AI451+AM451+AP451+AQ451+AS451+AT451+AU451+AV451+AN451)</f>
        <v>2</v>
      </c>
      <c r="C451" s="231">
        <f>B451</f>
        <v>2</v>
      </c>
      <c r="D451" s="159"/>
      <c r="E451" s="158"/>
      <c r="F451" s="96"/>
      <c r="G451" s="75"/>
      <c r="H451" s="96">
        <v>1</v>
      </c>
      <c r="I451" s="96"/>
      <c r="J451" s="75"/>
      <c r="K451" s="128"/>
      <c r="L451" s="75"/>
      <c r="M451" s="75"/>
      <c r="N451" s="75">
        <v>1</v>
      </c>
      <c r="O451" s="96">
        <v>1</v>
      </c>
      <c r="P451" s="105"/>
      <c r="Q451" s="96"/>
      <c r="R451" s="105"/>
      <c r="S451" s="75"/>
      <c r="T451" s="106">
        <v>1</v>
      </c>
      <c r="U451" s="106">
        <v>1</v>
      </c>
      <c r="V451" s="75">
        <v>1</v>
      </c>
      <c r="W451" s="75"/>
      <c r="X451" s="75"/>
      <c r="Y451" s="106"/>
      <c r="Z451" s="106"/>
      <c r="AA451" s="75"/>
      <c r="AB451" s="105"/>
      <c r="AC451" s="96"/>
      <c r="AD451" s="96">
        <v>1</v>
      </c>
      <c r="AE451" s="96"/>
      <c r="AF451" s="96"/>
      <c r="AG451" s="105"/>
      <c r="AH451" s="105"/>
      <c r="AI451" s="75"/>
      <c r="AJ451" s="75"/>
      <c r="AK451" s="106"/>
      <c r="AL451" s="106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</row>
    <row r="452" spans="1:48" ht="16.3">
      <c r="A452" s="611" t="s">
        <v>2</v>
      </c>
      <c r="B452" s="230">
        <f>SUM(J452+K452+L452+M452+N452+S452+V452+W452+X452+AA452+AI452+AJ452+AI452+AM452+AP452+AQ452+AS452+AT452+AU452+AV452)</f>
        <v>5</v>
      </c>
      <c r="C452" s="231">
        <f t="shared" ref="C452:C455" si="69">B452</f>
        <v>5</v>
      </c>
      <c r="D452" s="159"/>
      <c r="E452" s="158"/>
      <c r="F452" s="96"/>
      <c r="G452" s="75"/>
      <c r="H452" s="96"/>
      <c r="I452" s="96">
        <v>1</v>
      </c>
      <c r="J452" s="75">
        <v>1</v>
      </c>
      <c r="K452" s="128">
        <v>1</v>
      </c>
      <c r="L452" s="75">
        <v>1</v>
      </c>
      <c r="M452" s="75">
        <v>1</v>
      </c>
      <c r="N452" s="75"/>
      <c r="O452" s="96"/>
      <c r="P452" s="163"/>
      <c r="Q452" s="109">
        <v>1</v>
      </c>
      <c r="R452" s="108"/>
      <c r="S452" s="100"/>
      <c r="T452" s="110"/>
      <c r="U452" s="110"/>
      <c r="V452" s="100"/>
      <c r="W452" s="100"/>
      <c r="X452" s="100">
        <v>1</v>
      </c>
      <c r="Y452" s="110">
        <v>1</v>
      </c>
      <c r="Z452" s="110">
        <v>1</v>
      </c>
      <c r="AA452" s="100"/>
      <c r="AB452" s="108"/>
      <c r="AC452" s="109">
        <v>1</v>
      </c>
      <c r="AD452" s="109"/>
      <c r="AE452" s="109"/>
      <c r="AF452" s="109">
        <v>1</v>
      </c>
      <c r="AG452" s="108"/>
      <c r="AH452" s="108"/>
      <c r="AI452" s="100"/>
      <c r="AJ452" s="100"/>
      <c r="AK452" s="110"/>
      <c r="AL452" s="110"/>
      <c r="AM452" s="100"/>
      <c r="AN452" s="100"/>
      <c r="AO452" s="100"/>
      <c r="AP452" s="100"/>
      <c r="AQ452" s="100"/>
      <c r="AR452" s="100"/>
      <c r="AS452" s="100"/>
      <c r="AT452" s="100"/>
      <c r="AU452" s="100"/>
      <c r="AV452" s="100"/>
    </row>
    <row r="453" spans="1:48" ht="16.3">
      <c r="A453" s="91" t="s">
        <v>363</v>
      </c>
      <c r="B453" s="224">
        <f>SUM(B451+B452)</f>
        <v>7</v>
      </c>
      <c r="C453" s="227">
        <f t="shared" si="69"/>
        <v>7</v>
      </c>
      <c r="D453" s="159"/>
      <c r="E453" s="158"/>
      <c r="F453" s="96"/>
      <c r="G453" s="75"/>
      <c r="H453" s="96"/>
      <c r="I453" s="96"/>
      <c r="J453" s="75"/>
      <c r="K453" s="128"/>
      <c r="L453" s="75"/>
      <c r="M453" s="75"/>
      <c r="N453" s="75"/>
      <c r="O453" s="96"/>
      <c r="P453" s="163"/>
      <c r="Q453" s="109"/>
      <c r="R453" s="108"/>
      <c r="S453" s="100"/>
      <c r="T453" s="110"/>
      <c r="U453" s="110"/>
      <c r="V453" s="100"/>
      <c r="W453" s="100"/>
      <c r="X453" s="100"/>
      <c r="Y453" s="110"/>
      <c r="Z453" s="110"/>
      <c r="AA453" s="100"/>
      <c r="AB453" s="108"/>
      <c r="AC453" s="109"/>
      <c r="AD453" s="109"/>
      <c r="AE453" s="109"/>
      <c r="AF453" s="109"/>
      <c r="AG453" s="108"/>
      <c r="AH453" s="108"/>
      <c r="AI453" s="100"/>
      <c r="AJ453" s="100"/>
      <c r="AK453" s="110"/>
      <c r="AL453" s="110"/>
      <c r="AM453" s="100"/>
      <c r="AN453" s="100"/>
      <c r="AO453" s="100"/>
      <c r="AP453" s="100"/>
      <c r="AQ453" s="100"/>
      <c r="AR453" s="100"/>
      <c r="AS453" s="100"/>
      <c r="AT453" s="100"/>
      <c r="AU453" s="100"/>
      <c r="AV453" s="100"/>
    </row>
    <row r="454" spans="1:48" ht="16.3">
      <c r="A454" s="91" t="s">
        <v>3</v>
      </c>
      <c r="B454" s="224">
        <f>SUM(J454+K454+L454+M454+N454+S454+V454+W454+X454+AA454+AI454+AJ454+AI454+AM454+AP454+AQ454+AS454+AT454+AU454+AV454)</f>
        <v>0</v>
      </c>
      <c r="C454" s="227">
        <f t="shared" si="69"/>
        <v>0</v>
      </c>
      <c r="D454" s="159"/>
      <c r="E454" s="158"/>
      <c r="F454" s="96"/>
      <c r="G454" s="75"/>
      <c r="H454" s="96"/>
      <c r="I454" s="96"/>
      <c r="J454" s="75"/>
      <c r="K454" s="128"/>
      <c r="L454" s="75"/>
      <c r="M454" s="75"/>
      <c r="N454" s="75"/>
      <c r="O454" s="96"/>
      <c r="P454" s="163"/>
      <c r="Q454" s="109"/>
      <c r="R454" s="108"/>
      <c r="S454" s="100"/>
      <c r="T454" s="110"/>
      <c r="U454" s="110"/>
      <c r="V454" s="100"/>
      <c r="W454" s="100"/>
      <c r="X454" s="100"/>
      <c r="Y454" s="110">
        <v>1</v>
      </c>
      <c r="Z454" s="110"/>
      <c r="AA454" s="100"/>
      <c r="AB454" s="108"/>
      <c r="AC454" s="109"/>
      <c r="AD454" s="109"/>
      <c r="AE454" s="109"/>
      <c r="AF454" s="109"/>
      <c r="AG454" s="108"/>
      <c r="AH454" s="108"/>
      <c r="AI454" s="100"/>
      <c r="AJ454" s="100"/>
      <c r="AK454" s="110"/>
      <c r="AL454" s="110"/>
      <c r="AM454" s="100"/>
      <c r="AN454" s="100"/>
      <c r="AO454" s="100"/>
      <c r="AP454" s="100"/>
      <c r="AQ454" s="100"/>
      <c r="AR454" s="100"/>
      <c r="AS454" s="100"/>
      <c r="AT454" s="100"/>
      <c r="AU454" s="100"/>
      <c r="AV454" s="100"/>
    </row>
    <row r="455" spans="1:48" ht="17" thickBot="1">
      <c r="A455" s="92" t="s">
        <v>4</v>
      </c>
      <c r="B455" s="225">
        <f>SUM(J455+K455+L455+M455+N455+S455+V455+W455+X455+AA455+AI455+AJ455+AI455+AM455+AP455+AQ455+AS455+AT455+AU455+AV455)</f>
        <v>0</v>
      </c>
      <c r="C455" s="228">
        <f t="shared" si="69"/>
        <v>0</v>
      </c>
      <c r="D455" s="160"/>
      <c r="E455" s="161"/>
      <c r="F455" s="114"/>
      <c r="G455" s="112"/>
      <c r="H455" s="114"/>
      <c r="I455" s="114"/>
      <c r="J455" s="112"/>
      <c r="K455" s="129"/>
      <c r="L455" s="112"/>
      <c r="M455" s="112"/>
      <c r="N455" s="112"/>
      <c r="O455" s="114"/>
      <c r="P455" s="164"/>
      <c r="Q455" s="118"/>
      <c r="R455" s="117"/>
      <c r="S455" s="116"/>
      <c r="T455" s="120"/>
      <c r="U455" s="120"/>
      <c r="V455" s="116"/>
      <c r="W455" s="116"/>
      <c r="X455" s="116"/>
      <c r="Y455" s="120">
        <v>5</v>
      </c>
      <c r="Z455" s="120"/>
      <c r="AA455" s="116"/>
      <c r="AB455" s="117"/>
      <c r="AC455" s="118"/>
      <c r="AD455" s="118"/>
      <c r="AE455" s="118"/>
      <c r="AF455" s="118"/>
      <c r="AG455" s="117"/>
      <c r="AH455" s="117"/>
      <c r="AI455" s="116"/>
      <c r="AJ455" s="116"/>
      <c r="AK455" s="120"/>
      <c r="AL455" s="120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</row>
    <row r="456" spans="1:48" ht="21.1">
      <c r="A456" s="90" t="s">
        <v>1012</v>
      </c>
      <c r="B456" s="224"/>
      <c r="C456" s="227"/>
      <c r="D456" s="159"/>
      <c r="E456" s="158"/>
      <c r="F456" s="96"/>
      <c r="G456" s="75"/>
      <c r="H456" s="96" t="s">
        <v>1013</v>
      </c>
      <c r="I456" s="96" t="s">
        <v>344</v>
      </c>
      <c r="J456" s="75" t="s">
        <v>344</v>
      </c>
      <c r="K456" s="128" t="s">
        <v>344</v>
      </c>
      <c r="L456" s="75" t="s">
        <v>344</v>
      </c>
      <c r="M456" s="75" t="s">
        <v>344</v>
      </c>
      <c r="N456" s="75" t="s">
        <v>344</v>
      </c>
      <c r="O456" s="96" t="s">
        <v>344</v>
      </c>
      <c r="P456" s="163" t="s">
        <v>344</v>
      </c>
      <c r="Q456" s="109" t="s">
        <v>344</v>
      </c>
      <c r="R456" s="108" t="s">
        <v>344</v>
      </c>
      <c r="S456" s="100" t="s">
        <v>344</v>
      </c>
      <c r="T456" s="110" t="s">
        <v>344</v>
      </c>
      <c r="U456" s="110" t="s">
        <v>344</v>
      </c>
      <c r="V456" s="100" t="s">
        <v>344</v>
      </c>
      <c r="W456" s="100" t="s">
        <v>344</v>
      </c>
      <c r="X456" s="100" t="s">
        <v>344</v>
      </c>
      <c r="Y456" s="110" t="s">
        <v>344</v>
      </c>
      <c r="Z456" s="110" t="s">
        <v>344</v>
      </c>
      <c r="AA456" s="100" t="s">
        <v>1008</v>
      </c>
      <c r="AB456" s="108"/>
      <c r="AC456" s="109" t="s">
        <v>458</v>
      </c>
      <c r="AD456" s="109" t="s">
        <v>382</v>
      </c>
      <c r="AE456" s="109" t="s">
        <v>373</v>
      </c>
      <c r="AF456" s="109"/>
      <c r="AG456" s="108"/>
      <c r="AH456" s="108"/>
      <c r="AI456" s="100"/>
      <c r="AJ456" s="100"/>
      <c r="AK456" s="110"/>
      <c r="AL456" s="110"/>
      <c r="AM456" s="100"/>
      <c r="AN456" s="100"/>
      <c r="AO456" s="100"/>
      <c r="AP456" s="100"/>
      <c r="AQ456" s="100"/>
      <c r="AR456" s="100"/>
      <c r="AS456" s="100"/>
      <c r="AT456" s="100"/>
      <c r="AU456" s="100"/>
      <c r="AV456" s="100"/>
    </row>
    <row r="457" spans="1:48" ht="16.3">
      <c r="A457" s="611" t="s">
        <v>1</v>
      </c>
      <c r="B457" s="224">
        <f>SUM(J457+K457+L457+M457+N457+S457+V457+W457+X457+AA457+AI457+AJ457+AI457+AM457+AP457+AQ457+AS457+AT457+AU457+AV457+AN457)</f>
        <v>0</v>
      </c>
      <c r="C457" s="227">
        <f>B457</f>
        <v>0</v>
      </c>
      <c r="D457" s="159"/>
      <c r="E457" s="158"/>
      <c r="F457" s="96"/>
      <c r="G457" s="75"/>
      <c r="H457" s="96"/>
      <c r="I457" s="96"/>
      <c r="J457" s="75"/>
      <c r="K457" s="128"/>
      <c r="L457" s="75"/>
      <c r="M457" s="75"/>
      <c r="N457" s="75"/>
      <c r="O457" s="96"/>
      <c r="P457" s="163"/>
      <c r="Q457" s="109"/>
      <c r="R457" s="108"/>
      <c r="S457" s="100"/>
      <c r="T457" s="110"/>
      <c r="U457" s="110"/>
      <c r="V457" s="100"/>
      <c r="W457" s="100"/>
      <c r="X457" s="100"/>
      <c r="Y457" s="110"/>
      <c r="Z457" s="110"/>
      <c r="AA457" s="100"/>
      <c r="AB457" s="108"/>
      <c r="AC457" s="109">
        <v>1</v>
      </c>
      <c r="AD457" s="109">
        <v>1</v>
      </c>
      <c r="AE457" s="109">
        <v>1</v>
      </c>
      <c r="AF457" s="109"/>
      <c r="AG457" s="108"/>
      <c r="AH457" s="108"/>
      <c r="AI457" s="100"/>
      <c r="AJ457" s="100"/>
      <c r="AK457" s="110"/>
      <c r="AL457" s="110"/>
      <c r="AM457" s="100"/>
      <c r="AN457" s="100"/>
      <c r="AO457" s="100"/>
      <c r="AP457" s="100"/>
      <c r="AQ457" s="100"/>
      <c r="AR457" s="100"/>
      <c r="AS457" s="100"/>
      <c r="AT457" s="100"/>
      <c r="AU457" s="100"/>
      <c r="AV457" s="100"/>
    </row>
    <row r="458" spans="1:48" ht="16.3">
      <c r="A458" s="611" t="s">
        <v>2</v>
      </c>
      <c r="B458" s="224">
        <f>SUM(J458+K458+L458+M458+N458+S458+V458+W458+X458+AA458+AI458+AJ458+AI458+AM458+AP458+AQ458+AS458+AT458+AU458+AV458)</f>
        <v>0</v>
      </c>
      <c r="C458" s="227">
        <f t="shared" ref="C458:C461" si="70">B458</f>
        <v>0</v>
      </c>
      <c r="D458" s="159"/>
      <c r="E458" s="158"/>
      <c r="F458" s="96"/>
      <c r="G458" s="75"/>
      <c r="H458" s="96"/>
      <c r="I458" s="96"/>
      <c r="J458" s="75"/>
      <c r="K458" s="128"/>
      <c r="L458" s="75"/>
      <c r="M458" s="75"/>
      <c r="N458" s="75"/>
      <c r="O458" s="96"/>
      <c r="P458" s="163"/>
      <c r="Q458" s="109"/>
      <c r="R458" s="108"/>
      <c r="S458" s="100"/>
      <c r="T458" s="110"/>
      <c r="U458" s="110"/>
      <c r="V458" s="100"/>
      <c r="W458" s="100"/>
      <c r="X458" s="100"/>
      <c r="Y458" s="110"/>
      <c r="Z458" s="110"/>
      <c r="AA458" s="100"/>
      <c r="AB458" s="108"/>
      <c r="AC458" s="109"/>
      <c r="AD458" s="109"/>
      <c r="AE458" s="109"/>
      <c r="AF458" s="109"/>
      <c r="AG458" s="108"/>
      <c r="AH458" s="108"/>
      <c r="AI458" s="100"/>
      <c r="AJ458" s="100"/>
      <c r="AK458" s="110"/>
      <c r="AL458" s="110"/>
      <c r="AM458" s="100"/>
      <c r="AN458" s="100"/>
      <c r="AO458" s="100"/>
      <c r="AP458" s="100"/>
      <c r="AQ458" s="100"/>
      <c r="AR458" s="100"/>
      <c r="AS458" s="100"/>
      <c r="AT458" s="100"/>
      <c r="AU458" s="100"/>
      <c r="AV458" s="100"/>
    </row>
    <row r="459" spans="1:48" ht="16.3">
      <c r="A459" s="91" t="s">
        <v>363</v>
      </c>
      <c r="B459" s="224">
        <f>SUM(B457+B458)</f>
        <v>0</v>
      </c>
      <c r="C459" s="227">
        <f t="shared" si="70"/>
        <v>0</v>
      </c>
      <c r="D459" s="159"/>
      <c r="E459" s="158"/>
      <c r="F459" s="96"/>
      <c r="G459" s="75"/>
      <c r="H459" s="96"/>
      <c r="I459" s="96"/>
      <c r="J459" s="75"/>
      <c r="K459" s="128"/>
      <c r="L459" s="75"/>
      <c r="M459" s="75"/>
      <c r="N459" s="75"/>
      <c r="O459" s="96"/>
      <c r="P459" s="163"/>
      <c r="Q459" s="109"/>
      <c r="R459" s="108"/>
      <c r="S459" s="100"/>
      <c r="T459" s="110"/>
      <c r="U459" s="110"/>
      <c r="V459" s="100"/>
      <c r="W459" s="100"/>
      <c r="X459" s="100"/>
      <c r="Y459" s="110"/>
      <c r="Z459" s="110"/>
      <c r="AA459" s="100"/>
      <c r="AB459" s="108"/>
      <c r="AC459" s="109"/>
      <c r="AD459" s="109"/>
      <c r="AE459" s="109"/>
      <c r="AF459" s="109"/>
      <c r="AG459" s="108"/>
      <c r="AH459" s="108"/>
      <c r="AI459" s="100"/>
      <c r="AJ459" s="100"/>
      <c r="AK459" s="110"/>
      <c r="AL459" s="110"/>
      <c r="AM459" s="100"/>
      <c r="AN459" s="100"/>
      <c r="AO459" s="100"/>
      <c r="AP459" s="100"/>
      <c r="AQ459" s="100"/>
      <c r="AR459" s="100"/>
      <c r="AS459" s="100"/>
      <c r="AT459" s="100"/>
      <c r="AU459" s="100"/>
      <c r="AV459" s="100"/>
    </row>
    <row r="460" spans="1:48" ht="16.3">
      <c r="A460" s="91" t="s">
        <v>3</v>
      </c>
      <c r="B460" s="224">
        <f>SUM(J460+K460+L460+M460+N460+S460+V460+W460+X460+AA460+AI460+AJ460+AI460+AM460+AP460+AQ460+AS460+AT460+AU460+AV460)</f>
        <v>0</v>
      </c>
      <c r="C460" s="227">
        <f t="shared" si="70"/>
        <v>0</v>
      </c>
      <c r="D460" s="159"/>
      <c r="E460" s="158"/>
      <c r="F460" s="96"/>
      <c r="G460" s="75"/>
      <c r="H460" s="96"/>
      <c r="I460" s="96"/>
      <c r="J460" s="75"/>
      <c r="K460" s="128"/>
      <c r="L460" s="75"/>
      <c r="M460" s="75"/>
      <c r="N460" s="75"/>
      <c r="O460" s="96"/>
      <c r="P460" s="163"/>
      <c r="Q460" s="109"/>
      <c r="R460" s="108"/>
      <c r="S460" s="100"/>
      <c r="T460" s="110"/>
      <c r="U460" s="110"/>
      <c r="V460" s="100"/>
      <c r="W460" s="100"/>
      <c r="X460" s="100"/>
      <c r="Y460" s="110"/>
      <c r="Z460" s="110"/>
      <c r="AA460" s="100"/>
      <c r="AB460" s="108"/>
      <c r="AC460" s="109">
        <v>1</v>
      </c>
      <c r="AD460" s="109"/>
      <c r="AE460" s="109"/>
      <c r="AF460" s="109"/>
      <c r="AG460" s="108"/>
      <c r="AH460" s="108"/>
      <c r="AI460" s="100"/>
      <c r="AJ460" s="100"/>
      <c r="AK460" s="110"/>
      <c r="AL460" s="110"/>
      <c r="AM460" s="100"/>
      <c r="AN460" s="100"/>
      <c r="AO460" s="100"/>
      <c r="AP460" s="100"/>
      <c r="AQ460" s="100"/>
      <c r="AR460" s="100"/>
      <c r="AS460" s="100"/>
      <c r="AT460" s="100"/>
      <c r="AU460" s="100"/>
      <c r="AV460" s="100"/>
    </row>
    <row r="461" spans="1:48" ht="17" thickBot="1">
      <c r="A461" s="92" t="s">
        <v>4</v>
      </c>
      <c r="B461" s="225">
        <f>SUM(J461+K461+L461+M461+N461+S461+V461+W461+X461+AA461+AI461+AJ461+AI461+AM461+AP461+AQ461+AS461+AT461+AU461+AV461)</f>
        <v>0</v>
      </c>
      <c r="C461" s="228">
        <f t="shared" si="70"/>
        <v>0</v>
      </c>
      <c r="D461" s="160"/>
      <c r="E461" s="161"/>
      <c r="F461" s="114"/>
      <c r="G461" s="112"/>
      <c r="H461" s="114"/>
      <c r="I461" s="114"/>
      <c r="J461" s="112"/>
      <c r="K461" s="129"/>
      <c r="L461" s="112"/>
      <c r="M461" s="112"/>
      <c r="N461" s="112"/>
      <c r="O461" s="114"/>
      <c r="P461" s="164"/>
      <c r="Q461" s="118"/>
      <c r="R461" s="117"/>
      <c r="S461" s="116"/>
      <c r="T461" s="120"/>
      <c r="U461" s="120"/>
      <c r="V461" s="116"/>
      <c r="W461" s="116"/>
      <c r="X461" s="116"/>
      <c r="Y461" s="120"/>
      <c r="Z461" s="120"/>
      <c r="AA461" s="116"/>
      <c r="AB461" s="117"/>
      <c r="AC461" s="118">
        <v>5</v>
      </c>
      <c r="AD461" s="118"/>
      <c r="AE461" s="118"/>
      <c r="AF461" s="118"/>
      <c r="AG461" s="117"/>
      <c r="AH461" s="117"/>
      <c r="AI461" s="116"/>
      <c r="AJ461" s="116"/>
      <c r="AK461" s="120"/>
      <c r="AL461" s="120"/>
      <c r="AM461" s="116"/>
      <c r="AN461" s="116"/>
      <c r="AO461" s="116"/>
      <c r="AP461" s="116"/>
      <c r="AQ461" s="116"/>
      <c r="AR461" s="116"/>
      <c r="AS461" s="116"/>
      <c r="AT461" s="116"/>
      <c r="AU461" s="116"/>
      <c r="AV461" s="116"/>
    </row>
    <row r="462" spans="1:48" ht="21.1">
      <c r="A462" s="89" t="s">
        <v>309</v>
      </c>
      <c r="B462" s="224"/>
      <c r="C462" s="227"/>
      <c r="D462" s="159"/>
      <c r="E462" s="158"/>
      <c r="F462" s="96"/>
      <c r="G462" s="75"/>
      <c r="H462" s="96"/>
      <c r="I462" s="96"/>
      <c r="J462" s="75"/>
      <c r="K462" s="128"/>
      <c r="L462" s="75"/>
      <c r="M462" s="75"/>
      <c r="N462" s="75"/>
      <c r="O462" s="96" t="s">
        <v>791</v>
      </c>
      <c r="P462" s="163"/>
      <c r="Q462" s="109">
        <v>7</v>
      </c>
      <c r="R462" s="108"/>
      <c r="S462" s="100"/>
      <c r="T462" s="110"/>
      <c r="U462" s="110"/>
      <c r="V462" s="100"/>
      <c r="W462" s="100"/>
      <c r="X462" s="100"/>
      <c r="Y462" s="110"/>
      <c r="Z462" s="110"/>
      <c r="AA462" s="100" t="s">
        <v>375</v>
      </c>
      <c r="AB462" s="108"/>
      <c r="AC462" s="109" t="s">
        <v>373</v>
      </c>
      <c r="AD462" s="109"/>
      <c r="AE462" s="109"/>
      <c r="AF462" s="109"/>
      <c r="AG462" s="108"/>
      <c r="AH462" s="108"/>
      <c r="AI462" s="100"/>
      <c r="AJ462" s="100"/>
      <c r="AK462" s="110"/>
      <c r="AL462" s="110"/>
      <c r="AM462" s="100"/>
      <c r="AN462" s="100"/>
      <c r="AO462" s="100"/>
      <c r="AP462" s="100"/>
      <c r="AQ462" s="100"/>
      <c r="AR462" s="100"/>
      <c r="AS462" s="100"/>
      <c r="AT462" s="100"/>
      <c r="AU462" s="100"/>
      <c r="AV462" s="100"/>
    </row>
    <row r="463" spans="1:48" ht="16.3">
      <c r="A463" s="611" t="s">
        <v>1</v>
      </c>
      <c r="B463" s="230">
        <f>SUM(J463+K463+L463+M463+N463+S463+V463+W463+X463+AA463+AI463+AJ463+AI463+AM463+AP463+AQ463+AS463+AT463+AU463+AV463+AN463)</f>
        <v>0</v>
      </c>
      <c r="C463" s="231">
        <f>B463</f>
        <v>0</v>
      </c>
      <c r="D463" s="159"/>
      <c r="E463" s="158"/>
      <c r="F463" s="96"/>
      <c r="G463" s="75"/>
      <c r="H463" s="96"/>
      <c r="I463" s="96"/>
      <c r="J463" s="75"/>
      <c r="K463" s="128"/>
      <c r="L463" s="75"/>
      <c r="M463" s="75"/>
      <c r="N463" s="75"/>
      <c r="O463" s="96">
        <v>1</v>
      </c>
      <c r="P463" s="163"/>
      <c r="Q463" s="109">
        <v>1</v>
      </c>
      <c r="R463" s="108"/>
      <c r="S463" s="100"/>
      <c r="T463" s="110"/>
      <c r="U463" s="110"/>
      <c r="V463" s="100"/>
      <c r="W463" s="100"/>
      <c r="X463" s="100"/>
      <c r="Y463" s="110"/>
      <c r="Z463" s="110"/>
      <c r="AA463" s="100"/>
      <c r="AB463" s="108"/>
      <c r="AC463" s="109">
        <v>1</v>
      </c>
      <c r="AD463" s="109"/>
      <c r="AE463" s="109"/>
      <c r="AF463" s="109"/>
      <c r="AG463" s="108"/>
      <c r="AH463" s="108"/>
      <c r="AI463" s="100"/>
      <c r="AJ463" s="100"/>
      <c r="AK463" s="110"/>
      <c r="AL463" s="110"/>
      <c r="AM463" s="100"/>
      <c r="AN463" s="100"/>
      <c r="AO463" s="100"/>
      <c r="AP463" s="100"/>
      <c r="AQ463" s="100"/>
      <c r="AR463" s="100"/>
      <c r="AS463" s="100"/>
      <c r="AT463" s="100"/>
      <c r="AU463" s="100"/>
      <c r="AV463" s="100"/>
    </row>
    <row r="464" spans="1:48" ht="16.3">
      <c r="A464" s="611" t="s">
        <v>2</v>
      </c>
      <c r="B464" s="230">
        <f>SUM(J464+K464+L464+M464+N464+S464+V464+W464+X464+AA464+AI464+AJ464+AI464+AM464+AP464+AQ464+AS464+AT464+AU464+AV464)</f>
        <v>1</v>
      </c>
      <c r="C464" s="231">
        <f t="shared" ref="C464:C467" si="71">B464</f>
        <v>1</v>
      </c>
      <c r="D464" s="159"/>
      <c r="E464" s="158"/>
      <c r="F464" s="96"/>
      <c r="G464" s="75"/>
      <c r="H464" s="96"/>
      <c r="I464" s="96"/>
      <c r="J464" s="75"/>
      <c r="K464" s="128"/>
      <c r="L464" s="75"/>
      <c r="M464" s="75"/>
      <c r="N464" s="75"/>
      <c r="O464" s="96"/>
      <c r="P464" s="163"/>
      <c r="Q464" s="109"/>
      <c r="R464" s="108"/>
      <c r="S464" s="100"/>
      <c r="T464" s="110"/>
      <c r="U464" s="110"/>
      <c r="V464" s="100"/>
      <c r="W464" s="100"/>
      <c r="X464" s="100"/>
      <c r="Y464" s="110"/>
      <c r="Z464" s="110"/>
      <c r="AA464" s="100">
        <v>1</v>
      </c>
      <c r="AB464" s="108"/>
      <c r="AC464" s="109"/>
      <c r="AD464" s="109"/>
      <c r="AE464" s="109"/>
      <c r="AF464" s="109"/>
      <c r="AG464" s="108"/>
      <c r="AH464" s="108"/>
      <c r="AI464" s="100"/>
      <c r="AJ464" s="100"/>
      <c r="AK464" s="110"/>
      <c r="AL464" s="110"/>
      <c r="AM464" s="100"/>
      <c r="AN464" s="100"/>
      <c r="AO464" s="100"/>
      <c r="AP464" s="100"/>
      <c r="AQ464" s="100"/>
      <c r="AR464" s="100"/>
      <c r="AS464" s="100"/>
      <c r="AT464" s="100"/>
      <c r="AU464" s="100"/>
      <c r="AV464" s="100"/>
    </row>
    <row r="465" spans="1:48" ht="16.3">
      <c r="A465" s="91" t="s">
        <v>363</v>
      </c>
      <c r="B465" s="224">
        <f>SUM(B463+B464)</f>
        <v>1</v>
      </c>
      <c r="C465" s="227">
        <f t="shared" si="71"/>
        <v>1</v>
      </c>
      <c r="D465" s="159"/>
      <c r="E465" s="158"/>
      <c r="F465" s="96"/>
      <c r="G465" s="75"/>
      <c r="H465" s="96"/>
      <c r="I465" s="96"/>
      <c r="J465" s="75"/>
      <c r="K465" s="128"/>
      <c r="L465" s="75"/>
      <c r="M465" s="75"/>
      <c r="N465" s="75"/>
      <c r="O465" s="96"/>
      <c r="P465" s="163"/>
      <c r="Q465" s="109"/>
      <c r="R465" s="108"/>
      <c r="S465" s="100"/>
      <c r="T465" s="110"/>
      <c r="U465" s="110"/>
      <c r="V465" s="100"/>
      <c r="W465" s="100"/>
      <c r="X465" s="100"/>
      <c r="Y465" s="110"/>
      <c r="Z465" s="110"/>
      <c r="AA465" s="100"/>
      <c r="AB465" s="108"/>
      <c r="AC465" s="109"/>
      <c r="AD465" s="109"/>
      <c r="AE465" s="109"/>
      <c r="AF465" s="109"/>
      <c r="AG465" s="108"/>
      <c r="AH465" s="108"/>
      <c r="AI465" s="100"/>
      <c r="AJ465" s="100"/>
      <c r="AK465" s="110"/>
      <c r="AL465" s="110"/>
      <c r="AM465" s="100"/>
      <c r="AN465" s="100"/>
      <c r="AO465" s="100"/>
      <c r="AP465" s="100"/>
      <c r="AQ465" s="100"/>
      <c r="AR465" s="100"/>
      <c r="AS465" s="100"/>
      <c r="AT465" s="100"/>
      <c r="AU465" s="100"/>
      <c r="AV465" s="100"/>
    </row>
    <row r="466" spans="1:48" ht="16.3">
      <c r="A466" s="91" t="s">
        <v>3</v>
      </c>
      <c r="B466" s="224">
        <f>SUM(J466+K466+L466+M466+N466+S466+V466+W466+X466+AA466+AI466+AJ466+AI466+AM466+AP466+AQ466+AS466+AT466+AU466+AV466)</f>
        <v>0</v>
      </c>
      <c r="C466" s="227">
        <f t="shared" si="71"/>
        <v>0</v>
      </c>
      <c r="D466" s="159"/>
      <c r="E466" s="158"/>
      <c r="F466" s="96"/>
      <c r="G466" s="75"/>
      <c r="H466" s="96"/>
      <c r="I466" s="96"/>
      <c r="J466" s="75"/>
      <c r="K466" s="128"/>
      <c r="L466" s="75"/>
      <c r="M466" s="75"/>
      <c r="N466" s="75"/>
      <c r="O466" s="96">
        <v>1</v>
      </c>
      <c r="P466" s="163"/>
      <c r="Q466" s="109">
        <v>1</v>
      </c>
      <c r="R466" s="108"/>
      <c r="S466" s="100"/>
      <c r="T466" s="110"/>
      <c r="U466" s="110"/>
      <c r="V466" s="100"/>
      <c r="W466" s="100"/>
      <c r="X466" s="100"/>
      <c r="Y466" s="110"/>
      <c r="Z466" s="110"/>
      <c r="AA466" s="100"/>
      <c r="AB466" s="108"/>
      <c r="AC466" s="109"/>
      <c r="AD466" s="109"/>
      <c r="AE466" s="109"/>
      <c r="AF466" s="109"/>
      <c r="AG466" s="108"/>
      <c r="AH466" s="108"/>
      <c r="AI466" s="100"/>
      <c r="AJ466" s="100"/>
      <c r="AK466" s="110"/>
      <c r="AL466" s="110"/>
      <c r="AM466" s="100"/>
      <c r="AN466" s="100"/>
      <c r="AO466" s="100"/>
      <c r="AP466" s="100"/>
      <c r="AQ466" s="100"/>
      <c r="AR466" s="100"/>
      <c r="AS466" s="100"/>
      <c r="AT466" s="100"/>
      <c r="AU466" s="100"/>
      <c r="AV466" s="100"/>
    </row>
    <row r="467" spans="1:48" ht="17" thickBot="1">
      <c r="A467" s="92" t="s">
        <v>4</v>
      </c>
      <c r="B467" s="225">
        <f>SUM(J467+K467+L467+M467+N467+S467+V467+W467+X467+AA467+AI467+AJ467+AI467+AM467+AP467+AQ467+AS467+AT467+AU467+AV467)</f>
        <v>0</v>
      </c>
      <c r="C467" s="228">
        <f t="shared" si="71"/>
        <v>0</v>
      </c>
      <c r="D467" s="160"/>
      <c r="E467" s="161"/>
      <c r="F467" s="114"/>
      <c r="G467" s="112"/>
      <c r="H467" s="114"/>
      <c r="I467" s="114"/>
      <c r="J467" s="112"/>
      <c r="K467" s="129"/>
      <c r="L467" s="112"/>
      <c r="M467" s="112"/>
      <c r="N467" s="112"/>
      <c r="O467" s="114">
        <v>5</v>
      </c>
      <c r="P467" s="164"/>
      <c r="Q467" s="118">
        <v>5</v>
      </c>
      <c r="R467" s="117"/>
      <c r="S467" s="116"/>
      <c r="T467" s="120"/>
      <c r="U467" s="120"/>
      <c r="V467" s="116"/>
      <c r="W467" s="116"/>
      <c r="X467" s="116"/>
      <c r="Y467" s="120"/>
      <c r="Z467" s="120"/>
      <c r="AA467" s="116"/>
      <c r="AB467" s="117"/>
      <c r="AC467" s="118"/>
      <c r="AD467" s="118"/>
      <c r="AE467" s="118"/>
      <c r="AF467" s="118"/>
      <c r="AG467" s="117"/>
      <c r="AH467" s="117"/>
      <c r="AI467" s="116"/>
      <c r="AJ467" s="116"/>
      <c r="AK467" s="120"/>
      <c r="AL467" s="120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</row>
    <row r="468" spans="1:48" ht="21.1">
      <c r="A468" s="89" t="s">
        <v>792</v>
      </c>
      <c r="B468" s="224"/>
      <c r="C468" s="227"/>
      <c r="D468" s="159"/>
      <c r="E468" s="158"/>
      <c r="F468" s="96"/>
      <c r="G468" s="75"/>
      <c r="H468" s="96"/>
      <c r="I468" s="96"/>
      <c r="J468" s="75"/>
      <c r="K468" s="128"/>
      <c r="L468" s="75"/>
      <c r="M468" s="75"/>
      <c r="N468" s="75"/>
      <c r="O468" s="96" t="s">
        <v>432</v>
      </c>
      <c r="P468" s="163"/>
      <c r="Q468" s="109" t="s">
        <v>375</v>
      </c>
      <c r="R468" s="108"/>
      <c r="S468" s="100"/>
      <c r="T468" s="110"/>
      <c r="U468" s="110"/>
      <c r="V468" s="100"/>
      <c r="W468" s="100"/>
      <c r="X468" s="100"/>
      <c r="Y468" s="110"/>
      <c r="Z468" s="110" t="s">
        <v>984</v>
      </c>
      <c r="AA468" s="100" t="s">
        <v>984</v>
      </c>
      <c r="AB468" s="108"/>
      <c r="AC468" s="109"/>
      <c r="AD468" s="109"/>
      <c r="AE468" s="109"/>
      <c r="AF468" s="109"/>
      <c r="AG468" s="108"/>
      <c r="AH468" s="108"/>
      <c r="AI468" s="100"/>
      <c r="AJ468" s="100"/>
      <c r="AK468" s="110"/>
      <c r="AL468" s="110"/>
      <c r="AM468" s="100"/>
      <c r="AN468" s="100"/>
      <c r="AO468" s="100"/>
      <c r="AP468" s="100"/>
      <c r="AQ468" s="100"/>
      <c r="AR468" s="100"/>
      <c r="AS468" s="100"/>
      <c r="AT468" s="100"/>
      <c r="AU468" s="100"/>
      <c r="AV468" s="100"/>
    </row>
    <row r="469" spans="1:48" ht="16.3">
      <c r="A469" s="611" t="s">
        <v>1</v>
      </c>
      <c r="B469" s="230">
        <f>SUM(J469+K469+L469+M469+N469+S469+V469+W469+X469+AA469+AI469+AJ469+AI469+AM469+AP469+AQ469+AS469+AT469+AU469+AV469+AN469)</f>
        <v>0</v>
      </c>
      <c r="C469" s="231">
        <f>B469</f>
        <v>0</v>
      </c>
      <c r="D469" s="159"/>
      <c r="E469" s="158"/>
      <c r="F469" s="96"/>
      <c r="G469" s="75"/>
      <c r="H469" s="96"/>
      <c r="I469" s="96"/>
      <c r="J469" s="75"/>
      <c r="K469" s="128"/>
      <c r="L469" s="75"/>
      <c r="M469" s="75"/>
      <c r="N469" s="75"/>
      <c r="O469" s="96"/>
      <c r="P469" s="163"/>
      <c r="Q469" s="109"/>
      <c r="R469" s="108"/>
      <c r="S469" s="100"/>
      <c r="T469" s="110"/>
      <c r="U469" s="110"/>
      <c r="V469" s="100"/>
      <c r="W469" s="100"/>
      <c r="X469" s="100"/>
      <c r="Y469" s="110"/>
      <c r="Z469" s="110"/>
      <c r="AA469" s="100"/>
      <c r="AB469" s="108"/>
      <c r="AC469" s="109"/>
      <c r="AD469" s="109"/>
      <c r="AE469" s="109"/>
      <c r="AF469" s="109"/>
      <c r="AG469" s="108"/>
      <c r="AH469" s="108"/>
      <c r="AI469" s="100"/>
      <c r="AJ469" s="100"/>
      <c r="AK469" s="110"/>
      <c r="AL469" s="110"/>
      <c r="AM469" s="100"/>
      <c r="AN469" s="100"/>
      <c r="AO469" s="100"/>
      <c r="AP469" s="100"/>
      <c r="AQ469" s="100"/>
      <c r="AR469" s="100"/>
      <c r="AS469" s="100"/>
      <c r="AT469" s="100"/>
      <c r="AU469" s="100"/>
      <c r="AV469" s="100"/>
    </row>
    <row r="470" spans="1:48" ht="16.3">
      <c r="A470" s="611" t="s">
        <v>2</v>
      </c>
      <c r="B470" s="230">
        <f>SUM(J470+K470+L470+M470+N470+S470+V470+W470+X470+AA470+AI470+AJ470+AI470+AM470+AP470+AQ470+AS470+AT470+AU470+AV470)</f>
        <v>0</v>
      </c>
      <c r="C470" s="231">
        <f t="shared" ref="C470:C473" si="72">B470</f>
        <v>0</v>
      </c>
      <c r="D470" s="159"/>
      <c r="E470" s="158"/>
      <c r="F470" s="96"/>
      <c r="G470" s="75"/>
      <c r="H470" s="96"/>
      <c r="I470" s="96"/>
      <c r="J470" s="75"/>
      <c r="K470" s="128"/>
      <c r="L470" s="75"/>
      <c r="M470" s="75"/>
      <c r="N470" s="75"/>
      <c r="O470" s="96">
        <v>1</v>
      </c>
      <c r="P470" s="163"/>
      <c r="Q470" s="109">
        <v>1</v>
      </c>
      <c r="R470" s="108"/>
      <c r="S470" s="100"/>
      <c r="T470" s="110"/>
      <c r="U470" s="110"/>
      <c r="V470" s="100"/>
      <c r="W470" s="100"/>
      <c r="X470" s="100"/>
      <c r="Y470" s="110"/>
      <c r="Z470" s="110"/>
      <c r="AA470" s="100"/>
      <c r="AB470" s="108"/>
      <c r="AC470" s="109"/>
      <c r="AD470" s="109"/>
      <c r="AE470" s="109"/>
      <c r="AF470" s="109"/>
      <c r="AG470" s="108"/>
      <c r="AH470" s="108"/>
      <c r="AI470" s="100"/>
      <c r="AJ470" s="100"/>
      <c r="AK470" s="110"/>
      <c r="AL470" s="110"/>
      <c r="AM470" s="100"/>
      <c r="AN470" s="100"/>
      <c r="AO470" s="100"/>
      <c r="AP470" s="100"/>
      <c r="AQ470" s="100"/>
      <c r="AR470" s="100"/>
      <c r="AS470" s="100"/>
      <c r="AT470" s="100"/>
      <c r="AU470" s="100"/>
      <c r="AV470" s="100"/>
    </row>
    <row r="471" spans="1:48" ht="16.3">
      <c r="A471" s="91" t="s">
        <v>363</v>
      </c>
      <c r="B471" s="224">
        <f>SUM(B469+B470)</f>
        <v>0</v>
      </c>
      <c r="C471" s="227">
        <f t="shared" si="72"/>
        <v>0</v>
      </c>
      <c r="D471" s="159"/>
      <c r="E471" s="158"/>
      <c r="F471" s="96"/>
      <c r="G471" s="75"/>
      <c r="H471" s="96"/>
      <c r="I471" s="96"/>
      <c r="J471" s="75"/>
      <c r="K471" s="128"/>
      <c r="L471" s="75"/>
      <c r="M471" s="75"/>
      <c r="N471" s="75"/>
      <c r="O471" s="96"/>
      <c r="P471" s="163"/>
      <c r="Q471" s="109"/>
      <c r="R471" s="108"/>
      <c r="S471" s="100"/>
      <c r="T471" s="110"/>
      <c r="U471" s="110"/>
      <c r="V471" s="100"/>
      <c r="W471" s="100"/>
      <c r="X471" s="100"/>
      <c r="Y471" s="110"/>
      <c r="Z471" s="110"/>
      <c r="AA471" s="100"/>
      <c r="AB471" s="108"/>
      <c r="AC471" s="109"/>
      <c r="AD471" s="109"/>
      <c r="AE471" s="109"/>
      <c r="AF471" s="109"/>
      <c r="AG471" s="108"/>
      <c r="AH471" s="108"/>
      <c r="AI471" s="100"/>
      <c r="AJ471" s="100"/>
      <c r="AK471" s="110"/>
      <c r="AL471" s="110"/>
      <c r="AM471" s="100"/>
      <c r="AN471" s="100"/>
      <c r="AO471" s="100"/>
      <c r="AP471" s="100"/>
      <c r="AQ471" s="100"/>
      <c r="AR471" s="100"/>
      <c r="AS471" s="100"/>
      <c r="AT471" s="100"/>
      <c r="AU471" s="100"/>
      <c r="AV471" s="100"/>
    </row>
    <row r="472" spans="1:48" ht="16.3">
      <c r="A472" s="91" t="s">
        <v>3</v>
      </c>
      <c r="B472" s="224">
        <f>SUM(J472+K472+L472+M472+N472+S472+V472+W472+X472+AA472+AI472+AJ472+AI472+AM472+AP472+AQ472+AS472+AT472+AU472+AV472)</f>
        <v>0</v>
      </c>
      <c r="C472" s="227">
        <f t="shared" si="72"/>
        <v>0</v>
      </c>
      <c r="D472" s="159"/>
      <c r="E472" s="158"/>
      <c r="F472" s="96"/>
      <c r="G472" s="75"/>
      <c r="H472" s="96"/>
      <c r="I472" s="96"/>
      <c r="J472" s="75"/>
      <c r="K472" s="128"/>
      <c r="L472" s="75"/>
      <c r="M472" s="75"/>
      <c r="N472" s="75"/>
      <c r="O472" s="96"/>
      <c r="P472" s="163"/>
      <c r="Q472" s="109"/>
      <c r="R472" s="108"/>
      <c r="S472" s="100"/>
      <c r="T472" s="110"/>
      <c r="U472" s="110"/>
      <c r="V472" s="100"/>
      <c r="W472" s="100"/>
      <c r="X472" s="100"/>
      <c r="Y472" s="110"/>
      <c r="Z472" s="110"/>
      <c r="AA472" s="100"/>
      <c r="AB472" s="108"/>
      <c r="AC472" s="109"/>
      <c r="AD472" s="109"/>
      <c r="AE472" s="109"/>
      <c r="AF472" s="109"/>
      <c r="AG472" s="108"/>
      <c r="AH472" s="108"/>
      <c r="AI472" s="100"/>
      <c r="AJ472" s="100"/>
      <c r="AK472" s="110"/>
      <c r="AL472" s="110"/>
      <c r="AM472" s="100"/>
      <c r="AN472" s="100"/>
      <c r="AO472" s="100"/>
      <c r="AP472" s="100"/>
      <c r="AQ472" s="100"/>
      <c r="AR472" s="100"/>
      <c r="AS472" s="100"/>
      <c r="AT472" s="100"/>
      <c r="AU472" s="100"/>
      <c r="AV472" s="100"/>
    </row>
    <row r="473" spans="1:48" ht="17" thickBot="1">
      <c r="A473" s="92" t="s">
        <v>4</v>
      </c>
      <c r="B473" s="225">
        <f>SUM(J473+K473+L473+M473+N473+S473+V473+W473+X473+AA473+AI473+AJ473+AI473+AM473+AP473+AQ473+AS473+AT473+AU473+AV473)</f>
        <v>0</v>
      </c>
      <c r="C473" s="228">
        <f t="shared" si="72"/>
        <v>0</v>
      </c>
      <c r="D473" s="160"/>
      <c r="E473" s="161"/>
      <c r="F473" s="114"/>
      <c r="G473" s="112"/>
      <c r="H473" s="114"/>
      <c r="I473" s="114"/>
      <c r="J473" s="112"/>
      <c r="K473" s="129"/>
      <c r="L473" s="112"/>
      <c r="M473" s="112"/>
      <c r="N473" s="112"/>
      <c r="O473" s="114"/>
      <c r="P473" s="164"/>
      <c r="Q473" s="118"/>
      <c r="R473" s="117"/>
      <c r="S473" s="116"/>
      <c r="T473" s="120"/>
      <c r="U473" s="120"/>
      <c r="V473" s="116"/>
      <c r="W473" s="116"/>
      <c r="X473" s="116"/>
      <c r="Y473" s="120"/>
      <c r="Z473" s="120"/>
      <c r="AA473" s="116"/>
      <c r="AB473" s="117"/>
      <c r="AC473" s="118"/>
      <c r="AD473" s="118"/>
      <c r="AE473" s="118"/>
      <c r="AF473" s="118"/>
      <c r="AG473" s="117"/>
      <c r="AH473" s="117"/>
      <c r="AI473" s="116"/>
      <c r="AJ473" s="116"/>
      <c r="AK473" s="120"/>
      <c r="AL473" s="120"/>
      <c r="AM473" s="116"/>
      <c r="AN473" s="116"/>
      <c r="AO473" s="116"/>
      <c r="AP473" s="116"/>
      <c r="AQ473" s="116"/>
      <c r="AR473" s="116"/>
      <c r="AS473" s="116"/>
      <c r="AT473" s="116"/>
      <c r="AU473" s="116"/>
      <c r="AV473" s="116"/>
    </row>
    <row r="474" spans="1:48" ht="21.1">
      <c r="A474" s="89" t="s">
        <v>310</v>
      </c>
      <c r="B474" s="224"/>
      <c r="C474" s="227"/>
      <c r="D474" s="159"/>
      <c r="E474" s="158"/>
      <c r="F474" s="96"/>
      <c r="G474" s="75"/>
      <c r="H474" s="96" t="s">
        <v>374</v>
      </c>
      <c r="I474" s="96" t="s">
        <v>339</v>
      </c>
      <c r="J474" s="75" t="s">
        <v>339</v>
      </c>
      <c r="K474" s="128" t="s">
        <v>339</v>
      </c>
      <c r="L474" s="75" t="s">
        <v>339</v>
      </c>
      <c r="M474" s="75" t="s">
        <v>339</v>
      </c>
      <c r="N474" s="75"/>
      <c r="O474" s="96" t="s">
        <v>374</v>
      </c>
      <c r="P474" s="163"/>
      <c r="Q474" s="109" t="s">
        <v>374</v>
      </c>
      <c r="R474" s="108"/>
      <c r="S474" s="100"/>
      <c r="T474" s="110" t="s">
        <v>375</v>
      </c>
      <c r="U474" s="110"/>
      <c r="V474" s="100"/>
      <c r="W474" s="100"/>
      <c r="X474" s="100"/>
      <c r="Y474" s="110"/>
      <c r="Z474" s="110"/>
      <c r="AA474" s="100"/>
      <c r="AB474" s="108"/>
      <c r="AC474" s="109"/>
      <c r="AD474" s="109"/>
      <c r="AE474" s="109"/>
      <c r="AF474" s="109"/>
      <c r="AG474" s="108"/>
      <c r="AH474" s="108"/>
      <c r="AI474" s="100"/>
      <c r="AJ474" s="100"/>
      <c r="AK474" s="110"/>
      <c r="AL474" s="110"/>
      <c r="AM474" s="100"/>
      <c r="AN474" s="100"/>
      <c r="AO474" s="100"/>
      <c r="AP474" s="100"/>
      <c r="AQ474" s="100"/>
      <c r="AR474" s="100"/>
      <c r="AS474" s="100"/>
      <c r="AT474" s="100"/>
      <c r="AU474" s="100"/>
      <c r="AV474" s="100"/>
    </row>
    <row r="475" spans="1:48" ht="16.3">
      <c r="A475" s="611" t="s">
        <v>1</v>
      </c>
      <c r="B475" s="230">
        <f>SUM(J475+K475+L475+M475+N475+S475+V475+W475+X475+AA475+AI475+AJ475+AI475+AM475+AP475+AQ475+AS475+AT475+AU475+AV475+AN475)</f>
        <v>0</v>
      </c>
      <c r="C475" s="231">
        <f>B475</f>
        <v>0</v>
      </c>
      <c r="D475" s="159"/>
      <c r="E475" s="158"/>
      <c r="F475" s="96"/>
      <c r="G475" s="75"/>
      <c r="H475" s="96">
        <v>1</v>
      </c>
      <c r="I475" s="96"/>
      <c r="J475" s="75"/>
      <c r="K475" s="128"/>
      <c r="L475" s="75"/>
      <c r="M475" s="75"/>
      <c r="N475" s="75"/>
      <c r="O475" s="96">
        <v>1</v>
      </c>
      <c r="P475" s="163"/>
      <c r="Q475" s="109">
        <v>1</v>
      </c>
      <c r="R475" s="108"/>
      <c r="S475" s="100"/>
      <c r="T475" s="110"/>
      <c r="U475" s="110"/>
      <c r="V475" s="100"/>
      <c r="W475" s="100"/>
      <c r="X475" s="100"/>
      <c r="Y475" s="110"/>
      <c r="Z475" s="110"/>
      <c r="AA475" s="100"/>
      <c r="AB475" s="108"/>
      <c r="AC475" s="109"/>
      <c r="AD475" s="109"/>
      <c r="AE475" s="109"/>
      <c r="AF475" s="109"/>
      <c r="AG475" s="108"/>
      <c r="AH475" s="108"/>
      <c r="AI475" s="100"/>
      <c r="AJ475" s="100"/>
      <c r="AK475" s="110"/>
      <c r="AL475" s="110"/>
      <c r="AM475" s="100"/>
      <c r="AN475" s="100"/>
      <c r="AO475" s="100"/>
      <c r="AP475" s="100"/>
      <c r="AQ475" s="100"/>
      <c r="AR475" s="100"/>
      <c r="AS475" s="100"/>
      <c r="AT475" s="100"/>
      <c r="AU475" s="100"/>
      <c r="AV475" s="100"/>
    </row>
    <row r="476" spans="1:48" ht="16.3">
      <c r="A476" s="611" t="s">
        <v>2</v>
      </c>
      <c r="B476" s="230">
        <f>SUM(J476+K476+L476+M476+N476+S476+V476+W476+X476+AA476+AI476+AJ476+AI476+AM476+AP476+AQ476+AS476+AT476+AU476+AV476)</f>
        <v>0</v>
      </c>
      <c r="C476" s="231">
        <f t="shared" ref="C476:C479" si="73">B476</f>
        <v>0</v>
      </c>
      <c r="D476" s="159"/>
      <c r="E476" s="158"/>
      <c r="F476" s="96"/>
      <c r="G476" s="75"/>
      <c r="H476" s="96"/>
      <c r="I476" s="96"/>
      <c r="J476" s="75"/>
      <c r="K476" s="128"/>
      <c r="L476" s="75"/>
      <c r="M476" s="75"/>
      <c r="N476" s="75"/>
      <c r="O476" s="96"/>
      <c r="P476" s="163"/>
      <c r="Q476" s="109"/>
      <c r="R476" s="108"/>
      <c r="S476" s="100"/>
      <c r="T476" s="110">
        <v>1</v>
      </c>
      <c r="U476" s="110"/>
      <c r="V476" s="100"/>
      <c r="W476" s="100"/>
      <c r="X476" s="100"/>
      <c r="Y476" s="110"/>
      <c r="Z476" s="110"/>
      <c r="AA476" s="100"/>
      <c r="AB476" s="108"/>
      <c r="AC476" s="109"/>
      <c r="AD476" s="109"/>
      <c r="AE476" s="109"/>
      <c r="AF476" s="109"/>
      <c r="AG476" s="108"/>
      <c r="AH476" s="108"/>
      <c r="AI476" s="100"/>
      <c r="AJ476" s="100"/>
      <c r="AK476" s="110"/>
      <c r="AL476" s="110"/>
      <c r="AM476" s="100"/>
      <c r="AN476" s="100"/>
      <c r="AO476" s="100"/>
      <c r="AP476" s="100"/>
      <c r="AQ476" s="100"/>
      <c r="AR476" s="100"/>
      <c r="AS476" s="100"/>
      <c r="AT476" s="100"/>
      <c r="AU476" s="100"/>
      <c r="AV476" s="100"/>
    </row>
    <row r="477" spans="1:48" ht="16.3">
      <c r="A477" s="91" t="s">
        <v>363</v>
      </c>
      <c r="B477" s="224">
        <f>SUM(B475+B476)</f>
        <v>0</v>
      </c>
      <c r="C477" s="227">
        <f t="shared" si="73"/>
        <v>0</v>
      </c>
      <c r="D477" s="159"/>
      <c r="E477" s="158"/>
      <c r="F477" s="96"/>
      <c r="G477" s="75"/>
      <c r="H477" s="96"/>
      <c r="I477" s="96"/>
      <c r="J477" s="75"/>
      <c r="K477" s="128"/>
      <c r="L477" s="75"/>
      <c r="M477" s="75"/>
      <c r="N477" s="75"/>
      <c r="O477" s="96"/>
      <c r="P477" s="163"/>
      <c r="Q477" s="109"/>
      <c r="R477" s="108"/>
      <c r="S477" s="100"/>
      <c r="T477" s="110"/>
      <c r="U477" s="110"/>
      <c r="V477" s="100"/>
      <c r="W477" s="100"/>
      <c r="X477" s="100"/>
      <c r="Y477" s="110"/>
      <c r="Z477" s="110"/>
      <c r="AA477" s="100"/>
      <c r="AB477" s="108"/>
      <c r="AC477" s="109"/>
      <c r="AD477" s="109"/>
      <c r="AE477" s="109"/>
      <c r="AF477" s="109"/>
      <c r="AG477" s="108"/>
      <c r="AH477" s="108"/>
      <c r="AI477" s="100"/>
      <c r="AJ477" s="100"/>
      <c r="AK477" s="110"/>
      <c r="AL477" s="110"/>
      <c r="AM477" s="100"/>
      <c r="AN477" s="100"/>
      <c r="AO477" s="100"/>
      <c r="AP477" s="100"/>
      <c r="AQ477" s="100"/>
      <c r="AR477" s="100"/>
      <c r="AS477" s="100"/>
      <c r="AT477" s="100"/>
      <c r="AU477" s="100"/>
      <c r="AV477" s="100"/>
    </row>
    <row r="478" spans="1:48" ht="16.3">
      <c r="A478" s="91" t="s">
        <v>3</v>
      </c>
      <c r="B478" s="224">
        <f>SUM(J478+K478+L478+M478+N478+S478+V478+W478+X478+AA478+AI478+AJ478+AI478+AM478+AP478+AQ478+AS478+AT478+AU478+AV478)</f>
        <v>0</v>
      </c>
      <c r="C478" s="227">
        <f t="shared" si="73"/>
        <v>0</v>
      </c>
      <c r="D478" s="159"/>
      <c r="E478" s="158"/>
      <c r="F478" s="96"/>
      <c r="G478" s="75"/>
      <c r="H478" s="96"/>
      <c r="I478" s="96"/>
      <c r="J478" s="75"/>
      <c r="K478" s="128"/>
      <c r="L478" s="75"/>
      <c r="M478" s="75"/>
      <c r="N478" s="75"/>
      <c r="O478" s="96"/>
      <c r="P478" s="163"/>
      <c r="Q478" s="109"/>
      <c r="R478" s="108"/>
      <c r="S478" s="100"/>
      <c r="T478" s="110"/>
      <c r="U478" s="110"/>
      <c r="V478" s="100"/>
      <c r="W478" s="100"/>
      <c r="X478" s="100"/>
      <c r="Y478" s="110"/>
      <c r="Z478" s="110"/>
      <c r="AA478" s="100"/>
      <c r="AB478" s="108"/>
      <c r="AC478" s="109"/>
      <c r="AD478" s="109"/>
      <c r="AE478" s="109"/>
      <c r="AF478" s="109"/>
      <c r="AG478" s="108"/>
      <c r="AH478" s="108"/>
      <c r="AI478" s="100"/>
      <c r="AJ478" s="100"/>
      <c r="AK478" s="110"/>
      <c r="AL478" s="110"/>
      <c r="AM478" s="100"/>
      <c r="AN478" s="100"/>
      <c r="AO478" s="100"/>
      <c r="AP478" s="100"/>
      <c r="AQ478" s="100"/>
      <c r="AR478" s="100"/>
      <c r="AS478" s="100"/>
      <c r="AT478" s="100"/>
      <c r="AU478" s="100"/>
      <c r="AV478" s="100"/>
    </row>
    <row r="479" spans="1:48" ht="17" thickBot="1">
      <c r="A479" s="92" t="s">
        <v>4</v>
      </c>
      <c r="B479" s="225">
        <f>SUM(J479+K479+L479+M479+N479+S479+V479+W479+X479+AA479+AI479+AJ479+AI479+AM479+AP479+AQ479+AS479+AT479+AU479+AV479)</f>
        <v>0</v>
      </c>
      <c r="C479" s="228">
        <f t="shared" si="73"/>
        <v>0</v>
      </c>
      <c r="D479" s="160"/>
      <c r="E479" s="161"/>
      <c r="F479" s="114"/>
      <c r="G479" s="112"/>
      <c r="H479" s="114"/>
      <c r="I479" s="114"/>
      <c r="J479" s="112"/>
      <c r="K479" s="129"/>
      <c r="L479" s="112"/>
      <c r="M479" s="112"/>
      <c r="N479" s="112"/>
      <c r="O479" s="114"/>
      <c r="P479" s="164"/>
      <c r="Q479" s="118"/>
      <c r="R479" s="117"/>
      <c r="S479" s="116"/>
      <c r="T479" s="120"/>
      <c r="U479" s="120"/>
      <c r="V479" s="116"/>
      <c r="W479" s="116"/>
      <c r="X479" s="116"/>
      <c r="Y479" s="120"/>
      <c r="Z479" s="120"/>
      <c r="AA479" s="116"/>
      <c r="AB479" s="117"/>
      <c r="AC479" s="118"/>
      <c r="AD479" s="118"/>
      <c r="AE479" s="118"/>
      <c r="AF479" s="118"/>
      <c r="AG479" s="117"/>
      <c r="AH479" s="117"/>
      <c r="AI479" s="116"/>
      <c r="AJ479" s="116"/>
      <c r="AK479" s="120"/>
      <c r="AL479" s="120"/>
      <c r="AM479" s="116"/>
      <c r="AN479" s="116"/>
      <c r="AO479" s="116"/>
      <c r="AP479" s="116"/>
      <c r="AQ479" s="116"/>
      <c r="AR479" s="116"/>
      <c r="AS479" s="116"/>
      <c r="AT479" s="116"/>
      <c r="AU479" s="116"/>
      <c r="AV479" s="116"/>
    </row>
    <row r="480" spans="1:48" ht="21.1">
      <c r="A480" s="89" t="s">
        <v>43</v>
      </c>
      <c r="B480" s="224"/>
      <c r="C480" s="227"/>
      <c r="D480" s="159"/>
      <c r="E480" s="158"/>
      <c r="F480" s="96"/>
      <c r="G480" s="75"/>
      <c r="H480" s="96" t="s">
        <v>501</v>
      </c>
      <c r="I480" s="96" t="s">
        <v>501</v>
      </c>
      <c r="J480" s="75">
        <v>8</v>
      </c>
      <c r="K480" s="128" t="s">
        <v>374</v>
      </c>
      <c r="L480" s="75" t="s">
        <v>375</v>
      </c>
      <c r="M480" s="75" t="s">
        <v>339</v>
      </c>
      <c r="N480" s="75" t="s">
        <v>339</v>
      </c>
      <c r="O480" s="96" t="s">
        <v>339</v>
      </c>
      <c r="P480" s="105"/>
      <c r="Q480" s="96" t="s">
        <v>339</v>
      </c>
      <c r="R480" s="105"/>
      <c r="S480" s="75" t="s">
        <v>839</v>
      </c>
      <c r="T480" s="106" t="s">
        <v>339</v>
      </c>
      <c r="U480" s="106" t="s">
        <v>339</v>
      </c>
      <c r="V480" s="75" t="s">
        <v>339</v>
      </c>
      <c r="W480" s="75" t="s">
        <v>375</v>
      </c>
      <c r="X480" s="75" t="s">
        <v>839</v>
      </c>
      <c r="Y480" s="106" t="s">
        <v>886</v>
      </c>
      <c r="Z480" s="106" t="s">
        <v>721</v>
      </c>
      <c r="AA480" s="75" t="s">
        <v>967</v>
      </c>
      <c r="AB480" s="108"/>
      <c r="AC480" s="99" t="s">
        <v>816</v>
      </c>
      <c r="AD480" s="109" t="s">
        <v>375</v>
      </c>
      <c r="AE480" s="109" t="s">
        <v>721</v>
      </c>
      <c r="AF480" s="109" t="s">
        <v>1033</v>
      </c>
      <c r="AG480" s="108"/>
      <c r="AH480" s="108"/>
      <c r="AI480" s="100"/>
      <c r="AJ480" s="100"/>
      <c r="AK480" s="110"/>
      <c r="AL480" s="110"/>
      <c r="AM480" s="100"/>
      <c r="AN480" s="100"/>
      <c r="AO480" s="100"/>
      <c r="AP480" s="100"/>
      <c r="AQ480" s="100"/>
      <c r="AR480" s="100"/>
      <c r="AS480" s="100"/>
      <c r="AT480" s="100"/>
      <c r="AU480" s="100"/>
      <c r="AV480" s="100"/>
    </row>
    <row r="481" spans="1:48" ht="16.3">
      <c r="A481" s="611" t="s">
        <v>1</v>
      </c>
      <c r="B481" s="230">
        <f>SUM(J481+K481+L481+M481+N481+S481+V481+W481+X481+AA481+AI481+AJ481+AI481+AM481+AP481+AQ481+AS481+AT481+AU481+AV481+AN481)+105</f>
        <v>110</v>
      </c>
      <c r="C481" s="231">
        <f>B481</f>
        <v>110</v>
      </c>
      <c r="D481" s="159"/>
      <c r="E481" s="158"/>
      <c r="F481" s="96"/>
      <c r="G481" s="75"/>
      <c r="H481" s="96"/>
      <c r="I481" s="96"/>
      <c r="J481" s="75">
        <v>1</v>
      </c>
      <c r="K481" s="128">
        <v>1</v>
      </c>
      <c r="L481" s="75"/>
      <c r="M481" s="75"/>
      <c r="N481" s="75"/>
      <c r="O481" s="96"/>
      <c r="P481" s="105"/>
      <c r="Q481" s="96"/>
      <c r="R481" s="105"/>
      <c r="S481" s="75">
        <v>1</v>
      </c>
      <c r="T481" s="106"/>
      <c r="U481" s="106"/>
      <c r="V481" s="75"/>
      <c r="W481" s="75"/>
      <c r="X481" s="75">
        <v>1</v>
      </c>
      <c r="Y481" s="106">
        <v>1</v>
      </c>
      <c r="Z481" s="106">
        <v>1</v>
      </c>
      <c r="AA481" s="75">
        <v>1</v>
      </c>
      <c r="AB481" s="108"/>
      <c r="AC481" s="96"/>
      <c r="AD481" s="109"/>
      <c r="AE481" s="109">
        <v>1</v>
      </c>
      <c r="AF481" s="109">
        <v>1</v>
      </c>
      <c r="AG481" s="108"/>
      <c r="AH481" s="108"/>
      <c r="AI481" s="100"/>
      <c r="AJ481" s="100"/>
      <c r="AK481" s="110"/>
      <c r="AL481" s="110"/>
      <c r="AM481" s="100"/>
      <c r="AN481" s="100"/>
      <c r="AO481" s="100"/>
      <c r="AP481" s="100"/>
      <c r="AQ481" s="100"/>
      <c r="AR481" s="100"/>
      <c r="AS481" s="100"/>
      <c r="AT481" s="100"/>
      <c r="AU481" s="100"/>
      <c r="AV481" s="100"/>
    </row>
    <row r="482" spans="1:48" ht="16.3">
      <c r="A482" s="611" t="s">
        <v>2</v>
      </c>
      <c r="B482" s="230">
        <f>SUM(J482+K482+L482+M482+N482+S482+V482+W482+X482+AA482+AI482+AJ482+AI482+AM482+AP482+AQ482+AS482+AT482+AU482+AV482)+8</f>
        <v>10</v>
      </c>
      <c r="C482" s="231">
        <f t="shared" ref="C482:C487" si="74">B482</f>
        <v>10</v>
      </c>
      <c r="D482" s="159"/>
      <c r="E482" s="158"/>
      <c r="F482" s="96"/>
      <c r="G482" s="75"/>
      <c r="H482" s="96"/>
      <c r="I482" s="96"/>
      <c r="J482" s="75"/>
      <c r="K482" s="128"/>
      <c r="L482" s="75">
        <v>1</v>
      </c>
      <c r="M482" s="75"/>
      <c r="N482" s="75"/>
      <c r="O482" s="96"/>
      <c r="P482" s="163"/>
      <c r="Q482" s="109"/>
      <c r="R482" s="108"/>
      <c r="S482" s="100"/>
      <c r="T482" s="110"/>
      <c r="U482" s="110"/>
      <c r="V482" s="100"/>
      <c r="W482" s="100">
        <v>1</v>
      </c>
      <c r="X482" s="100"/>
      <c r="Y482" s="110"/>
      <c r="Z482" s="110"/>
      <c r="AA482" s="100"/>
      <c r="AB482" s="108"/>
      <c r="AC482" s="109"/>
      <c r="AD482" s="109">
        <v>1</v>
      </c>
      <c r="AE482" s="109"/>
      <c r="AF482" s="109"/>
      <c r="AG482" s="108"/>
      <c r="AH482" s="108"/>
      <c r="AI482" s="100"/>
      <c r="AJ482" s="100"/>
      <c r="AK482" s="110"/>
      <c r="AL482" s="110"/>
      <c r="AM482" s="100"/>
      <c r="AN482" s="100"/>
      <c r="AO482" s="100"/>
      <c r="AP482" s="100"/>
      <c r="AQ482" s="100"/>
      <c r="AR482" s="100"/>
      <c r="AS482" s="100"/>
      <c r="AT482" s="100"/>
      <c r="AU482" s="100"/>
      <c r="AV482" s="100"/>
    </row>
    <row r="483" spans="1:48" ht="16.3">
      <c r="A483" s="91" t="s">
        <v>363</v>
      </c>
      <c r="B483" s="224">
        <f>SUM(B481+B482)</f>
        <v>120</v>
      </c>
      <c r="C483" s="227">
        <f t="shared" si="74"/>
        <v>120</v>
      </c>
      <c r="D483" s="159"/>
      <c r="E483" s="158"/>
      <c r="F483" s="96"/>
      <c r="G483" s="75"/>
      <c r="H483" s="96"/>
      <c r="I483" s="96"/>
      <c r="J483" s="75"/>
      <c r="K483" s="128"/>
      <c r="L483" s="75"/>
      <c r="M483" s="75"/>
      <c r="N483" s="75"/>
      <c r="O483" s="96"/>
      <c r="P483" s="163"/>
      <c r="Q483" s="109"/>
      <c r="R483" s="108"/>
      <c r="S483" s="100"/>
      <c r="T483" s="110"/>
      <c r="U483" s="110"/>
      <c r="V483" s="100"/>
      <c r="W483" s="100"/>
      <c r="X483" s="100"/>
      <c r="Y483" s="110"/>
      <c r="Z483" s="110"/>
      <c r="AA483" s="100"/>
      <c r="AB483" s="108"/>
      <c r="AC483" s="109"/>
      <c r="AD483" s="109"/>
      <c r="AE483" s="109"/>
      <c r="AF483" s="109"/>
      <c r="AG483" s="108"/>
      <c r="AH483" s="108"/>
      <c r="AI483" s="100"/>
      <c r="AJ483" s="100"/>
      <c r="AK483" s="110"/>
      <c r="AL483" s="110"/>
      <c r="AM483" s="100"/>
      <c r="AN483" s="100"/>
      <c r="AO483" s="100"/>
      <c r="AP483" s="100"/>
      <c r="AQ483" s="100"/>
      <c r="AR483" s="100"/>
      <c r="AS483" s="100"/>
      <c r="AT483" s="100"/>
      <c r="AU483" s="100"/>
      <c r="AV483" s="100"/>
    </row>
    <row r="484" spans="1:48" ht="16.3">
      <c r="A484" s="611" t="s">
        <v>362</v>
      </c>
      <c r="B484" s="230">
        <f>SUM(J484+K484+L484+M484+N484+S484+V484+W484+X484+AA484+AI484+AJ484+AI484+AM484+AP484+AQ484+AS484+AT484+AU484+AV484)+3</f>
        <v>3</v>
      </c>
      <c r="C484" s="231">
        <f t="shared" si="74"/>
        <v>3</v>
      </c>
      <c r="D484" s="159"/>
      <c r="E484" s="158"/>
      <c r="F484" s="96"/>
      <c r="G484" s="75"/>
      <c r="H484" s="96"/>
      <c r="I484" s="96"/>
      <c r="J484" s="75"/>
      <c r="K484" s="128"/>
      <c r="L484" s="75"/>
      <c r="M484" s="75"/>
      <c r="N484" s="75"/>
      <c r="O484" s="96"/>
      <c r="P484" s="163"/>
      <c r="Q484" s="109"/>
      <c r="R484" s="108"/>
      <c r="S484" s="100"/>
      <c r="T484" s="110"/>
      <c r="U484" s="110"/>
      <c r="V484" s="100"/>
      <c r="W484" s="100"/>
      <c r="X484" s="100"/>
      <c r="Y484" s="110"/>
      <c r="Z484" s="110"/>
      <c r="AA484" s="100"/>
      <c r="AB484" s="108"/>
      <c r="AC484" s="109"/>
      <c r="AD484" s="109"/>
      <c r="AE484" s="109"/>
      <c r="AF484" s="109"/>
      <c r="AG484" s="108"/>
      <c r="AH484" s="108"/>
      <c r="AI484" s="100"/>
      <c r="AJ484" s="100"/>
      <c r="AK484" s="110"/>
      <c r="AL484" s="110"/>
      <c r="AM484" s="100"/>
      <c r="AN484" s="100"/>
      <c r="AO484" s="100"/>
      <c r="AP484" s="100"/>
      <c r="AQ484" s="100"/>
      <c r="AR484" s="100"/>
      <c r="AS484" s="100"/>
      <c r="AT484" s="100"/>
      <c r="AU484" s="100"/>
      <c r="AV484" s="100"/>
    </row>
    <row r="485" spans="1:48" ht="16.3">
      <c r="A485" s="611" t="s">
        <v>366</v>
      </c>
      <c r="B485" s="230">
        <f>SUM(J485+K485+L485+M485+N485+S485+V485+W485+X485+AA485+AI485+AJ485+AI485+AM485+AP485+AQ485+AS485+AT485+AU485+AV485)+49</f>
        <v>52</v>
      </c>
      <c r="C485" s="231">
        <f t="shared" si="74"/>
        <v>52</v>
      </c>
      <c r="D485" s="159"/>
      <c r="E485" s="158"/>
      <c r="F485" s="96"/>
      <c r="G485" s="75"/>
      <c r="H485" s="96"/>
      <c r="I485" s="96"/>
      <c r="J485" s="75"/>
      <c r="K485" s="128"/>
      <c r="L485" s="75"/>
      <c r="M485" s="75"/>
      <c r="N485" s="75"/>
      <c r="O485" s="96"/>
      <c r="P485" s="163"/>
      <c r="Q485" s="109"/>
      <c r="R485" s="108"/>
      <c r="S485" s="100">
        <v>1</v>
      </c>
      <c r="T485" s="110"/>
      <c r="U485" s="110"/>
      <c r="V485" s="100"/>
      <c r="W485" s="100"/>
      <c r="X485" s="100">
        <v>1</v>
      </c>
      <c r="Y485" s="110">
        <v>1</v>
      </c>
      <c r="Z485" s="110">
        <v>1</v>
      </c>
      <c r="AA485" s="100">
        <v>1</v>
      </c>
      <c r="AB485" s="108"/>
      <c r="AC485" s="109"/>
      <c r="AD485" s="109"/>
      <c r="AE485" s="109">
        <v>1</v>
      </c>
      <c r="AF485" s="109">
        <v>1</v>
      </c>
      <c r="AG485" s="108"/>
      <c r="AH485" s="108"/>
      <c r="AI485" s="100"/>
      <c r="AJ485" s="100"/>
      <c r="AK485" s="110"/>
      <c r="AL485" s="110"/>
      <c r="AM485" s="100"/>
      <c r="AN485" s="100"/>
      <c r="AO485" s="100"/>
      <c r="AP485" s="100"/>
      <c r="AQ485" s="100"/>
      <c r="AR485" s="100"/>
      <c r="AS485" s="100"/>
      <c r="AT485" s="100"/>
      <c r="AU485" s="100"/>
      <c r="AV485" s="100"/>
    </row>
    <row r="486" spans="1:48" ht="16.3">
      <c r="A486" s="91" t="s">
        <v>3</v>
      </c>
      <c r="B486" s="224">
        <f>SUM(J486+K486+L486+M486+N486+S486+V486+W486+X486+AA486+AI486+AJ486+AI486+AM486+AP486+AQ486+AS486+AT486+AU486+AV486)+49</f>
        <v>52</v>
      </c>
      <c r="C486" s="227">
        <f t="shared" si="74"/>
        <v>52</v>
      </c>
      <c r="D486" s="159"/>
      <c r="E486" s="158"/>
      <c r="F486" s="96"/>
      <c r="G486" s="75"/>
      <c r="H486" s="96"/>
      <c r="I486" s="96"/>
      <c r="J486" s="75"/>
      <c r="K486" s="128"/>
      <c r="L486" s="75"/>
      <c r="M486" s="75"/>
      <c r="N486" s="75"/>
      <c r="O486" s="96"/>
      <c r="P486" s="163"/>
      <c r="Q486" s="109"/>
      <c r="R486" s="108"/>
      <c r="S486" s="100">
        <v>1</v>
      </c>
      <c r="T486" s="110"/>
      <c r="U486" s="150"/>
      <c r="V486" s="100"/>
      <c r="W486" s="100"/>
      <c r="X486" s="100">
        <v>2</v>
      </c>
      <c r="Y486" s="110">
        <v>1</v>
      </c>
      <c r="Z486" s="110"/>
      <c r="AA486" s="100"/>
      <c r="AB486" s="108"/>
      <c r="AC486" s="109"/>
      <c r="AD486" s="109"/>
      <c r="AE486" s="109"/>
      <c r="AF486" s="109"/>
      <c r="AG486" s="108"/>
      <c r="AH486" s="108"/>
      <c r="AI486" s="100"/>
      <c r="AJ486" s="100"/>
      <c r="AK486" s="110"/>
      <c r="AL486" s="110"/>
      <c r="AM486" s="100"/>
      <c r="AN486" s="100"/>
      <c r="AO486" s="100"/>
      <c r="AP486" s="100"/>
      <c r="AQ486" s="100"/>
      <c r="AR486" s="100"/>
      <c r="AS486" s="100"/>
      <c r="AT486" s="100"/>
      <c r="AU486" s="100"/>
      <c r="AV486" s="100"/>
    </row>
    <row r="487" spans="1:48" ht="17" thickBot="1">
      <c r="A487" s="92" t="s">
        <v>4</v>
      </c>
      <c r="B487" s="225">
        <f>SUM(J487+K487+L487+M487+N487+S487+V487+W487+X487+AA487+AI487+AJ487+AI487+AM487+AP487+AQ487+AS487+AT487+AU487+AV487)+245</f>
        <v>260</v>
      </c>
      <c r="C487" s="228">
        <f t="shared" si="74"/>
        <v>260</v>
      </c>
      <c r="D487" s="160"/>
      <c r="E487" s="161"/>
      <c r="F487" s="114"/>
      <c r="G487" s="112"/>
      <c r="H487" s="114"/>
      <c r="I487" s="114"/>
      <c r="J487" s="112"/>
      <c r="K487" s="129"/>
      <c r="L487" s="112"/>
      <c r="M487" s="112"/>
      <c r="N487" s="112"/>
      <c r="O487" s="114"/>
      <c r="P487" s="164"/>
      <c r="Q487" s="118"/>
      <c r="R487" s="117"/>
      <c r="S487" s="116">
        <v>5</v>
      </c>
      <c r="T487" s="120"/>
      <c r="U487" s="120"/>
      <c r="V487" s="116"/>
      <c r="W487" s="116"/>
      <c r="X487" s="116">
        <v>10</v>
      </c>
      <c r="Y487" s="120">
        <v>5</v>
      </c>
      <c r="Z487" s="120"/>
      <c r="AA487" s="116"/>
      <c r="AB487" s="117"/>
      <c r="AC487" s="118"/>
      <c r="AD487" s="118"/>
      <c r="AE487" s="118"/>
      <c r="AF487" s="118"/>
      <c r="AG487" s="117"/>
      <c r="AH487" s="117"/>
      <c r="AI487" s="116"/>
      <c r="AJ487" s="116"/>
      <c r="AK487" s="120"/>
      <c r="AL487" s="120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</row>
    <row r="488" spans="1:48" ht="21.1">
      <c r="A488" s="93" t="s">
        <v>8</v>
      </c>
      <c r="B488" s="230"/>
      <c r="C488" s="231"/>
      <c r="D488" s="124"/>
      <c r="E488" s="125"/>
      <c r="F488" s="99"/>
      <c r="G488" s="102"/>
      <c r="H488" s="99"/>
      <c r="I488" s="99"/>
      <c r="J488" s="122"/>
      <c r="K488" s="123"/>
      <c r="L488" s="102"/>
      <c r="M488" s="102"/>
      <c r="N488" s="102"/>
      <c r="O488" s="99"/>
      <c r="P488" s="98"/>
      <c r="Q488" s="99"/>
      <c r="R488" s="98"/>
      <c r="S488" s="102"/>
      <c r="T488" s="101"/>
      <c r="U488" s="101"/>
      <c r="V488" s="102"/>
      <c r="W488" s="102"/>
      <c r="X488" s="102"/>
      <c r="Y488" s="101"/>
      <c r="Z488" s="101"/>
      <c r="AA488" s="102"/>
      <c r="AB488" s="98"/>
      <c r="AC488" s="99"/>
      <c r="AD488" s="99"/>
      <c r="AE488" s="99"/>
      <c r="AF488" s="99"/>
      <c r="AG488" s="98"/>
      <c r="AH488" s="98"/>
      <c r="AI488" s="102"/>
      <c r="AJ488" s="102"/>
      <c r="AK488" s="101"/>
      <c r="AL488" s="101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</row>
    <row r="489" spans="1:48" ht="16.3">
      <c r="A489" s="94" t="s">
        <v>3</v>
      </c>
      <c r="B489" s="224"/>
      <c r="C489" s="227"/>
      <c r="D489" s="96"/>
      <c r="E489" s="97"/>
      <c r="F489" s="109"/>
      <c r="G489" s="100"/>
      <c r="H489" s="109"/>
      <c r="I489" s="109"/>
      <c r="J489" s="75"/>
      <c r="K489" s="104"/>
      <c r="L489" s="100"/>
      <c r="M489" s="100"/>
      <c r="N489" s="100"/>
      <c r="O489" s="109"/>
      <c r="P489" s="108"/>
      <c r="Q489" s="109"/>
      <c r="R489" s="108"/>
      <c r="S489" s="100"/>
      <c r="T489" s="110">
        <v>1</v>
      </c>
      <c r="U489" s="110"/>
      <c r="V489" s="100"/>
      <c r="W489" s="100"/>
      <c r="X489" s="100"/>
      <c r="Y489" s="110"/>
      <c r="Z489" s="110"/>
      <c r="AA489" s="100"/>
      <c r="AB489" s="108"/>
      <c r="AC489" s="109"/>
      <c r="AD489" s="109"/>
      <c r="AE489" s="109"/>
      <c r="AF489" s="109"/>
      <c r="AG489" s="108"/>
      <c r="AH489" s="108"/>
      <c r="AI489" s="100"/>
      <c r="AJ489" s="100"/>
      <c r="AK489" s="110"/>
      <c r="AL489" s="110"/>
      <c r="AM489" s="100"/>
      <c r="AN489" s="100"/>
      <c r="AO489" s="100"/>
      <c r="AP489" s="100"/>
      <c r="AQ489" s="100"/>
      <c r="AR489" s="100"/>
      <c r="AS489" s="100"/>
      <c r="AT489" s="100"/>
      <c r="AU489" s="100"/>
      <c r="AV489" s="100"/>
    </row>
    <row r="490" spans="1:48" ht="17" thickBot="1">
      <c r="A490" s="95" t="s">
        <v>4</v>
      </c>
      <c r="B490" s="225"/>
      <c r="C490" s="228"/>
      <c r="D490" s="114"/>
      <c r="E490" s="115"/>
      <c r="F490" s="118"/>
      <c r="G490" s="112"/>
      <c r="H490" s="118"/>
      <c r="I490" s="118"/>
      <c r="J490" s="112"/>
      <c r="K490" s="113"/>
      <c r="L490" s="116"/>
      <c r="M490" s="116"/>
      <c r="N490" s="116"/>
      <c r="O490" s="118"/>
      <c r="P490" s="117"/>
      <c r="Q490" s="118"/>
      <c r="R490" s="117"/>
      <c r="S490" s="116"/>
      <c r="T490" s="120">
        <v>7</v>
      </c>
      <c r="U490" s="120"/>
      <c r="V490" s="116"/>
      <c r="W490" s="116"/>
      <c r="X490" s="116"/>
      <c r="Y490" s="119"/>
      <c r="Z490" s="120"/>
      <c r="AA490" s="116"/>
      <c r="AB490" s="117"/>
      <c r="AC490" s="118"/>
      <c r="AD490" s="118"/>
      <c r="AE490" s="118"/>
      <c r="AF490" s="118"/>
      <c r="AG490" s="117"/>
      <c r="AH490" s="117"/>
      <c r="AI490" s="116"/>
      <c r="AJ490" s="116"/>
      <c r="AK490" s="120"/>
      <c r="AL490" s="120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</row>
    <row r="491" spans="1:48">
      <c r="A491" s="412"/>
      <c r="B491" s="862" t="s">
        <v>352</v>
      </c>
      <c r="C491" s="863"/>
      <c r="D491" s="864" t="s">
        <v>350</v>
      </c>
      <c r="E491" s="865"/>
      <c r="F491" s="866" t="s">
        <v>351</v>
      </c>
      <c r="G491" s="867"/>
      <c r="H491" s="321"/>
      <c r="I491" s="322"/>
      <c r="J491" s="548"/>
      <c r="K491" s="322"/>
      <c r="L491" s="322"/>
      <c r="M491" s="426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16"/>
      <c r="Z491" s="322"/>
      <c r="AA491" s="808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42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</row>
    <row r="492" spans="1:48" ht="21.75" thickBot="1">
      <c r="A492" s="411" t="s">
        <v>655</v>
      </c>
      <c r="B492" s="68" t="s">
        <v>356</v>
      </c>
      <c r="C492" s="64" t="s">
        <v>349</v>
      </c>
      <c r="D492" s="404" t="s">
        <v>356</v>
      </c>
      <c r="E492" s="61" t="s">
        <v>349</v>
      </c>
      <c r="F492" s="68" t="s">
        <v>356</v>
      </c>
      <c r="G492" s="70" t="s">
        <v>349</v>
      </c>
      <c r="H492" s="319"/>
      <c r="I492" s="319"/>
      <c r="J492" s="549"/>
      <c r="K492" s="319"/>
      <c r="L492" s="319"/>
      <c r="M492" s="319"/>
      <c r="N492" s="319"/>
      <c r="O492" s="319"/>
      <c r="P492" s="319"/>
      <c r="Q492" s="320"/>
      <c r="R492" s="319"/>
      <c r="S492" s="320"/>
      <c r="T492" s="320"/>
      <c r="U492" s="320"/>
      <c r="V492" s="320"/>
      <c r="W492" s="320"/>
      <c r="X492" s="320"/>
      <c r="Y492" s="320"/>
      <c r="Z492" s="320"/>
      <c r="AA492" s="809"/>
      <c r="AB492" s="319"/>
      <c r="AC492" s="319"/>
      <c r="AD492" s="319"/>
      <c r="AE492" s="319"/>
      <c r="AF492" s="320"/>
      <c r="AG492" s="320"/>
      <c r="AH492" s="320"/>
      <c r="AI492" s="320"/>
      <c r="AJ492" s="320"/>
      <c r="AK492" s="320"/>
      <c r="AL492" s="312"/>
      <c r="AM492" s="312"/>
      <c r="AN492" s="312"/>
      <c r="AO492" s="312"/>
      <c r="AP492" s="312"/>
      <c r="AQ492" s="312"/>
      <c r="AR492" s="312"/>
      <c r="AS492" s="312"/>
      <c r="AT492" s="312"/>
      <c r="AU492" s="312"/>
      <c r="AV492" s="312"/>
    </row>
    <row r="493" spans="1:48">
      <c r="A493" s="301" t="s">
        <v>476</v>
      </c>
      <c r="B493" s="313">
        <f>SUM(H493+J493+K493+L493+M493+N493+S493+V493+W493+X493+AA493+AI493+AJ493+AM493+AN493+AP493+AQ493+AS493+AT493+AU493)</f>
        <v>10</v>
      </c>
      <c r="C493" s="317">
        <f>B493</f>
        <v>10</v>
      </c>
      <c r="D493" s="405">
        <f>SUM(T493+U493+Y493+Z493+AK493+AL493+AO493+AR493)</f>
        <v>4</v>
      </c>
      <c r="E493" s="355">
        <f>D493</f>
        <v>4</v>
      </c>
      <c r="F493" s="405">
        <v>0</v>
      </c>
      <c r="G493" s="358">
        <f t="shared" ref="G493:G496" si="75">F493</f>
        <v>0</v>
      </c>
      <c r="H493" s="533"/>
      <c r="I493" s="494">
        <v>1</v>
      </c>
      <c r="J493" s="303">
        <v>1</v>
      </c>
      <c r="K493" s="338">
        <v>1</v>
      </c>
      <c r="L493" s="302">
        <v>1</v>
      </c>
      <c r="M493" s="303">
        <v>1</v>
      </c>
      <c r="N493" s="338">
        <v>1</v>
      </c>
      <c r="O493" s="494">
        <v>1</v>
      </c>
      <c r="P493" s="533"/>
      <c r="Q493" s="494">
        <v>1</v>
      </c>
      <c r="R493" s="533"/>
      <c r="S493" s="302">
        <v>1</v>
      </c>
      <c r="T493" s="341">
        <v>1</v>
      </c>
      <c r="U493" s="342">
        <v>1</v>
      </c>
      <c r="V493" s="303">
        <v>1</v>
      </c>
      <c r="W493" s="303">
        <v>1</v>
      </c>
      <c r="X493" s="303">
        <v>1</v>
      </c>
      <c r="Y493" s="341">
        <v>1</v>
      </c>
      <c r="Z493" s="342">
        <v>1</v>
      </c>
      <c r="AA493" s="303">
        <v>1</v>
      </c>
      <c r="AB493" s="330"/>
      <c r="AC493" s="819">
        <v>1</v>
      </c>
      <c r="AD493" s="814">
        <v>1</v>
      </c>
      <c r="AE493" s="819">
        <v>1</v>
      </c>
      <c r="AF493" s="814">
        <v>1</v>
      </c>
      <c r="AG493" s="842"/>
      <c r="AH493" s="842"/>
      <c r="AI493" s="303"/>
      <c r="AJ493" s="303"/>
      <c r="AK493" s="424"/>
      <c r="AL493" s="463"/>
      <c r="AM493" s="362"/>
      <c r="AN493" s="362"/>
      <c r="AO493" s="464"/>
      <c r="AP493" s="362"/>
      <c r="AQ493" s="362"/>
      <c r="AR493" s="464"/>
      <c r="AS493" s="362"/>
      <c r="AT493" s="362"/>
      <c r="AU493" s="362"/>
      <c r="AV493" s="362"/>
    </row>
    <row r="494" spans="1:48">
      <c r="A494" s="304" t="s">
        <v>477</v>
      </c>
      <c r="B494" s="314">
        <f t="shared" ref="B494:B496" si="76">SUM(H494+J494+K494+L494+M494+N494+S494+V494+W494+X494+AA494+AI494+AJ494+AM494+AN494+AP494+AQ494+AS494+AT494+AU494)</f>
        <v>2</v>
      </c>
      <c r="C494" s="318">
        <f t="shared" ref="C494:C496" si="77">B494</f>
        <v>2</v>
      </c>
      <c r="D494" s="406">
        <f>SUM(T494+U494+Y494+Z494+AK494+AL494+AO494+AR494)</f>
        <v>3</v>
      </c>
      <c r="E494" s="356">
        <f t="shared" ref="E494:E496" si="78">D494</f>
        <v>3</v>
      </c>
      <c r="F494" s="406">
        <v>0</v>
      </c>
      <c r="G494" s="359">
        <f t="shared" si="75"/>
        <v>0</v>
      </c>
      <c r="H494" s="530"/>
      <c r="I494" s="491">
        <v>0</v>
      </c>
      <c r="J494" s="306">
        <v>0</v>
      </c>
      <c r="K494" s="362">
        <v>0</v>
      </c>
      <c r="L494" s="305">
        <v>1</v>
      </c>
      <c r="M494" s="306">
        <v>0</v>
      </c>
      <c r="N494" s="362">
        <v>1</v>
      </c>
      <c r="O494" s="491">
        <v>0</v>
      </c>
      <c r="P494" s="530"/>
      <c r="Q494" s="491">
        <v>0</v>
      </c>
      <c r="R494" s="530"/>
      <c r="S494" s="305">
        <v>0</v>
      </c>
      <c r="T494" s="343">
        <v>0</v>
      </c>
      <c r="U494" s="344">
        <v>1</v>
      </c>
      <c r="V494" s="306">
        <v>0</v>
      </c>
      <c r="W494" s="306">
        <v>0</v>
      </c>
      <c r="X494" s="306">
        <v>0</v>
      </c>
      <c r="Y494" s="344">
        <v>1</v>
      </c>
      <c r="Z494" s="344">
        <v>1</v>
      </c>
      <c r="AA494" s="306">
        <v>0</v>
      </c>
      <c r="AB494" s="331"/>
      <c r="AC494" s="812">
        <v>1</v>
      </c>
      <c r="AD494" s="815">
        <v>0</v>
      </c>
      <c r="AE494" s="812">
        <v>0</v>
      </c>
      <c r="AF494" s="815">
        <v>1</v>
      </c>
      <c r="AG494" s="820"/>
      <c r="AH494" s="820"/>
      <c r="AI494" s="306"/>
      <c r="AJ494" s="306"/>
      <c r="AK494" s="419"/>
      <c r="AL494" s="463"/>
      <c r="AM494" s="362"/>
      <c r="AN494" s="362"/>
      <c r="AO494" s="464"/>
      <c r="AP494" s="362"/>
      <c r="AQ494" s="362"/>
      <c r="AR494" s="464"/>
      <c r="AS494" s="362"/>
      <c r="AT494" s="362"/>
      <c r="AU494" s="362"/>
      <c r="AV494" s="362"/>
    </row>
    <row r="495" spans="1:48">
      <c r="A495" s="304" t="s">
        <v>478</v>
      </c>
      <c r="B495" s="314">
        <f t="shared" si="76"/>
        <v>0</v>
      </c>
      <c r="C495" s="318">
        <f t="shared" si="77"/>
        <v>0</v>
      </c>
      <c r="D495" s="406">
        <f>SUM(T495+U495+Y495+Z495+AK495+AL495+AO495+AR495)</f>
        <v>0</v>
      </c>
      <c r="E495" s="356">
        <f t="shared" si="78"/>
        <v>0</v>
      </c>
      <c r="F495" s="406">
        <v>0</v>
      </c>
      <c r="G495" s="359">
        <f t="shared" si="75"/>
        <v>0</v>
      </c>
      <c r="H495" s="530"/>
      <c r="I495" s="491">
        <v>0</v>
      </c>
      <c r="J495" s="306">
        <v>0</v>
      </c>
      <c r="K495" s="362">
        <v>0</v>
      </c>
      <c r="L495" s="305">
        <v>0</v>
      </c>
      <c r="M495" s="306">
        <v>0</v>
      </c>
      <c r="N495" s="362">
        <v>0</v>
      </c>
      <c r="O495" s="491">
        <v>0</v>
      </c>
      <c r="P495" s="530"/>
      <c r="Q495" s="491">
        <v>0</v>
      </c>
      <c r="R495" s="530"/>
      <c r="S495" s="305">
        <v>0</v>
      </c>
      <c r="T495" s="343">
        <v>0</v>
      </c>
      <c r="U495" s="344">
        <v>0</v>
      </c>
      <c r="V495" s="306">
        <v>0</v>
      </c>
      <c r="W495" s="306">
        <v>0</v>
      </c>
      <c r="X495" s="306">
        <v>0</v>
      </c>
      <c r="Y495" s="344">
        <v>0</v>
      </c>
      <c r="Z495" s="344">
        <v>0</v>
      </c>
      <c r="AA495" s="306">
        <v>0</v>
      </c>
      <c r="AB495" s="331"/>
      <c r="AC495" s="812">
        <v>0</v>
      </c>
      <c r="AD495" s="815">
        <v>0</v>
      </c>
      <c r="AE495" s="812">
        <v>0</v>
      </c>
      <c r="AF495" s="815">
        <v>0</v>
      </c>
      <c r="AG495" s="820"/>
      <c r="AH495" s="820"/>
      <c r="AI495" s="306"/>
      <c r="AJ495" s="306"/>
      <c r="AK495" s="419"/>
      <c r="AL495" s="463"/>
      <c r="AM495" s="362"/>
      <c r="AN495" s="362"/>
      <c r="AO495" s="464"/>
      <c r="AP495" s="362"/>
      <c r="AQ495" s="362"/>
      <c r="AR495" s="464"/>
      <c r="AS495" s="362"/>
      <c r="AT495" s="362"/>
      <c r="AU495" s="362"/>
      <c r="AV495" s="362"/>
    </row>
    <row r="496" spans="1:48" ht="14.95" thickBot="1">
      <c r="A496" s="304" t="s">
        <v>479</v>
      </c>
      <c r="B496" s="315">
        <f t="shared" si="76"/>
        <v>8</v>
      </c>
      <c r="C496" s="354">
        <f t="shared" si="77"/>
        <v>8</v>
      </c>
      <c r="D496" s="408">
        <f>SUM(T496+U496+Y496+Z496+AK496+AL496+AO496+AR496)</f>
        <v>1</v>
      </c>
      <c r="E496" s="357">
        <f t="shared" si="78"/>
        <v>1</v>
      </c>
      <c r="F496" s="408">
        <v>0</v>
      </c>
      <c r="G496" s="360">
        <f t="shared" si="75"/>
        <v>0</v>
      </c>
      <c r="H496" s="530"/>
      <c r="I496" s="491">
        <v>1</v>
      </c>
      <c r="J496" s="306">
        <v>1</v>
      </c>
      <c r="K496" s="362">
        <v>1</v>
      </c>
      <c r="L496" s="305">
        <v>0</v>
      </c>
      <c r="M496" s="306">
        <v>1</v>
      </c>
      <c r="N496" s="362">
        <v>0</v>
      </c>
      <c r="O496" s="491">
        <v>1</v>
      </c>
      <c r="P496" s="530"/>
      <c r="Q496" s="491">
        <v>1</v>
      </c>
      <c r="R496" s="530"/>
      <c r="S496" s="305">
        <v>1</v>
      </c>
      <c r="T496" s="343">
        <v>1</v>
      </c>
      <c r="U496" s="344">
        <v>0</v>
      </c>
      <c r="V496" s="306">
        <v>1</v>
      </c>
      <c r="W496" s="306">
        <v>1</v>
      </c>
      <c r="X496" s="306">
        <v>1</v>
      </c>
      <c r="Y496" s="344">
        <v>0</v>
      </c>
      <c r="Z496" s="344">
        <v>0</v>
      </c>
      <c r="AA496" s="306">
        <v>1</v>
      </c>
      <c r="AB496" s="331"/>
      <c r="AC496" s="812">
        <v>0</v>
      </c>
      <c r="AD496" s="815">
        <v>1</v>
      </c>
      <c r="AE496" s="812">
        <v>1</v>
      </c>
      <c r="AF496" s="815">
        <v>0</v>
      </c>
      <c r="AG496" s="820"/>
      <c r="AH496" s="820"/>
      <c r="AI496" s="306"/>
      <c r="AJ496" s="306"/>
      <c r="AK496" s="419"/>
      <c r="AL496" s="463"/>
      <c r="AM496" s="362"/>
      <c r="AN496" s="362"/>
      <c r="AO496" s="464"/>
      <c r="AP496" s="362"/>
      <c r="AQ496" s="362"/>
      <c r="AR496" s="464"/>
      <c r="AS496" s="362"/>
      <c r="AT496" s="362"/>
      <c r="AU496" s="362"/>
      <c r="AV496" s="362"/>
    </row>
    <row r="497" spans="1:48" ht="14.95" thickBot="1">
      <c r="A497" s="307" t="s">
        <v>480</v>
      </c>
      <c r="B497" s="407">
        <f>SUM(B494+B495*0.5)/B493*100</f>
        <v>20</v>
      </c>
      <c r="C497" s="350">
        <f>SUM(C494+C495*0.5)/C493*100</f>
        <v>20</v>
      </c>
      <c r="D497" s="409">
        <f>SUM(D494+D495*0.5)/D493*100</f>
        <v>75</v>
      </c>
      <c r="E497" s="357">
        <f>SUM(E494+E495*0.5)/E493*100</f>
        <v>75</v>
      </c>
      <c r="F497" s="408">
        <v>0</v>
      </c>
      <c r="G497" s="410">
        <v>0</v>
      </c>
      <c r="H497" s="531"/>
      <c r="I497" s="492"/>
      <c r="J497" s="550"/>
      <c r="K497" s="547"/>
      <c r="L497" s="340"/>
      <c r="M497" s="309"/>
      <c r="N497" s="547"/>
      <c r="O497" s="583"/>
      <c r="P497" s="584"/>
      <c r="Q497" s="583"/>
      <c r="R497" s="584"/>
      <c r="S497" s="340"/>
      <c r="T497" s="308"/>
      <c r="U497" s="309"/>
      <c r="V497" s="310"/>
      <c r="W497" s="311"/>
      <c r="X497" s="311"/>
      <c r="Y497" s="311"/>
      <c r="Z497" s="310"/>
      <c r="AA497" s="309"/>
      <c r="AB497" s="333"/>
      <c r="AC497" s="813"/>
      <c r="AD497" s="816"/>
      <c r="AE497" s="813"/>
      <c r="AF497" s="816"/>
      <c r="AG497" s="821"/>
      <c r="AH497" s="821"/>
      <c r="AI497" s="309"/>
      <c r="AJ497" s="309"/>
      <c r="AK497" s="420"/>
      <c r="AL497" s="463"/>
      <c r="AM497" s="362"/>
      <c r="AN497" s="362"/>
      <c r="AO497" s="464"/>
      <c r="AP497" s="362"/>
      <c r="AQ497" s="362"/>
      <c r="AR497" s="464"/>
      <c r="AS497" s="362"/>
      <c r="AT497" s="362"/>
      <c r="AU497" s="362"/>
      <c r="AV497" s="362"/>
    </row>
    <row r="498" spans="1:48">
      <c r="A498" s="695"/>
      <c r="B498" s="907" t="s">
        <v>352</v>
      </c>
      <c r="C498" s="908"/>
      <c r="D498" s="909" t="s">
        <v>350</v>
      </c>
      <c r="E498" s="865"/>
      <c r="F498" s="899" t="s">
        <v>351</v>
      </c>
      <c r="G498" s="900"/>
      <c r="H498" s="697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</row>
    <row r="499" spans="1:48" ht="21.75" thickBot="1">
      <c r="A499" s="699" t="s">
        <v>481</v>
      </c>
      <c r="B499" s="549" t="s">
        <v>356</v>
      </c>
      <c r="C499" s="700" t="s">
        <v>349</v>
      </c>
      <c r="D499" s="701" t="s">
        <v>356</v>
      </c>
      <c r="E499" s="702" t="s">
        <v>349</v>
      </c>
      <c r="F499" s="549" t="s">
        <v>356</v>
      </c>
      <c r="G499" s="703" t="s">
        <v>349</v>
      </c>
      <c r="H499" s="319"/>
      <c r="I499" s="319"/>
      <c r="J499" s="319"/>
      <c r="K499" s="319"/>
      <c r="L499" s="319"/>
      <c r="M499" s="319"/>
      <c r="N499" s="319"/>
      <c r="O499" s="319"/>
      <c r="P499" s="319"/>
      <c r="Q499" s="319"/>
      <c r="R499" s="319"/>
      <c r="S499" s="319"/>
      <c r="T499" s="319"/>
      <c r="U499" s="319"/>
      <c r="V499" s="319"/>
      <c r="W499" s="319"/>
      <c r="X499" s="319"/>
      <c r="Y499" s="319"/>
      <c r="Z499" s="319"/>
      <c r="AA499" s="319"/>
      <c r="AB499" s="319"/>
      <c r="AC499" s="319"/>
      <c r="AD499" s="319"/>
      <c r="AE499" s="319"/>
      <c r="AF499" s="319"/>
      <c r="AG499" s="319"/>
      <c r="AH499" s="319"/>
      <c r="AI499" s="319"/>
      <c r="AJ499" s="319"/>
      <c r="AK499" s="319"/>
      <c r="AL499" s="319"/>
      <c r="AM499" s="319"/>
      <c r="AN499" s="319"/>
      <c r="AO499" s="319"/>
      <c r="AP499" s="319"/>
      <c r="AQ499" s="319"/>
      <c r="AR499" s="319"/>
      <c r="AS499" s="319"/>
      <c r="AT499" s="319"/>
      <c r="AU499" s="319"/>
      <c r="AV499" s="319"/>
    </row>
    <row r="500" spans="1:48">
      <c r="A500" s="704" t="s">
        <v>476</v>
      </c>
      <c r="B500" s="705">
        <f>SUM(H500+I500+K500+L500+M500+N500+S500+V500+W500+X500+AA500+AI500+AJ500+AM500+AN500+AP500+AQ500+AS500+AT500+AU500)+36</f>
        <v>37</v>
      </c>
      <c r="C500" s="706">
        <f>SUM(I500+K500+L500+M500+N500+O500+T500+W500+X500+Y500+AB500+AJ500+AK500+AN500+AO500+AQ500+AR500+AT500+AU500+AV500)+36</f>
        <v>36</v>
      </c>
      <c r="D500" s="707">
        <f>SUM(T500+U500+Y500+Z500+AK500+AL500+AO500+AR500)+12</f>
        <v>12</v>
      </c>
      <c r="E500" s="708"/>
      <c r="F500" s="707">
        <v>0</v>
      </c>
      <c r="G500" s="709"/>
      <c r="H500" s="710">
        <v>1</v>
      </c>
      <c r="I500" s="711"/>
      <c r="J500" s="711"/>
      <c r="K500" s="711"/>
      <c r="L500" s="711"/>
      <c r="M500" s="711"/>
      <c r="N500" s="696"/>
      <c r="O500" s="712"/>
      <c r="P500" s="712"/>
      <c r="Q500" s="711"/>
      <c r="R500" s="713"/>
      <c r="S500" s="711"/>
      <c r="T500" s="714"/>
      <c r="U500" s="715"/>
      <c r="V500" s="716"/>
      <c r="W500" s="716"/>
      <c r="X500" s="716"/>
      <c r="Y500" s="714"/>
      <c r="Z500" s="715"/>
      <c r="AA500" s="716"/>
      <c r="AB500" s="717"/>
      <c r="AC500" s="718"/>
      <c r="AD500" s="717"/>
      <c r="AE500" s="719"/>
      <c r="AF500" s="716"/>
      <c r="AG500" s="716"/>
      <c r="AH500" s="716"/>
      <c r="AI500" s="716"/>
      <c r="AJ500" s="716"/>
      <c r="AK500" s="720"/>
      <c r="AL500" s="425"/>
      <c r="AM500" s="721"/>
      <c r="AN500" s="721"/>
      <c r="AO500" s="659"/>
      <c r="AP500" s="721"/>
      <c r="AQ500" s="721"/>
      <c r="AR500" s="659"/>
      <c r="AS500" s="721"/>
      <c r="AT500" s="721"/>
      <c r="AU500" s="721"/>
      <c r="AV500" s="721"/>
    </row>
    <row r="501" spans="1:48">
      <c r="A501" s="722" t="s">
        <v>477</v>
      </c>
      <c r="B501" s="723">
        <f>SUM(H501+I501+K501+L501+M501+N501+S501+V501+W501+X501+AA501+AI501+AJ501+AM501+AN501+AP501+AQ501+AS501+AT501+AU501)+17</f>
        <v>17</v>
      </c>
      <c r="C501" s="724">
        <f>SUM(I501+K501+L501+M501+N501+O501+T501+W501+X501+Y501+AB501+AJ501+AK501+AN501+AO501+AQ501+AR501+AT501+AU501+AV501)+17</f>
        <v>17</v>
      </c>
      <c r="D501" s="725">
        <f>SUM(T501+U501+Y501+Z501+AK501+AL501+AO501+AR501)+7</f>
        <v>7</v>
      </c>
      <c r="E501" s="726"/>
      <c r="F501" s="725">
        <v>0</v>
      </c>
      <c r="G501" s="727"/>
      <c r="H501" s="728">
        <v>0</v>
      </c>
      <c r="I501" s="729"/>
      <c r="J501" s="729"/>
      <c r="K501" s="729"/>
      <c r="L501" s="729"/>
      <c r="M501" s="729"/>
      <c r="N501" s="729"/>
      <c r="O501" s="730"/>
      <c r="P501" s="730"/>
      <c r="Q501" s="729"/>
      <c r="R501" s="731"/>
      <c r="S501" s="729"/>
      <c r="T501" s="732"/>
      <c r="U501" s="733"/>
      <c r="V501" s="734"/>
      <c r="W501" s="734"/>
      <c r="X501" s="734"/>
      <c r="Y501" s="733"/>
      <c r="Z501" s="733"/>
      <c r="AA501" s="734"/>
      <c r="AB501" s="735"/>
      <c r="AC501" s="736"/>
      <c r="AD501" s="735"/>
      <c r="AE501" s="737"/>
      <c r="AF501" s="734"/>
      <c r="AG501" s="734"/>
      <c r="AH501" s="734"/>
      <c r="AI501" s="734"/>
      <c r="AJ501" s="734"/>
      <c r="AK501" s="738"/>
      <c r="AL501" s="425"/>
      <c r="AM501" s="721"/>
      <c r="AN501" s="721"/>
      <c r="AO501" s="659"/>
      <c r="AP501" s="721"/>
      <c r="AQ501" s="721"/>
      <c r="AR501" s="659"/>
      <c r="AS501" s="721"/>
      <c r="AT501" s="721"/>
      <c r="AU501" s="721"/>
      <c r="AV501" s="721"/>
    </row>
    <row r="502" spans="1:48">
      <c r="A502" s="722" t="s">
        <v>478</v>
      </c>
      <c r="B502" s="723">
        <f>SUM(H502+I502+K502+L502+M502+N502+S502+V502+W502+X502+AA502+AI502+AJ502+AM502+AN502+AP502+AQ502+AS502+AT502+AU502)+1</f>
        <v>1</v>
      </c>
      <c r="C502" s="724">
        <f>SUM(I502+K502+L502+M502+N502+O502+T502+W502+X502+Y502+AB502+AJ502+AK502+AN502+AO502+AQ502+AR502+AT502+AU502+AV502)+1</f>
        <v>1</v>
      </c>
      <c r="D502" s="725">
        <f>SUM(T502+U502+Y502+Z502+AK502+AL502+AO502+AR502)</f>
        <v>0</v>
      </c>
      <c r="E502" s="726"/>
      <c r="F502" s="725">
        <v>0</v>
      </c>
      <c r="G502" s="727"/>
      <c r="H502" s="728">
        <v>0</v>
      </c>
      <c r="I502" s="729"/>
      <c r="J502" s="729"/>
      <c r="K502" s="729"/>
      <c r="L502" s="729"/>
      <c r="M502" s="729"/>
      <c r="N502" s="729"/>
      <c r="O502" s="730"/>
      <c r="P502" s="730"/>
      <c r="Q502" s="729"/>
      <c r="R502" s="731"/>
      <c r="S502" s="729"/>
      <c r="T502" s="732"/>
      <c r="U502" s="733"/>
      <c r="V502" s="734"/>
      <c r="W502" s="734"/>
      <c r="X502" s="734"/>
      <c r="Y502" s="733"/>
      <c r="Z502" s="733"/>
      <c r="AA502" s="734"/>
      <c r="AB502" s="735"/>
      <c r="AC502" s="736"/>
      <c r="AD502" s="735"/>
      <c r="AE502" s="737"/>
      <c r="AF502" s="734"/>
      <c r="AG502" s="734"/>
      <c r="AH502" s="734"/>
      <c r="AI502" s="734"/>
      <c r="AJ502" s="734"/>
      <c r="AK502" s="738"/>
      <c r="AL502" s="425"/>
      <c r="AM502" s="721"/>
      <c r="AN502" s="721"/>
      <c r="AO502" s="659"/>
      <c r="AP502" s="721"/>
      <c r="AQ502" s="721"/>
      <c r="AR502" s="659"/>
      <c r="AS502" s="721"/>
      <c r="AT502" s="721"/>
      <c r="AU502" s="721"/>
      <c r="AV502" s="721"/>
    </row>
    <row r="503" spans="1:48" ht="14.95" thickBot="1">
      <c r="A503" s="722" t="s">
        <v>479</v>
      </c>
      <c r="B503" s="739">
        <f>SUM(H503+I503+K503+L503+M503+N503+S503+V503+W503+X503+AA503+AI503+AJ503+AM503+AN503+AP503+AQ503+AS503+AT503+AU503)+18</f>
        <v>19</v>
      </c>
      <c r="C503" s="740">
        <f>SUM(I503+K503+L503+M503+N503+O503+T503+W503+X503+Y503+AB503+AJ503+AK503+AN503+AO503+AQ503+AR503+AT503+AU503+AV503)+18</f>
        <v>18</v>
      </c>
      <c r="D503" s="741">
        <f>SUM(T503+U503+Y503+Z503+AK503+AL503+AO503+AR503)+5</f>
        <v>5</v>
      </c>
      <c r="E503" s="742"/>
      <c r="F503" s="741">
        <v>0</v>
      </c>
      <c r="G503" s="687"/>
      <c r="H503" s="728">
        <v>1</v>
      </c>
      <c r="I503" s="729"/>
      <c r="J503" s="729"/>
      <c r="K503" s="729"/>
      <c r="L503" s="729"/>
      <c r="M503" s="729"/>
      <c r="N503" s="729"/>
      <c r="O503" s="730"/>
      <c r="P503" s="730"/>
      <c r="Q503" s="729"/>
      <c r="R503" s="731"/>
      <c r="S503" s="729"/>
      <c r="T503" s="732"/>
      <c r="U503" s="733"/>
      <c r="V503" s="734"/>
      <c r="W503" s="734"/>
      <c r="X503" s="734"/>
      <c r="Y503" s="733"/>
      <c r="Z503" s="733"/>
      <c r="AA503" s="734"/>
      <c r="AB503" s="735"/>
      <c r="AC503" s="736"/>
      <c r="AD503" s="735"/>
      <c r="AE503" s="737"/>
      <c r="AF503" s="734"/>
      <c r="AG503" s="734"/>
      <c r="AH503" s="734"/>
      <c r="AI503" s="734"/>
      <c r="AJ503" s="734"/>
      <c r="AK503" s="738"/>
      <c r="AL503" s="425"/>
      <c r="AM503" s="721"/>
      <c r="AN503" s="721"/>
      <c r="AO503" s="659"/>
      <c r="AP503" s="721"/>
      <c r="AQ503" s="721"/>
      <c r="AR503" s="659"/>
      <c r="AS503" s="721"/>
      <c r="AT503" s="721"/>
      <c r="AU503" s="721"/>
      <c r="AV503" s="721"/>
    </row>
    <row r="504" spans="1:48" ht="14.95" thickBot="1">
      <c r="A504" s="743" t="s">
        <v>480</v>
      </c>
      <c r="B504" s="744">
        <f>SUM(B501+B502*0.5)/B500*100</f>
        <v>47.297297297297298</v>
      </c>
      <c r="C504" s="745">
        <f>SUM(C501+C502*0.5)/C500*100</f>
        <v>48.611111111111107</v>
      </c>
      <c r="D504" s="746">
        <f>SUM(D501+D502*0.5)/D500*100</f>
        <v>58.333333333333336</v>
      </c>
      <c r="E504" s="742"/>
      <c r="F504" s="741">
        <v>0</v>
      </c>
      <c r="G504" s="361"/>
      <c r="H504" s="492"/>
      <c r="I504" s="503"/>
      <c r="J504" s="503"/>
      <c r="K504" s="503"/>
      <c r="L504" s="503"/>
      <c r="M504" s="503"/>
      <c r="N504" s="503"/>
      <c r="O504" s="747"/>
      <c r="P504" s="747"/>
      <c r="Q504" s="503"/>
      <c r="R504" s="748"/>
      <c r="S504" s="503"/>
      <c r="T504" s="748"/>
      <c r="U504" s="749"/>
      <c r="V504" s="750"/>
      <c r="W504" s="751"/>
      <c r="X504" s="751"/>
      <c r="Y504" s="751"/>
      <c r="Z504" s="750"/>
      <c r="AA504" s="749"/>
      <c r="AB504" s="750"/>
      <c r="AC504" s="752"/>
      <c r="AD504" s="750"/>
      <c r="AE504" s="753"/>
      <c r="AF504" s="749"/>
      <c r="AG504" s="749"/>
      <c r="AH504" s="749"/>
      <c r="AI504" s="749"/>
      <c r="AJ504" s="749"/>
      <c r="AK504" s="754"/>
      <c r="AL504" s="425"/>
      <c r="AM504" s="721"/>
      <c r="AN504" s="721"/>
      <c r="AO504" s="659"/>
      <c r="AP504" s="721"/>
      <c r="AQ504" s="721"/>
      <c r="AR504" s="659"/>
      <c r="AS504" s="721"/>
      <c r="AT504" s="721"/>
      <c r="AU504" s="721"/>
      <c r="AV504" s="721"/>
    </row>
    <row r="505" spans="1:48" ht="21.1">
      <c r="A505" s="25" t="s">
        <v>10</v>
      </c>
      <c r="B505" s="28"/>
      <c r="C505" s="28"/>
      <c r="D505" s="29"/>
      <c r="E505" s="32"/>
      <c r="F505" s="28"/>
      <c r="G505" s="28"/>
      <c r="H505" s="28"/>
      <c r="I505" s="28"/>
      <c r="J505" s="28"/>
      <c r="K505" s="50"/>
      <c r="L505" s="28"/>
      <c r="M505" s="28"/>
      <c r="N505" s="28"/>
      <c r="O505" s="28"/>
      <c r="P505" s="34"/>
      <c r="Q505" s="28"/>
      <c r="R505" s="34"/>
      <c r="S505" s="30"/>
      <c r="T505" s="30"/>
      <c r="U505" s="30"/>
      <c r="V505" s="31"/>
      <c r="W505" s="31"/>
      <c r="X505" s="31"/>
      <c r="Y505" s="31"/>
      <c r="Z505" s="31"/>
      <c r="AA505" s="31"/>
      <c r="AB505" s="33"/>
      <c r="AC505" s="40"/>
      <c r="AD505" s="40"/>
      <c r="AE505" s="40"/>
      <c r="AF505" s="31"/>
      <c r="AG505" s="33"/>
      <c r="AH505" s="33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58"/>
      <c r="AU505" s="31"/>
      <c r="AV505" s="31"/>
    </row>
    <row r="506" spans="1:48">
      <c r="A506" s="26" t="s">
        <v>1</v>
      </c>
      <c r="B506" s="28"/>
      <c r="C506" s="28"/>
      <c r="D506" s="28"/>
      <c r="E506" s="28"/>
      <c r="F506" s="28"/>
      <c r="G506" s="28"/>
      <c r="H506" s="28">
        <f>IF(SUMIF($A$4:$A490,$A506,H$4:H490)=0,"",SUMIF($A$4:$A490,$A506,H$4:H490))</f>
        <v>15</v>
      </c>
      <c r="I506" s="28">
        <f>IF(SUMIF($A$4:$A490,$A506,I$4:I490)=0,"",SUMIF($A$4:$A490,$A506,I$4:I490))</f>
        <v>15</v>
      </c>
      <c r="J506" s="28">
        <f>IF(SUMIF($A$4:$A490,$A506,J$4:J490)=0,"",SUMIF($A$4:$A490,$A506,J$4:J490))</f>
        <v>15</v>
      </c>
      <c r="K506" s="50">
        <f>IF(SUMIF($A$4:$A490,$A506,K$4:K490)=0,"",SUMIF($A$4:$A490,$A506,K$4:K490))</f>
        <v>15</v>
      </c>
      <c r="L506" s="28">
        <f>IF(SUMIF($A$4:$A490,$A506,L$4:L490)=0,"",SUMIF($A$4:$A490,$A506,L$4:L490))</f>
        <v>15</v>
      </c>
      <c r="M506" s="28">
        <f>IF(SUMIF($A$4:$A490,$A506,M$4:M490)=0,"",SUMIF($A$4:$A490,$A506,M$4:M490))</f>
        <v>15</v>
      </c>
      <c r="N506" s="28">
        <f>IF(SUMIF($A$4:$A490,$A506,N$4:N490)=0,"",SUMIF($A$4:$A490,$A506,N$4:N490))</f>
        <v>15</v>
      </c>
      <c r="O506" s="28">
        <f>IF(SUMIF($A$4:$A490,$A506,O$4:O490)=0,"",SUMIF($A$4:$A490,$A506,O$4:O490))</f>
        <v>15</v>
      </c>
      <c r="P506" s="34" t="str">
        <f>IF(SUMIF($A$4:$A490,$A506,P$4:P490)=0,"",SUMIF($A$4:$A490,$A506,P$4:P490))</f>
        <v/>
      </c>
      <c r="Q506" s="28">
        <f>IF(SUMIF($A$4:$A490,$A506,Q$4:Q490)=0,"",SUMIF($A$4:$A490,$A506,Q$4:Q490))</f>
        <v>15</v>
      </c>
      <c r="R506" s="34" t="str">
        <f>IF(SUMIF($A$4:$A490,$A506,R$4:R490)=0,"",SUMIF($A$4:$A490,$A506,R$4:R490))</f>
        <v/>
      </c>
      <c r="S506" s="28">
        <f>IF(SUMIF($A$4:$A490,$A506,S$4:S490)=0,"",SUMIF($A$4:$A490,$A506,S$4:S490))</f>
        <v>15</v>
      </c>
      <c r="T506" s="28">
        <f>IF(SUMIF($A$4:$A490,$A506,T$4:T490)=0,"",SUMIF($A$4:$A490,$A506,T$4:T490))</f>
        <v>15</v>
      </c>
      <c r="U506" s="28">
        <f>IF(SUMIF($A$4:$A490,$A506,U$4:U490)=0,"",SUMIF($A$4:$A490,$A506,U$4:U490))</f>
        <v>15</v>
      </c>
      <c r="V506" s="28">
        <f>IF(SUMIF($A$4:$A490,$A506,V$4:V490)=0,"",SUMIF($A$4:$A490,$A506,V$4:V490))</f>
        <v>15</v>
      </c>
      <c r="W506" s="28">
        <f>IF(SUMIF($A$4:$A490,$A506,W$4:W490)=0,"",SUMIF($A$4:$A490,$A506,W$4:W490))</f>
        <v>15</v>
      </c>
      <c r="X506" s="28">
        <f>IF(SUMIF($A$4:$A490,$A506,X$4:X490)=0,"",SUMIF($A$4:$A490,$A506,X$4:X490))</f>
        <v>15</v>
      </c>
      <c r="Y506" s="28">
        <f>IF(SUMIF($A$4:$A490,$A506,Y$4:Y490)=0,"",SUMIF($A$4:$A490,$A506,Y$4:Y490))</f>
        <v>15</v>
      </c>
      <c r="Z506" s="28">
        <f>IF(SUMIF($A$4:$A490,$A506,Z$4:Z490)=0,"",SUMIF($A$4:$A490,$A506,Z$4:Z490))</f>
        <v>15</v>
      </c>
      <c r="AA506" s="28">
        <f>IF(SUMIF($A$4:$A490,$A506,AA$4:AA490)=0,"",SUMIF($A$4:$A490,$A506,AA$4:AA490))</f>
        <v>15</v>
      </c>
      <c r="AB506" s="34" t="str">
        <f>IF(SUMIF($A$4:$A490,$A506,AB$4:AB490)=0,"",SUMIF($A$4:$A490,$A506,AB$4:AB490))</f>
        <v/>
      </c>
      <c r="AC506" s="28">
        <f>IF(SUMIF($A$4:$A490,$A506,AC$4:AC490)=0,"",SUMIF($A$4:$A490,$A506,AC$4:AC490))</f>
        <v>15</v>
      </c>
      <c r="AD506" s="28">
        <f>IF(SUMIF($A$4:$A490,$A506,AD$4:AD490)=0,"",SUMIF($A$4:$A490,$A506,AD$4:AD490))</f>
        <v>15</v>
      </c>
      <c r="AE506" s="28">
        <f>IF(SUMIF($A$4:$A490,$A506,AE$4:AE490)=0,"",SUMIF($A$4:$A490,$A506,AE$4:AE490))</f>
        <v>15</v>
      </c>
      <c r="AF506" s="28">
        <f>IF(SUMIF($A$4:$A490,$A506,AF$4:AF490)=0,"",SUMIF($A$4:$A490,$A506,AF$4:AF490))</f>
        <v>15</v>
      </c>
      <c r="AG506" s="34" t="str">
        <f>IF(SUMIF($A$4:$A490,$A506,AG$4:AG490)=0,"",SUMIF($A$4:$A490,$A506,AG$4:AG490))</f>
        <v/>
      </c>
      <c r="AH506" s="34" t="str">
        <f>IF(SUMIF($A$4:$A490,$A506,AH$4:AH490)=0,"",SUMIF($A$4:$A490,$A506,AH$4:AH490))</f>
        <v/>
      </c>
      <c r="AI506" s="28" t="str">
        <f>IF(SUMIF($A$4:$A490,$A506,AI$4:AI490)=0,"",SUMIF($A$4:$A490,$A506,AI$4:AI490))</f>
        <v/>
      </c>
      <c r="AJ506" s="28" t="str">
        <f>IF(SUMIF($A$4:$A490,$A506,AJ$4:AJ490)=0,"",SUMIF($A$4:$A490,$A506,AJ$4:AJ490))</f>
        <v/>
      </c>
      <c r="AK506" s="28" t="str">
        <f>IF(SUMIF($A$4:$A490,$A506,AK$4:AK490)=0,"",SUMIF($A$4:$A490,$A506,AK$4:AK490))</f>
        <v/>
      </c>
      <c r="AL506" s="28" t="str">
        <f>IF(SUMIF($A$4:$A490,$A506,AL$4:AL490)=0,"",SUMIF($A$4:$A490,$A506,AL$4:AL490))</f>
        <v/>
      </c>
      <c r="AM506" s="28" t="str">
        <f>IF(SUMIF($A$4:$A490,$A506,AM$4:AM490)=0,"",SUMIF($A$4:$A490,$A506,AM$4:AM490))</f>
        <v/>
      </c>
      <c r="AN506" s="28" t="str">
        <f>IF(SUMIF($A$4:$A490,$A506,AN$4:AN490)=0,"",SUMIF($A$4:$A490,$A506,AN$4:AN490))</f>
        <v/>
      </c>
      <c r="AO506" s="28" t="str">
        <f>IF(SUMIF($A$4:$A490,$A506,AO$4:AO490)=0,"",SUMIF($A$4:$A490,$A506,AO$4:AO490))</f>
        <v/>
      </c>
      <c r="AP506" s="28" t="str">
        <f>IF(SUMIF($A$4:$A490,$A506,AP$4:AP490)=0,"",SUMIF($A$4:$A490,$A506,AP$4:AP490))</f>
        <v/>
      </c>
      <c r="AQ506" s="28" t="str">
        <f>IF(SUMIF($A$4:$A490,$A506,AQ$4:AQ490)=0,"",SUMIF($A$4:$A490,$A506,AQ$4:AQ490))</f>
        <v/>
      </c>
      <c r="AR506" s="28" t="str">
        <f>IF(SUMIF($A$4:$A490,$A506,AR$4:AR490)=0,"",SUMIF($A$4:$A490,$A506,AR$4:AR490))</f>
        <v/>
      </c>
      <c r="AS506" s="28" t="str">
        <f>IF(SUMIF($A$4:$A490,$A506,AS$4:AS490)=0,"",SUMIF($A$4:$A490,$A506,AS$4:AS490))</f>
        <v/>
      </c>
      <c r="AT506" s="28" t="str">
        <f>IF(SUMIF($A$4:$A490,$A506,AT$4:AT490)=0,"",SUMIF($A$4:$A490,$A506,AT$4:AT490))</f>
        <v/>
      </c>
      <c r="AU506" s="28" t="str">
        <f>IF(SUMIF($A$4:$A490,$A506,AU$4:AU490)=0,"",SUMIF($A$4:$A490,$A506,AU$4:AU490))</f>
        <v/>
      </c>
      <c r="AV506" s="28" t="str">
        <f>IF(SUMIF($A$4:$A490,$A506,AV$4:AV490)=0,"",SUMIF($A$4:$A490,$A506,AV$4:AV490))</f>
        <v/>
      </c>
    </row>
    <row r="507" spans="1:48">
      <c r="A507" s="26" t="s">
        <v>2</v>
      </c>
      <c r="B507" s="28"/>
      <c r="C507" s="28"/>
      <c r="D507" s="28"/>
      <c r="E507" s="28"/>
      <c r="F507" s="28"/>
      <c r="G507" s="28"/>
      <c r="H507" s="28">
        <f>IF(SUMIF($A$4:$A505,$A507,H$4:H505)=0,"",SUMIF($A$4:$A505,$A507,H$4:H505))</f>
        <v>8</v>
      </c>
      <c r="I507" s="28">
        <f>IF(SUMIF($A$4:$A505,$A507,I$4:I505)=0,"",SUMIF($A$4:$A505,$A507,I$4:I505))</f>
        <v>8</v>
      </c>
      <c r="J507" s="28">
        <f>IF(SUMIF($A$4:$A505,$A507,J$4:J505)=0,"",SUMIF($A$4:$A505,$A507,J$4:J505))</f>
        <v>8</v>
      </c>
      <c r="K507" s="50">
        <f>IF(SUMIF($A$4:$A505,$A507,K$4:K505)=0,"",SUMIF($A$4:$A505,$A507,K$4:K505))</f>
        <v>7</v>
      </c>
      <c r="L507" s="28">
        <f>IF(SUMIF($A$4:$A505,$A507,L$4:L505)=0,"",SUMIF($A$4:$A505,$A507,L$4:L505))</f>
        <v>7</v>
      </c>
      <c r="M507" s="28">
        <f>IF(SUMIF($A$4:$A505,$A507,M$4:M505)=0,"",SUMIF($A$4:$A505,$A507,M$4:M505))</f>
        <v>8</v>
      </c>
      <c r="N507" s="28">
        <f>IF(SUMIF($A$4:$A505,$A507,N$4:N505)=0,"",SUMIF($A$4:$A505,$A507,N$4:N505))</f>
        <v>8</v>
      </c>
      <c r="O507" s="28">
        <f>IF(SUMIF($A$4:$A505,$A507,O$4:O505)=0,"",SUMIF($A$4:$A505,$A507,O$4:O505))</f>
        <v>8</v>
      </c>
      <c r="P507" s="34" t="str">
        <f>IF(SUMIF($A$4:$A505,$A507,P$4:P505)=0,"",SUMIF($A$4:$A505,$A507,P$4:P505))</f>
        <v/>
      </c>
      <c r="Q507" s="28">
        <f>IF(SUMIF($A$4:$A505,$A507,Q$4:Q505)=0,"",SUMIF($A$4:$A505,$A507,Q$4:Q505))</f>
        <v>8</v>
      </c>
      <c r="R507" s="34" t="str">
        <f>IF(SUMIF($A$4:$A505,$A507,R$4:R505)=0,"",SUMIF($A$4:$A505,$A507,R$4:R505))</f>
        <v/>
      </c>
      <c r="S507" s="28">
        <f>IF(SUMIF($A$4:$A505,$A507,S$4:S505)=0,"",SUMIF($A$4:$A505,$A507,S$4:S505))</f>
        <v>8</v>
      </c>
      <c r="T507" s="28">
        <f>IF(SUMIF($A$4:$A505,$A507,T$4:T505)=0,"",SUMIF($A$4:$A505,$A507,T$4:T505))</f>
        <v>8</v>
      </c>
      <c r="U507" s="28">
        <f>IF(SUMIF($A$4:$A505,$A507,U$4:U505)=0,"",SUMIF($A$4:$A505,$A507,U$4:U505))</f>
        <v>8</v>
      </c>
      <c r="V507" s="28">
        <f>IF(SUMIF($A$4:$A505,$A507,V$4:V505)=0,"",SUMIF($A$4:$A505,$A507,V$4:V505))</f>
        <v>8</v>
      </c>
      <c r="W507" s="28">
        <f>IF(SUMIF($A$4:$A505,$A507,W$4:W505)=0,"",SUMIF($A$4:$A505,$A507,W$4:W505))</f>
        <v>8</v>
      </c>
      <c r="X507" s="28">
        <f>IF(SUMIF($A$4:$A505,$A507,X$4:X505)=0,"",SUMIF($A$4:$A505,$A507,X$4:X505))</f>
        <v>8</v>
      </c>
      <c r="Y507" s="28">
        <f>IF(SUMIF($A$4:$A505,$A507,Y$4:Y505)=0,"",SUMIF($A$4:$A505,$A507,Y$4:Y505))</f>
        <v>8</v>
      </c>
      <c r="Z507" s="28">
        <f>IF(SUMIF($A$4:$A505,$A507,Z$4:Z505)=0,"",SUMIF($A$4:$A505,$A507,Z$4:Z505))</f>
        <v>7</v>
      </c>
      <c r="AA507" s="28">
        <f>IF(SUMIF($A$4:$A505,$A507,AA$4:AA505)=0,"",SUMIF($A$4:$A505,$A507,AA$4:AA505))</f>
        <v>8</v>
      </c>
      <c r="AB507" s="34" t="str">
        <f>IF(SUMIF($A$4:$A505,$A507,AB$4:AB505)=0,"",SUMIF($A$4:$A505,$A507,AB$4:AB505))</f>
        <v/>
      </c>
      <c r="AC507" s="28">
        <f>IF(SUMIF($A$4:$A505,$A507,AC$4:AC505)=0,"",SUMIF($A$4:$A505,$A507,AC$4:AC505))</f>
        <v>8</v>
      </c>
      <c r="AD507" s="28">
        <f>IF(SUMIF($A$4:$A505,$A507,AD$4:AD505)=0,"",SUMIF($A$4:$A505,$A507,AD$4:AD505))</f>
        <v>8</v>
      </c>
      <c r="AE507" s="28">
        <f>IF(SUMIF($A$4:$A505,$A507,AE$4:AE505)=0,"",SUMIF($A$4:$A505,$A507,AE$4:AE505))</f>
        <v>8</v>
      </c>
      <c r="AF507" s="28">
        <f>IF(SUMIF($A$4:$A505,$A507,AF$4:AF505)=0,"",SUMIF($A$4:$A505,$A507,AF$4:AF505))</f>
        <v>8</v>
      </c>
      <c r="AG507" s="34" t="str">
        <f>IF(SUMIF($A$4:$A505,$A507,AG$4:AG505)=0,"",SUMIF($A$4:$A505,$A507,AG$4:AG505))</f>
        <v/>
      </c>
      <c r="AH507" s="34" t="str">
        <f>IF(SUMIF($A$4:$A505,$A507,AH$4:AH505)=0,"",SUMIF($A$4:$A505,$A507,AH$4:AH505))</f>
        <v/>
      </c>
      <c r="AI507" s="28" t="str">
        <f>IF(SUMIF($A$4:$A505,$A507,AI$4:AI505)=0,"",SUMIF($A$4:$A505,$A507,AI$4:AI505))</f>
        <v/>
      </c>
      <c r="AJ507" s="28" t="str">
        <f>IF(SUMIF($A$4:$A505,$A507,AJ$4:AJ505)=0,"",SUMIF($A$4:$A505,$A507,AJ$4:AJ505))</f>
        <v/>
      </c>
      <c r="AK507" s="28" t="str">
        <f>IF(SUMIF($A$4:$A505,$A507,AK$4:AK505)=0,"",SUMIF($A$4:$A505,$A507,AK$4:AK505))</f>
        <v/>
      </c>
      <c r="AL507" s="28" t="str">
        <f>IF(SUMIF($A$4:$A505,$A507,AL$4:AL505)=0,"",SUMIF($A$4:$A505,$A507,AL$4:AL505))</f>
        <v/>
      </c>
      <c r="AM507" s="28" t="str">
        <f>IF(SUMIF($A$4:$A505,$A507,AM$4:AM505)=0,"",SUMIF($A$4:$A505,$A507,AM$4:AM505))</f>
        <v/>
      </c>
      <c r="AN507" s="28" t="str">
        <f>IF(SUMIF($A$4:$A505,$A507,AN$4:AN505)=0,"",SUMIF($A$4:$A505,$A507,AN$4:AN505))</f>
        <v/>
      </c>
      <c r="AO507" s="28" t="str">
        <f>IF(SUMIF($A$4:$A505,$A507,AO$4:AO505)=0,"",SUMIF($A$4:$A505,$A507,AO$4:AO505))</f>
        <v/>
      </c>
      <c r="AP507" s="28" t="str">
        <f>IF(SUMIF($A$4:$A505,$A507,AP$4:AP505)=0,"",SUMIF($A$4:$A505,$A507,AP$4:AP505))</f>
        <v/>
      </c>
      <c r="AQ507" s="28" t="str">
        <f>IF(SUMIF($A$4:$A505,$A507,AQ$4:AQ505)=0,"",SUMIF($A$4:$A505,$A507,AQ$4:AQ505))</f>
        <v/>
      </c>
      <c r="AR507" s="28" t="str">
        <f>IF(SUMIF($A$4:$A505,$A507,AR$4:AR505)=0,"",SUMIF($A$4:$A505,$A507,AR$4:AR505))</f>
        <v/>
      </c>
      <c r="AS507" s="28" t="str">
        <f>IF(SUMIF($A$4:$A505,$A507,AS$4:AS505)=0,"",SUMIF($A$4:$A505,$A507,AS$4:AS505))</f>
        <v/>
      </c>
      <c r="AT507" s="28" t="str">
        <f>IF(SUMIF($A$4:$A505,$A507,AT$4:AT505)=0,"",SUMIF($A$4:$A505,$A507,AT$4:AT505))</f>
        <v/>
      </c>
      <c r="AU507" s="28" t="str">
        <f>IF(SUMIF($A$4:$A505,$A507,AU$4:AU505)=0,"",SUMIF($A$4:$A505,$A507,AU$4:AU505))</f>
        <v/>
      </c>
      <c r="AV507" s="28" t="str">
        <f>IF(SUMIF($A$4:$A505,$A507,AV$4:AV505)=0,"",SUMIF($A$4:$A505,$A507,AV$4:AV505))</f>
        <v/>
      </c>
    </row>
    <row r="508" spans="1:48">
      <c r="A508" s="26" t="s">
        <v>3</v>
      </c>
      <c r="B508" s="28"/>
      <c r="C508" s="28"/>
      <c r="D508" s="28"/>
      <c r="E508" s="28"/>
      <c r="F508" s="28"/>
      <c r="G508" s="28"/>
      <c r="H508" s="28">
        <f>IF(SUMIF($A$4:$A506,$A508,H$4:H506)=0,"",SUMIF($A$4:$A506,$A508,H$4:H506))</f>
        <v>2</v>
      </c>
      <c r="I508" s="28">
        <f>IF(SUMIF($A$4:$A506,$A508,I$4:I506)=0,"",SUMIF($A$4:$A506,$A508,I$4:I506))</f>
        <v>3</v>
      </c>
      <c r="J508" s="28">
        <f>IF(SUMIF($A$4:$A506,$A508,J$4:J506)=0,"",SUMIF($A$4:$A506,$A508,J$4:J506))</f>
        <v>5</v>
      </c>
      <c r="K508" s="50">
        <f>IF(SUMIF($A$4:$A506,$A508,K$4:K506)=0,"",SUMIF($A$4:$A506,$A508,K$4:K506))</f>
        <v>1</v>
      </c>
      <c r="L508" s="28">
        <f>IF(SUMIF($A$4:$A506,$A508,L$4:L506)=0,"",SUMIF($A$4:$A506,$A508,L$4:L506))</f>
        <v>2</v>
      </c>
      <c r="M508" s="28" t="str">
        <f>IF(SUMIF($A$4:$A506,$A508,M$4:M506)=0,"",SUMIF($A$4:$A506,$A508,M$4:M506))</f>
        <v/>
      </c>
      <c r="N508" s="28">
        <f>IF(SUMIF($A$4:$A506,$A508,N$4:N506)=0,"",SUMIF($A$4:$A506,$A508,N$4:N506))</f>
        <v>8</v>
      </c>
      <c r="O508" s="28">
        <f>IF(SUMIF($A$4:$A506,$A508,O$4:O506)=0,"",SUMIF($A$4:$A506,$A508,O$4:O506))</f>
        <v>3</v>
      </c>
      <c r="P508" s="34" t="str">
        <f>IF(SUMIF($A$4:$A506,$A508,P$4:P506)=0,"",SUMIF($A$4:$A506,$A508,P$4:P506))</f>
        <v/>
      </c>
      <c r="Q508" s="28">
        <f>IF(SUMIF($A$4:$A506,$A508,Q$4:Q506)=0,"",SUMIF($A$4:$A506,$A508,Q$4:Q506))</f>
        <v>3</v>
      </c>
      <c r="R508" s="34" t="str">
        <f>IF(SUMIF($A$4:$A506,$A508,R$4:R506)=0,"",SUMIF($A$4:$A506,$A508,R$4:R506))</f>
        <v/>
      </c>
      <c r="S508" s="28">
        <f>IF(SUMIF($A$4:$A506,$A508,S$4:S506)=0,"",SUMIF($A$4:$A506,$A508,S$4:S506))</f>
        <v>2</v>
      </c>
      <c r="T508" s="28">
        <f>IF(SUMIF($A$4:$A506,$A508,T$4:T506)=0,"",SUMIF($A$4:$A506,$A508,T$4:T506))</f>
        <v>4</v>
      </c>
      <c r="U508" s="28">
        <f>IF(SUMIF($A$4:$A506,$A508,U$4:U506)=0,"",SUMIF($A$4:$A506,$A508,U$4:U506))</f>
        <v>10</v>
      </c>
      <c r="V508" s="28">
        <f>IF(SUMIF($A$4:$A506,$A508,V$4:V506)=0,"",SUMIF($A$4:$A506,$A508,V$4:V506))</f>
        <v>2</v>
      </c>
      <c r="W508" s="28">
        <f>IF(SUMIF($A$4:$A506,$A508,W$4:W506)=0,"",SUMIF($A$4:$A506,$A508,W$4:W506))</f>
        <v>2</v>
      </c>
      <c r="X508" s="28">
        <f>IF(SUMIF($A$4:$A506,$A508,X$4:X506)=0,"",SUMIF($A$4:$A506,$A508,X$4:X506))</f>
        <v>3</v>
      </c>
      <c r="Y508" s="28">
        <f>IF(SUMIF($A$4:$A506,$A508,Y$4:Y506)=0,"",SUMIF($A$4:$A506,$A508,Y$4:Y506))</f>
        <v>9</v>
      </c>
      <c r="Z508" s="28">
        <f>IF(SUMIF($A$4:$A506,$A508,Z$4:Z506)=0,"",SUMIF($A$4:$A506,$A508,Z$4:Z506))</f>
        <v>3</v>
      </c>
      <c r="AA508" s="28">
        <f>IF(SUMIF($A$4:$A506,$A508,AA$4:AA506)=0,"",SUMIF($A$4:$A506,$A508,AA$4:AA506))</f>
        <v>1</v>
      </c>
      <c r="AB508" s="34" t="str">
        <f>IF(SUMIF($A$4:$A506,$A508,AB$4:AB506)=0,"",SUMIF($A$4:$A506,$A508,AB$4:AB506))</f>
        <v/>
      </c>
      <c r="AC508" s="28">
        <f>IF(SUMIF($A$4:$A506,$A508,AC$4:AC506)=0,"",SUMIF($A$4:$A506,$A508,AC$4:AC506))</f>
        <v>7</v>
      </c>
      <c r="AD508" s="28">
        <f>IF(SUMIF($A$4:$A506,$A508,AD$4:AD506)=0,"",SUMIF($A$4:$A506,$A508,AD$4:AD506))</f>
        <v>4</v>
      </c>
      <c r="AE508" s="28">
        <f>IF(SUMIF($A$4:$A506,$A508,AE$4:AE506)=0,"",SUMIF($A$4:$A506,$A508,AE$4:AE506))</f>
        <v>5</v>
      </c>
      <c r="AF508" s="28">
        <f>IF(SUMIF($A$4:$A506,$A508,AF$4:AF506)=0,"",SUMIF($A$4:$A506,$A508,AF$4:AF506))</f>
        <v>5</v>
      </c>
      <c r="AG508" s="34" t="str">
        <f>IF(SUMIF($A$4:$A506,$A508,AG$4:AG506)=0,"",SUMIF($A$4:$A506,$A508,AG$4:AG506))</f>
        <v/>
      </c>
      <c r="AH508" s="34" t="str">
        <f>IF(SUMIF($A$4:$A506,$A508,AH$4:AH506)=0,"",SUMIF($A$4:$A506,$A508,AH$4:AH506))</f>
        <v/>
      </c>
      <c r="AI508" s="28" t="str">
        <f>IF(SUMIF($A$4:$A506,$A508,AI$4:AI506)=0,"",SUMIF($A$4:$A506,$A508,AI$4:AI506))</f>
        <v/>
      </c>
      <c r="AJ508" s="28" t="str">
        <f>IF(SUMIF($A$4:$A506,$A508,AJ$4:AJ506)=0,"",SUMIF($A$4:$A506,$A508,AJ$4:AJ506))</f>
        <v/>
      </c>
      <c r="AK508" s="28" t="str">
        <f>IF(SUMIF($A$4:$A506,$A508,AK$4:AK506)=0,"",SUMIF($A$4:$A506,$A508,AK$4:AK506))</f>
        <v/>
      </c>
      <c r="AL508" s="28" t="str">
        <f>IF(SUMIF($A$4:$A506,$A508,AL$4:AL506)=0,"",SUMIF($A$4:$A506,$A508,AL$4:AL506))</f>
        <v/>
      </c>
      <c r="AM508" s="28" t="str">
        <f>IF(SUMIF($A$4:$A506,$A508,AM$4:AM506)=0,"",SUMIF($A$4:$A506,$A508,AM$4:AM506))</f>
        <v/>
      </c>
      <c r="AN508" s="28" t="str">
        <f>IF(SUMIF($A$4:$A506,$A508,AN$4:AN506)=0,"",SUMIF($A$4:$A506,$A508,AN$4:AN506))</f>
        <v/>
      </c>
      <c r="AO508" s="28" t="str">
        <f>IF(SUMIF($A$4:$A506,$A508,AO$4:AO506)=0,"",SUMIF($A$4:$A506,$A508,AO$4:AO506))</f>
        <v/>
      </c>
      <c r="AP508" s="28" t="str">
        <f>IF(SUMIF($A$4:$A506,$A508,AP$4:AP506)=0,"",SUMIF($A$4:$A506,$A508,AP$4:AP506))</f>
        <v/>
      </c>
      <c r="AQ508" s="28" t="str">
        <f>IF(SUMIF($A$4:$A506,$A508,AQ$4:AQ506)=0,"",SUMIF($A$4:$A506,$A508,AQ$4:AQ506))</f>
        <v/>
      </c>
      <c r="AR508" s="28" t="str">
        <f>IF(SUMIF($A$4:$A506,$A508,AR$4:AR506)=0,"",SUMIF($A$4:$A506,$A508,AR$4:AR506))</f>
        <v/>
      </c>
      <c r="AS508" s="28" t="str">
        <f>IF(SUMIF($A$4:$A506,$A508,AS$4:AS506)=0,"",SUMIF($A$4:$A506,$A508,AS$4:AS506))</f>
        <v/>
      </c>
      <c r="AT508" s="28" t="str">
        <f>IF(SUMIF($A$4:$A506,$A508,AT$4:AT506)=0,"",SUMIF($A$4:$A506,$A508,AT$4:AT506))</f>
        <v/>
      </c>
      <c r="AU508" s="28" t="str">
        <f>IF(SUMIF($A$4:$A506,$A508,AU$4:AU506)=0,"",SUMIF($A$4:$A506,$A508,AU$4:AU506))</f>
        <v/>
      </c>
      <c r="AV508" s="28" t="str">
        <f>IF(SUMIF($A$4:$A506,$A508,AV$4:AV506)=0,"",SUMIF($A$4:$A506,$A508,AV$4:AV506))</f>
        <v/>
      </c>
    </row>
    <row r="509" spans="1:48" ht="14.95" thickBot="1">
      <c r="A509" s="27" t="s">
        <v>4</v>
      </c>
      <c r="B509" s="36"/>
      <c r="C509" s="36"/>
      <c r="D509" s="36"/>
      <c r="E509" s="36"/>
      <c r="F509" s="36"/>
      <c r="G509" s="36"/>
      <c r="H509" s="36">
        <f>IF(SUMIF($A$4:$A507,$A509,H$4:H507)=0,"",SUMIF($A$4:$A507,$A509,H$4:H507))</f>
        <v>14</v>
      </c>
      <c r="I509" s="36">
        <f>IF(SUMIF($A$4:$A507,$A509,I$4:I507)=0,"",SUMIF($A$4:$A507,$A509,I$4:I507))</f>
        <v>17</v>
      </c>
      <c r="J509" s="36">
        <f>IF(SUMIF($A$4:$A507,$A509,J$4:J507)=0,"",SUMIF($A$4:$A507,$A509,J$4:J507))</f>
        <v>31</v>
      </c>
      <c r="K509" s="51">
        <f>IF(SUMIF($A$4:$A507,$A509,K$4:K507)=0,"",SUMIF($A$4:$A507,$A509,K$4:K507))</f>
        <v>19</v>
      </c>
      <c r="L509" s="36">
        <f>IF(SUMIF($A$4:$A507,$A509,L$4:L507)=0,"",SUMIF($A$4:$A507,$A509,L$4:L507))</f>
        <v>20</v>
      </c>
      <c r="M509" s="36" t="str">
        <f>IF(SUMIF($A$4:$A507,$A509,M$4:M507)=0,"",SUMIF($A$4:$A507,$A509,M$4:M507))</f>
        <v/>
      </c>
      <c r="N509" s="36">
        <f>IF(SUMIF($A$4:$A507,$A509,N$4:N507)=0,"",SUMIF($A$4:$A507,$A509,N$4:N507))</f>
        <v>52</v>
      </c>
      <c r="O509" s="36">
        <f>IF(SUMIF($A$4:$A507,$A509,O$4:O507)=0,"",SUMIF($A$4:$A507,$A509,O$4:O507))</f>
        <v>17</v>
      </c>
      <c r="P509" s="37" t="str">
        <f>IF(SUMIF($A$4:$A507,$A509,P$4:P507)=0,"",SUMIF($A$4:$A507,$A509,P$4:P507))</f>
        <v/>
      </c>
      <c r="Q509" s="36">
        <f>IF(SUMIF($A$4:$A507,$A509,Q$4:Q507)=0,"",SUMIF($A$4:$A507,$A509,Q$4:Q507))</f>
        <v>21</v>
      </c>
      <c r="R509" s="37" t="str">
        <f>IF(SUMIF($A$4:$A507,$A509,R$4:R507)=0,"",SUMIF($A$4:$A507,$A509,R$4:R507))</f>
        <v/>
      </c>
      <c r="S509" s="36">
        <f>IF(SUMIF($A$4:$A507,$A509,S$4:S507)=0,"",SUMIF($A$4:$A507,$A509,S$4:S507))</f>
        <v>15</v>
      </c>
      <c r="T509" s="36">
        <f>IF(SUMIF($A$4:$A507,$A509,T$4:T507)=0,"",SUMIF($A$4:$A507,$A509,T$4:T507))</f>
        <v>28</v>
      </c>
      <c r="U509" s="36">
        <f>IF(SUMIF($A$4:$A507,$A509,U$4:U507)=0,"",SUMIF($A$4:$A507,$A509,U$4:U507))</f>
        <v>68</v>
      </c>
      <c r="V509" s="36">
        <f>IF(SUMIF($A$4:$A507,$A509,V$4:V507)=0,"",SUMIF($A$4:$A507,$A509,V$4:V507))</f>
        <v>14</v>
      </c>
      <c r="W509" s="36">
        <f>IF(SUMIF($A$4:$A507,$A509,W$4:W507)=0,"",SUMIF($A$4:$A507,$A509,W$4:W507))</f>
        <v>17</v>
      </c>
      <c r="X509" s="36">
        <f>IF(SUMIF($A$4:$A507,$A509,X$4:X507)=0,"",SUMIF($A$4:$A507,$A509,X$4:X507))</f>
        <v>21</v>
      </c>
      <c r="Y509" s="36">
        <f>IF(SUMIF($A$4:$A507,$A509,Y$4:Y507)=0,"",SUMIF($A$4:$A507,$A509,Y$4:Y507))</f>
        <v>61</v>
      </c>
      <c r="Z509" s="36">
        <f>IF(SUMIF($A$4:$A507,$A509,Z$4:Z507)=0,"",SUMIF($A$4:$A507,$A509,Z$4:Z507))</f>
        <v>27</v>
      </c>
      <c r="AA509" s="36">
        <f>IF(SUMIF($A$4:$A507,$A509,AA$4:AA507)=0,"",SUMIF($A$4:$A507,$A509,AA$4:AA507))</f>
        <v>7</v>
      </c>
      <c r="AB509" s="37" t="str">
        <f>IF(SUMIF($A$4:$A507,$A509,AB$4:AB507)=0,"",SUMIF($A$4:$A507,$A509,AB$4:AB507))</f>
        <v/>
      </c>
      <c r="AC509" s="36">
        <f>IF(SUMIF($A$4:$A507,$A509,AC$4:AC507)=0,"",SUMIF($A$4:$A507,$A509,AC$4:AC507))</f>
        <v>43</v>
      </c>
      <c r="AD509" s="36">
        <f>IF(SUMIF($A$4:$A507,$A509,AD$4:AD507)=0,"",SUMIF($A$4:$A507,$A509,AD$4:AD507))</f>
        <v>24</v>
      </c>
      <c r="AE509" s="36">
        <f>IF(SUMIF($A$4:$A507,$A509,AE$4:AE507)=0,"",SUMIF($A$4:$A507,$A509,AE$4:AE507))</f>
        <v>27</v>
      </c>
      <c r="AF509" s="36">
        <f>IF(SUMIF($A$4:$A507,$A509,AF$4:AF507)=0,"",SUMIF($A$4:$A507,$A509,AF$4:AF507))</f>
        <v>35</v>
      </c>
      <c r="AG509" s="37" t="str">
        <f>IF(SUMIF($A$4:$A507,$A509,AG$4:AG507)=0,"",SUMIF($A$4:$A507,$A509,AG$4:AG507))</f>
        <v/>
      </c>
      <c r="AH509" s="37" t="str">
        <f>IF(SUMIF($A$4:$A507,$A509,AH$4:AH507)=0,"",SUMIF($A$4:$A507,$A509,AH$4:AH507))</f>
        <v/>
      </c>
      <c r="AI509" s="36" t="str">
        <f>IF(SUMIF($A$4:$A507,$A509,AI$4:AI507)=0,"",SUMIF($A$4:$A507,$A509,AI$4:AI507))</f>
        <v/>
      </c>
      <c r="AJ509" s="36" t="str">
        <f>IF(SUMIF($A$4:$A507,$A509,AJ$4:AJ507)=0,"",SUMIF($A$4:$A507,$A509,AJ$4:AJ507))</f>
        <v/>
      </c>
      <c r="AK509" s="36" t="str">
        <f>IF(SUMIF($A$4:$A507,$A509,AK$4:AK507)=0,"",SUMIF($A$4:$A507,$A509,AK$4:AK507))</f>
        <v/>
      </c>
      <c r="AL509" s="36" t="str">
        <f>IF(SUMIF($A$4:$A507,$A509,AL$4:AL507)=0,"",SUMIF($A$4:$A507,$A509,AL$4:AL507))</f>
        <v/>
      </c>
      <c r="AM509" s="36" t="str">
        <f>IF(SUMIF($A$4:$A507,$A509,AM$4:AM507)=0,"",SUMIF($A$4:$A507,$A509,AM$4:AM507))</f>
        <v/>
      </c>
      <c r="AN509" s="36" t="str">
        <f>IF(SUMIF($A$4:$A507,$A509,AN$4:AN507)=0,"",SUMIF($A$4:$A507,$A509,AN$4:AN507))</f>
        <v/>
      </c>
      <c r="AO509" s="36" t="str">
        <f>IF(SUMIF($A$4:$A507,$A509,AO$4:AO507)=0,"",SUMIF($A$4:$A507,$A509,AO$4:AO507))</f>
        <v/>
      </c>
      <c r="AP509" s="36" t="str">
        <f>IF(SUMIF($A$4:$A507,$A509,AP$4:AP507)=0,"",SUMIF($A$4:$A507,$A509,AP$4:AP507))</f>
        <v/>
      </c>
      <c r="AQ509" s="36" t="str">
        <f>IF(SUMIF($A$4:$A507,$A509,AQ$4:AQ507)=0,"",SUMIF($A$4:$A507,$A509,AQ$4:AQ507))</f>
        <v/>
      </c>
      <c r="AR509" s="36" t="str">
        <f>IF(SUMIF($A$4:$A507,$A509,AR$4:AR507)=0,"",SUMIF($A$4:$A507,$A509,AR$4:AR507))</f>
        <v/>
      </c>
      <c r="AS509" s="36" t="str">
        <f>IF(SUMIF($A$4:$A507,$A509,AS$4:AS507)=0,"",SUMIF($A$4:$A507,$A509,AS$4:AS507))</f>
        <v/>
      </c>
      <c r="AT509" s="36" t="str">
        <f>IF(SUMIF($A$4:$A507,$A509,AT$4:AT507)=0,"",SUMIF($A$4:$A507,$A509,AT$4:AT507))</f>
        <v/>
      </c>
      <c r="AU509" s="36" t="str">
        <f>IF(SUMIF($A$4:$A507,$A509,AU$4:AU507)=0,"",SUMIF($A$4:$A507,$A509,AU$4:AU507))</f>
        <v/>
      </c>
      <c r="AV509" s="36" t="str">
        <f>IF(SUMIF($A$4:$A507,$A509,AV$4:AV507)=0,"",SUMIF($A$4:$A507,$A509,AV$4:AV507))</f>
        <v/>
      </c>
    </row>
    <row r="510" spans="1:48">
      <c r="A510" s="44" t="s">
        <v>853</v>
      </c>
      <c r="M510" s="15" t="s">
        <v>470</v>
      </c>
      <c r="AM510" s="439"/>
      <c r="AN510" s="439"/>
      <c r="AO510" s="439"/>
      <c r="AP510" s="439"/>
      <c r="AQ510" s="439"/>
      <c r="AR510" s="439"/>
      <c r="AS510" s="439"/>
      <c r="AT510" s="439"/>
      <c r="AU510" s="439"/>
    </row>
    <row r="511" spans="1:48">
      <c r="A511" s="467" t="s">
        <v>7</v>
      </c>
    </row>
    <row r="512" spans="1:48">
      <c r="D512" s="43"/>
    </row>
    <row r="513" spans="1:4">
      <c r="D513" s="43"/>
    </row>
    <row r="520" spans="1:4">
      <c r="A520" s="43"/>
    </row>
    <row r="521" spans="1:4">
      <c r="A521" s="43"/>
    </row>
    <row r="522" spans="1:4">
      <c r="A522" s="43"/>
    </row>
    <row r="523" spans="1:4">
      <c r="A523" s="43"/>
    </row>
    <row r="524" spans="1:4">
      <c r="A524" s="44" t="s">
        <v>0</v>
      </c>
    </row>
  </sheetData>
  <mergeCells count="11">
    <mergeCell ref="F498:G498"/>
    <mergeCell ref="A1:A3"/>
    <mergeCell ref="B1:G1"/>
    <mergeCell ref="B2:C2"/>
    <mergeCell ref="D2:E2"/>
    <mergeCell ref="F2:G2"/>
    <mergeCell ref="B491:C491"/>
    <mergeCell ref="D491:E491"/>
    <mergeCell ref="F491:G491"/>
    <mergeCell ref="B498:C498"/>
    <mergeCell ref="D498:E498"/>
  </mergeCells>
  <pageMargins left="0.7" right="0.7" top="0.75" bottom="0.75" header="0.3" footer="0.3"/>
  <pageSetup paperSize="9" orientation="portrait" r:id="rId1"/>
  <ignoredErrors>
    <ignoredError sqref="C154 B97 C145 B397 B246 B121 B264 B363 B58 C134 B169 B378 B315 B270 B14 B20 B72 B78 B91 B189 B195 B201 B213 B226 B240 B278:B290 B323 B343 B384 B390 B403 B462:B477 D493:D496 B453:B455 B459:C459 B409 B349 B296 B35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431"/>
  <sheetViews>
    <sheetView workbookViewId="0">
      <pane xSplit="7" ySplit="3" topLeftCell="S4" activePane="bottomRight" state="frozen"/>
      <selection pane="topRight" activeCell="H1" sqref="H1"/>
      <selection pane="bottomLeft" activeCell="A4" sqref="A4"/>
      <selection pane="bottomRight" activeCell="AE9" sqref="AE9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910" t="s">
        <v>514</v>
      </c>
      <c r="B1" s="913" t="s">
        <v>347</v>
      </c>
      <c r="C1" s="914"/>
      <c r="D1" s="914"/>
      <c r="E1" s="914"/>
      <c r="F1" s="914"/>
      <c r="G1" s="915"/>
      <c r="H1" s="22" t="s">
        <v>529</v>
      </c>
      <c r="I1" s="22" t="s">
        <v>530</v>
      </c>
      <c r="J1" s="22" t="s">
        <v>531</v>
      </c>
      <c r="K1" s="22" t="s">
        <v>532</v>
      </c>
      <c r="L1" s="22" t="s">
        <v>533</v>
      </c>
      <c r="M1" s="22" t="s">
        <v>534</v>
      </c>
      <c r="N1" s="22" t="s">
        <v>535</v>
      </c>
      <c r="O1" s="22" t="s">
        <v>436</v>
      </c>
      <c r="P1" s="22" t="s">
        <v>9</v>
      </c>
      <c r="Q1" s="22" t="s">
        <v>9</v>
      </c>
      <c r="R1" s="22" t="s">
        <v>536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542</v>
      </c>
      <c r="AC1" s="22" t="s">
        <v>543</v>
      </c>
      <c r="AD1" s="22" t="s">
        <v>544</v>
      </c>
      <c r="AE1" s="22" t="s">
        <v>545</v>
      </c>
      <c r="AF1" s="22" t="s">
        <v>9</v>
      </c>
      <c r="AG1" s="22" t="s">
        <v>304</v>
      </c>
      <c r="AH1" s="22" t="s">
        <v>546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911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43374</v>
      </c>
      <c r="N2" s="5">
        <v>45931</v>
      </c>
      <c r="O2" s="42">
        <v>48122</v>
      </c>
      <c r="P2" s="56">
        <v>39753</v>
      </c>
      <c r="Q2" s="56">
        <v>42309</v>
      </c>
      <c r="R2" s="41">
        <v>44501</v>
      </c>
      <c r="S2" s="4">
        <v>47058</v>
      </c>
      <c r="T2" s="38">
        <v>39052</v>
      </c>
      <c r="U2" s="38">
        <v>41244</v>
      </c>
      <c r="V2" s="4">
        <v>43800</v>
      </c>
      <c r="W2" s="4">
        <v>10197</v>
      </c>
      <c r="X2" s="5">
        <v>37987</v>
      </c>
      <c r="Y2" s="38">
        <v>40179</v>
      </c>
      <c r="Z2" s="38">
        <v>42736</v>
      </c>
      <c r="AA2" s="4">
        <v>45292</v>
      </c>
      <c r="AB2" s="41">
        <v>47849</v>
      </c>
      <c r="AC2" s="41">
        <v>38749</v>
      </c>
      <c r="AD2" s="41">
        <v>41671</v>
      </c>
      <c r="AE2" s="41">
        <v>44228</v>
      </c>
      <c r="AF2" s="56">
        <v>46784</v>
      </c>
      <c r="AG2" s="41">
        <v>39508</v>
      </c>
      <c r="AH2" s="41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912"/>
      <c r="B3" s="507" t="s">
        <v>357</v>
      </c>
      <c r="C3" s="64" t="s">
        <v>349</v>
      </c>
      <c r="D3" s="507" t="s">
        <v>357</v>
      </c>
      <c r="E3" s="61" t="s">
        <v>349</v>
      </c>
      <c r="F3" s="507" t="s">
        <v>357</v>
      </c>
      <c r="G3" s="70" t="s">
        <v>349</v>
      </c>
      <c r="H3" s="7" t="s">
        <v>388</v>
      </c>
      <c r="I3" s="6" t="s">
        <v>395</v>
      </c>
      <c r="J3" s="80" t="s">
        <v>700</v>
      </c>
      <c r="K3" s="73" t="s">
        <v>391</v>
      </c>
      <c r="L3" s="577" t="s">
        <v>694</v>
      </c>
      <c r="M3" s="24" t="s">
        <v>687</v>
      </c>
      <c r="N3" s="24" t="s">
        <v>706</v>
      </c>
      <c r="O3" s="8" t="s">
        <v>593</v>
      </c>
      <c r="P3" s="7"/>
      <c r="Q3" s="21"/>
      <c r="R3" s="9" t="s">
        <v>639</v>
      </c>
      <c r="S3" s="11" t="s">
        <v>593</v>
      </c>
      <c r="T3" s="10" t="s">
        <v>849</v>
      </c>
      <c r="U3" s="660" t="s">
        <v>870</v>
      </c>
      <c r="V3" s="9" t="s">
        <v>680</v>
      </c>
      <c r="W3" s="10" t="s">
        <v>722</v>
      </c>
      <c r="X3" s="9" t="s">
        <v>388</v>
      </c>
      <c r="Y3" s="9" t="s">
        <v>882</v>
      </c>
      <c r="Z3" s="10" t="s">
        <v>953</v>
      </c>
      <c r="AA3" s="11" t="s">
        <v>395</v>
      </c>
      <c r="AB3" s="10" t="s">
        <v>694</v>
      </c>
      <c r="AC3" s="9" t="s">
        <v>728</v>
      </c>
      <c r="AD3" s="11" t="s">
        <v>396</v>
      </c>
      <c r="AE3" s="9" t="s">
        <v>391</v>
      </c>
      <c r="AF3" s="9"/>
      <c r="AG3" s="9" t="s">
        <v>687</v>
      </c>
      <c r="AH3" s="9"/>
      <c r="AI3" s="6"/>
      <c r="AJ3" s="11"/>
      <c r="AK3" s="55"/>
      <c r="AL3" s="54"/>
      <c r="AM3" s="7"/>
      <c r="AN3" s="11"/>
      <c r="AO3" s="55"/>
      <c r="AP3" s="9"/>
      <c r="AQ3" s="9"/>
      <c r="AR3" s="465"/>
      <c r="AS3" s="11"/>
      <c r="AT3" s="9"/>
      <c r="AU3" s="785"/>
      <c r="AV3" s="465"/>
    </row>
    <row r="4" spans="1:48" ht="21.1">
      <c r="A4" s="86" t="s">
        <v>117</v>
      </c>
      <c r="B4" s="508"/>
      <c r="C4" s="214"/>
      <c r="D4" s="595"/>
      <c r="E4" s="602"/>
      <c r="F4" s="617"/>
      <c r="G4" s="621"/>
      <c r="H4" s="96" t="s">
        <v>501</v>
      </c>
      <c r="I4" s="96" t="s">
        <v>501</v>
      </c>
      <c r="J4" s="104">
        <v>15</v>
      </c>
      <c r="K4" s="75">
        <v>15</v>
      </c>
      <c r="L4" s="75">
        <v>15</v>
      </c>
      <c r="M4" s="75">
        <v>15</v>
      </c>
      <c r="N4" s="75">
        <v>15</v>
      </c>
      <c r="O4" s="96" t="s">
        <v>775</v>
      </c>
      <c r="P4" s="105"/>
      <c r="Q4" s="180"/>
      <c r="R4" s="124" t="s">
        <v>775</v>
      </c>
      <c r="S4" s="104" t="s">
        <v>771</v>
      </c>
      <c r="T4" s="110"/>
      <c r="U4" s="110">
        <v>15</v>
      </c>
      <c r="V4" s="102">
        <v>15</v>
      </c>
      <c r="W4" s="102">
        <v>15</v>
      </c>
      <c r="X4" s="102" t="s">
        <v>916</v>
      </c>
      <c r="Y4" s="101" t="s">
        <v>379</v>
      </c>
      <c r="Z4" s="101"/>
      <c r="AA4" s="102">
        <v>15</v>
      </c>
      <c r="AB4" s="99" t="s">
        <v>775</v>
      </c>
      <c r="AC4" s="99" t="s">
        <v>775</v>
      </c>
      <c r="AD4" s="99" t="s">
        <v>775</v>
      </c>
      <c r="AE4" s="99" t="s">
        <v>775</v>
      </c>
      <c r="AF4" s="98"/>
      <c r="AG4" s="99" t="s">
        <v>775</v>
      </c>
      <c r="AH4" s="102"/>
      <c r="AI4" s="102"/>
      <c r="AJ4" s="101"/>
      <c r="AK4" s="414"/>
      <c r="AL4" s="102"/>
      <c r="AM4" s="102"/>
      <c r="AN4" s="103"/>
      <c r="AO4" s="102"/>
      <c r="AP4" s="102"/>
      <c r="AQ4" s="103"/>
      <c r="AR4" s="102"/>
      <c r="AS4" s="102"/>
      <c r="AT4" s="102"/>
    </row>
    <row r="5" spans="1:48" ht="16.3">
      <c r="A5" s="246" t="s">
        <v>1</v>
      </c>
      <c r="B5" s="509">
        <f>SUM(J5+K5+L5+M5+N5+S5+V5+W5+X5+AA5+AI5+AJ5+AI5+AM5+AP5+AQ5+AS5+AT5+AU5+AV5+AN5)+78</f>
        <v>88</v>
      </c>
      <c r="C5" s="215">
        <f>B5</f>
        <v>88</v>
      </c>
      <c r="D5" s="596">
        <f>SUM(T5+U5+Y5+Z5+AK5+AL5+AO5+AR5)+18</f>
        <v>20</v>
      </c>
      <c r="E5" s="604">
        <f>D5</f>
        <v>20</v>
      </c>
      <c r="F5" s="626">
        <v>6</v>
      </c>
      <c r="G5" s="627">
        <f>F5</f>
        <v>6</v>
      </c>
      <c r="H5" s="96"/>
      <c r="I5" s="96"/>
      <c r="J5" s="104">
        <v>1</v>
      </c>
      <c r="K5" s="75">
        <v>1</v>
      </c>
      <c r="L5" s="75">
        <v>1</v>
      </c>
      <c r="M5" s="75">
        <v>1</v>
      </c>
      <c r="N5" s="75">
        <v>1</v>
      </c>
      <c r="O5" s="96"/>
      <c r="P5" s="105"/>
      <c r="Q5" s="105"/>
      <c r="R5" s="96"/>
      <c r="S5" s="128">
        <v>1</v>
      </c>
      <c r="T5" s="106"/>
      <c r="U5" s="106">
        <v>1</v>
      </c>
      <c r="V5" s="75">
        <v>1</v>
      </c>
      <c r="W5" s="75">
        <v>1</v>
      </c>
      <c r="X5" s="75">
        <v>1</v>
      </c>
      <c r="Y5" s="106">
        <v>1</v>
      </c>
      <c r="Z5" s="106"/>
      <c r="AA5" s="75">
        <v>1</v>
      </c>
      <c r="AB5" s="96"/>
      <c r="AC5" s="96"/>
      <c r="AD5" s="96"/>
      <c r="AE5" s="96"/>
      <c r="AF5" s="105"/>
      <c r="AG5" s="96"/>
      <c r="AH5" s="75"/>
      <c r="AI5" s="75"/>
      <c r="AJ5" s="106"/>
      <c r="AK5" s="415"/>
      <c r="AL5" s="75"/>
      <c r="AM5" s="75"/>
      <c r="AN5" s="107"/>
      <c r="AO5" s="75"/>
      <c r="AP5" s="75"/>
      <c r="AQ5" s="107"/>
      <c r="AR5" s="75"/>
      <c r="AS5" s="75"/>
      <c r="AT5" s="75"/>
    </row>
    <row r="6" spans="1:48" ht="16.3">
      <c r="A6" s="246" t="s">
        <v>2</v>
      </c>
      <c r="B6" s="509">
        <f>SUM(J6+K6+L6+M6+N6+S6+V6+W6+X6+AA6+AI6+AJ6+AI6+AM6+AP6+AQ6+AS6+AT6+AU6+AV6)+5</f>
        <v>5</v>
      </c>
      <c r="C6" s="215">
        <f t="shared" ref="C6:C10" si="0">B6</f>
        <v>5</v>
      </c>
      <c r="D6" s="596">
        <f>SUM(T6+U6+Y6+Z6+AK6+AL6+AO6+AR6)</f>
        <v>0</v>
      </c>
      <c r="E6" s="604">
        <f t="shared" ref="E6:E7" si="1">D6</f>
        <v>0</v>
      </c>
      <c r="F6" s="626">
        <v>1</v>
      </c>
      <c r="G6" s="627">
        <f>F6</f>
        <v>1</v>
      </c>
      <c r="H6" s="96"/>
      <c r="I6" s="96"/>
      <c r="J6" s="104"/>
      <c r="K6" s="75"/>
      <c r="L6" s="75"/>
      <c r="M6" s="75"/>
      <c r="N6" s="75"/>
      <c r="O6" s="96"/>
      <c r="P6" s="105"/>
      <c r="Q6" s="105"/>
      <c r="R6" s="96"/>
      <c r="S6" s="104"/>
      <c r="T6" s="110"/>
      <c r="U6" s="110"/>
      <c r="V6" s="100"/>
      <c r="W6" s="100"/>
      <c r="X6" s="100"/>
      <c r="Y6" s="110"/>
      <c r="Z6" s="110"/>
      <c r="AA6" s="100"/>
      <c r="AB6" s="109"/>
      <c r="AC6" s="109"/>
      <c r="AD6" s="109"/>
      <c r="AE6" s="109"/>
      <c r="AF6" s="108"/>
      <c r="AG6" s="109"/>
      <c r="AH6" s="100"/>
      <c r="AI6" s="100"/>
      <c r="AJ6" s="110"/>
      <c r="AK6" s="416"/>
      <c r="AL6" s="100"/>
      <c r="AM6" s="100"/>
      <c r="AN6" s="111"/>
      <c r="AO6" s="100"/>
      <c r="AP6" s="100"/>
      <c r="AQ6" s="111"/>
      <c r="AR6" s="100"/>
      <c r="AS6" s="100"/>
      <c r="AT6" s="100"/>
    </row>
    <row r="7" spans="1:48" ht="16.3">
      <c r="A7" s="83" t="s">
        <v>363</v>
      </c>
      <c r="B7" s="508">
        <f>SUM(B5+B6)</f>
        <v>93</v>
      </c>
      <c r="C7" s="214">
        <f t="shared" si="0"/>
        <v>93</v>
      </c>
      <c r="D7" s="595">
        <f>SUM(D5+D6)</f>
        <v>20</v>
      </c>
      <c r="E7" s="602">
        <f t="shared" si="1"/>
        <v>20</v>
      </c>
      <c r="F7" s="617">
        <f>SUM(F5+F6)</f>
        <v>7</v>
      </c>
      <c r="G7" s="621">
        <f t="shared" ref="G7:G13" si="2">F7</f>
        <v>7</v>
      </c>
      <c r="H7" s="96"/>
      <c r="I7" s="96"/>
      <c r="J7" s="104"/>
      <c r="K7" s="75"/>
      <c r="L7" s="75"/>
      <c r="M7" s="75"/>
      <c r="N7" s="75"/>
      <c r="O7" s="96"/>
      <c r="P7" s="105"/>
      <c r="Q7" s="105"/>
      <c r="R7" s="96"/>
      <c r="S7" s="104"/>
      <c r="T7" s="110"/>
      <c r="U7" s="110"/>
      <c r="V7" s="100"/>
      <c r="W7" s="100"/>
      <c r="X7" s="100"/>
      <c r="Y7" s="110"/>
      <c r="Z7" s="110"/>
      <c r="AA7" s="100"/>
      <c r="AB7" s="109"/>
      <c r="AC7" s="109"/>
      <c r="AD7" s="109"/>
      <c r="AE7" s="109"/>
      <c r="AF7" s="108"/>
      <c r="AG7" s="109"/>
      <c r="AH7" s="100"/>
      <c r="AI7" s="100"/>
      <c r="AJ7" s="110"/>
      <c r="AK7" s="416"/>
      <c r="AL7" s="100"/>
      <c r="AM7" s="100"/>
      <c r="AN7" s="111"/>
      <c r="AO7" s="100"/>
      <c r="AP7" s="100"/>
      <c r="AQ7" s="111"/>
      <c r="AR7" s="100"/>
      <c r="AS7" s="100"/>
      <c r="AT7" s="100"/>
    </row>
    <row r="8" spans="1:48" ht="16.3">
      <c r="A8" s="246" t="s">
        <v>362</v>
      </c>
      <c r="B8" s="509">
        <f>SUM(J8+K8+L8+M8+N8+S8+V8+W8+X8+AA8+AI8+AJ8+AI8+AM8+AP8+AQ8+AS8+AT8+AU8+AV8)+2</f>
        <v>2</v>
      </c>
      <c r="C8" s="215">
        <f t="shared" si="0"/>
        <v>2</v>
      </c>
      <c r="D8" s="596">
        <f>SUM(T8+U8+Y8+Z8+AK8+AL8+AO8+AR8)</f>
        <v>0</v>
      </c>
      <c r="E8" s="604">
        <f t="shared" ref="E8" si="3">D8</f>
        <v>0</v>
      </c>
      <c r="F8" s="626">
        <v>0</v>
      </c>
      <c r="G8" s="627">
        <f t="shared" si="2"/>
        <v>0</v>
      </c>
      <c r="H8" s="96"/>
      <c r="I8" s="96"/>
      <c r="J8" s="104"/>
      <c r="K8" s="75"/>
      <c r="L8" s="75"/>
      <c r="M8" s="75"/>
      <c r="N8" s="75"/>
      <c r="O8" s="96"/>
      <c r="P8" s="105"/>
      <c r="Q8" s="105"/>
      <c r="R8" s="96"/>
      <c r="S8" s="104"/>
      <c r="T8" s="110"/>
      <c r="U8" s="110"/>
      <c r="V8" s="100"/>
      <c r="W8" s="100"/>
      <c r="X8" s="100"/>
      <c r="Y8" s="110"/>
      <c r="Z8" s="110"/>
      <c r="AA8" s="100"/>
      <c r="AB8" s="109"/>
      <c r="AC8" s="109"/>
      <c r="AD8" s="109"/>
      <c r="AE8" s="109"/>
      <c r="AF8" s="108"/>
      <c r="AG8" s="109"/>
      <c r="AH8" s="100"/>
      <c r="AI8" s="100"/>
      <c r="AJ8" s="110"/>
      <c r="AK8" s="416"/>
      <c r="AL8" s="100"/>
      <c r="AM8" s="100"/>
      <c r="AN8" s="111"/>
      <c r="AO8" s="100"/>
      <c r="AP8" s="100"/>
      <c r="AQ8" s="111"/>
      <c r="AR8" s="100"/>
      <c r="AS8" s="100"/>
      <c r="AT8" s="100"/>
    </row>
    <row r="9" spans="1:48" ht="16.3">
      <c r="A9" s="246" t="s">
        <v>5</v>
      </c>
      <c r="B9" s="509">
        <f>SUM(J9+K9+L9+M9+N9+S9+V9+W9+X9+AA9+AI9+AJ9+AI9+AM9+AP9+AQ9+AS9+AT9+AU9+AV9)+1</f>
        <v>1</v>
      </c>
      <c r="C9" s="215">
        <f t="shared" si="0"/>
        <v>1</v>
      </c>
      <c r="D9" s="596">
        <f>SUM(T9+U9+Y9+Z9+AK9+AL9+AO9+AR9)+1</f>
        <v>1</v>
      </c>
      <c r="E9" s="604">
        <f t="shared" ref="E9:E10" si="4">D9</f>
        <v>1</v>
      </c>
      <c r="F9" s="626">
        <v>0</v>
      </c>
      <c r="G9" s="627">
        <f t="shared" si="2"/>
        <v>0</v>
      </c>
      <c r="H9" s="96"/>
      <c r="I9" s="96"/>
      <c r="J9" s="104"/>
      <c r="K9" s="75"/>
      <c r="L9" s="75"/>
      <c r="M9" s="75"/>
      <c r="N9" s="75"/>
      <c r="O9" s="96"/>
      <c r="P9" s="105"/>
      <c r="Q9" s="105"/>
      <c r="R9" s="96"/>
      <c r="S9" s="104"/>
      <c r="T9" s="110"/>
      <c r="U9" s="110"/>
      <c r="V9" s="100"/>
      <c r="W9" s="100"/>
      <c r="X9" s="100"/>
      <c r="Y9" s="110"/>
      <c r="Z9" s="110"/>
      <c r="AA9" s="100"/>
      <c r="AB9" s="109"/>
      <c r="AC9" s="109"/>
      <c r="AD9" s="109"/>
      <c r="AE9" s="109"/>
      <c r="AF9" s="108"/>
      <c r="AG9" s="109"/>
      <c r="AH9" s="100"/>
      <c r="AI9" s="100"/>
      <c r="AJ9" s="110"/>
      <c r="AK9" s="416"/>
      <c r="AL9" s="100"/>
      <c r="AM9" s="100"/>
      <c r="AN9" s="111"/>
      <c r="AO9" s="100"/>
      <c r="AP9" s="100"/>
      <c r="AQ9" s="111"/>
      <c r="AR9" s="100"/>
      <c r="AS9" s="100"/>
      <c r="AT9" s="100"/>
    </row>
    <row r="10" spans="1:48" ht="16.3">
      <c r="A10" s="246" t="s">
        <v>6</v>
      </c>
      <c r="B10" s="509">
        <f>SUM(J10+K10+L10+M10+N10+S10+V10+W10+X10+AA10+AI10+AJ10+AI10+AM10+AP10+AQ10+AS10+AT10+AU10+AV10)+2</f>
        <v>2</v>
      </c>
      <c r="C10" s="215">
        <f t="shared" si="0"/>
        <v>2</v>
      </c>
      <c r="D10" s="596">
        <f>SUM(T10+U10+Y10+Z10+AK10+AL10+AO10+AR10)+1</f>
        <v>1</v>
      </c>
      <c r="E10" s="604">
        <f t="shared" si="4"/>
        <v>1</v>
      </c>
      <c r="F10" s="626">
        <v>0</v>
      </c>
      <c r="G10" s="627">
        <f t="shared" si="2"/>
        <v>0</v>
      </c>
      <c r="H10" s="96"/>
      <c r="I10" s="96"/>
      <c r="J10" s="104"/>
      <c r="K10" s="75"/>
      <c r="L10" s="75"/>
      <c r="M10" s="75"/>
      <c r="N10" s="75"/>
      <c r="O10" s="96"/>
      <c r="P10" s="105"/>
      <c r="Q10" s="105"/>
      <c r="R10" s="96"/>
      <c r="S10" s="104"/>
      <c r="T10" s="110"/>
      <c r="U10" s="110"/>
      <c r="V10" s="100"/>
      <c r="W10" s="100"/>
      <c r="X10" s="100"/>
      <c r="Y10" s="110"/>
      <c r="Z10" s="110"/>
      <c r="AA10" s="100"/>
      <c r="AB10" s="109"/>
      <c r="AC10" s="109"/>
      <c r="AD10" s="109"/>
      <c r="AE10" s="109"/>
      <c r="AF10" s="108"/>
      <c r="AG10" s="109"/>
      <c r="AH10" s="100"/>
      <c r="AI10" s="100"/>
      <c r="AJ10" s="110"/>
      <c r="AK10" s="416"/>
      <c r="AL10" s="100"/>
      <c r="AM10" s="100"/>
      <c r="AN10" s="111"/>
      <c r="AO10" s="100"/>
      <c r="AP10" s="100"/>
      <c r="AQ10" s="111"/>
      <c r="AR10" s="100"/>
      <c r="AS10" s="100"/>
      <c r="AT10" s="100"/>
    </row>
    <row r="11" spans="1:48" ht="16.3">
      <c r="A11" s="246" t="s">
        <v>368</v>
      </c>
      <c r="B11" s="509">
        <f>SUM(B9/B10)*100</f>
        <v>50</v>
      </c>
      <c r="C11" s="215">
        <f>SUM(C9/C10)*100</f>
        <v>50</v>
      </c>
      <c r="D11" s="596">
        <f>SUM(D9/D10)*100</f>
        <v>100</v>
      </c>
      <c r="E11" s="604">
        <f>SUM(E9/E10)*100</f>
        <v>100</v>
      </c>
      <c r="F11" s="626">
        <v>0</v>
      </c>
      <c r="G11" s="627">
        <f t="shared" si="2"/>
        <v>0</v>
      </c>
      <c r="H11" s="96"/>
      <c r="I11" s="96"/>
      <c r="J11" s="104"/>
      <c r="K11" s="75"/>
      <c r="L11" s="75"/>
      <c r="M11" s="75"/>
      <c r="N11" s="75"/>
      <c r="O11" s="96"/>
      <c r="P11" s="105"/>
      <c r="Q11" s="105"/>
      <c r="R11" s="96"/>
      <c r="S11" s="104"/>
      <c r="T11" s="110"/>
      <c r="U11" s="110"/>
      <c r="V11" s="100"/>
      <c r="W11" s="100"/>
      <c r="X11" s="100"/>
      <c r="Y11" s="110"/>
      <c r="Z11" s="110"/>
      <c r="AA11" s="100"/>
      <c r="AB11" s="109"/>
      <c r="AC11" s="109"/>
      <c r="AD11" s="109"/>
      <c r="AE11" s="109"/>
      <c r="AF11" s="108"/>
      <c r="AG11" s="109"/>
      <c r="AH11" s="100"/>
      <c r="AI11" s="100"/>
      <c r="AJ11" s="110"/>
      <c r="AK11" s="416"/>
      <c r="AL11" s="100"/>
      <c r="AM11" s="100"/>
      <c r="AN11" s="111"/>
      <c r="AO11" s="100"/>
      <c r="AP11" s="100"/>
      <c r="AQ11" s="111"/>
      <c r="AR11" s="100"/>
      <c r="AS11" s="100"/>
      <c r="AT11" s="100"/>
    </row>
    <row r="12" spans="1:48" ht="16.3">
      <c r="A12" s="83" t="s">
        <v>3</v>
      </c>
      <c r="B12" s="508">
        <f>SUM(J12+K12+L12+M12+N12+S12+V12+W12+X12+AA12+AI12+AJ12+AI12+AM12+AP12+AQ12+AS12+AT12+AU12+AV12)+22</f>
        <v>26</v>
      </c>
      <c r="C12" s="214">
        <f t="shared" ref="C12:C13" si="5">B12</f>
        <v>26</v>
      </c>
      <c r="D12" s="595">
        <f>SUM(T12+U12+Y12+Z12+AK12+AL12+AO12+AR12)+2</f>
        <v>2</v>
      </c>
      <c r="E12" s="602">
        <f t="shared" ref="E12:E13" si="6">D12</f>
        <v>2</v>
      </c>
      <c r="F12" s="617">
        <v>1</v>
      </c>
      <c r="G12" s="621">
        <f t="shared" si="2"/>
        <v>1</v>
      </c>
      <c r="H12" s="96"/>
      <c r="I12" s="96"/>
      <c r="J12" s="104"/>
      <c r="K12" s="75"/>
      <c r="L12" s="75">
        <v>1</v>
      </c>
      <c r="M12" s="75"/>
      <c r="N12" s="75"/>
      <c r="O12" s="96"/>
      <c r="P12" s="105"/>
      <c r="Q12" s="105"/>
      <c r="R12" s="96"/>
      <c r="S12" s="104">
        <v>1</v>
      </c>
      <c r="T12" s="110"/>
      <c r="U12" s="110"/>
      <c r="V12" s="100"/>
      <c r="W12" s="100"/>
      <c r="X12" s="100">
        <v>1</v>
      </c>
      <c r="Y12" s="110"/>
      <c r="Z12" s="110"/>
      <c r="AA12" s="100">
        <v>1</v>
      </c>
      <c r="AB12" s="109"/>
      <c r="AC12" s="109"/>
      <c r="AD12" s="109"/>
      <c r="AE12" s="109"/>
      <c r="AF12" s="108"/>
      <c r="AG12" s="109"/>
      <c r="AH12" s="100"/>
      <c r="AI12" s="100"/>
      <c r="AJ12" s="110"/>
      <c r="AK12" s="416"/>
      <c r="AL12" s="100"/>
      <c r="AM12" s="100"/>
      <c r="AN12" s="111"/>
      <c r="AO12" s="100"/>
      <c r="AP12" s="100"/>
      <c r="AQ12" s="111"/>
      <c r="AR12" s="100"/>
      <c r="AS12" s="100"/>
      <c r="AT12" s="100"/>
    </row>
    <row r="13" spans="1:48" ht="17" thickBot="1">
      <c r="A13" s="85" t="s">
        <v>4</v>
      </c>
      <c r="B13" s="510">
        <f>SUM(J13+K13+L13+M13+N13+S13+V13+W13+X13+AA13+AI13+AJ13+AI13+AM13+AP13+AQ13+AS13+AT13+AU13+AV13)+113</f>
        <v>133</v>
      </c>
      <c r="C13" s="217">
        <f t="shared" si="5"/>
        <v>133</v>
      </c>
      <c r="D13" s="597">
        <f>SUM(T13+U13+Y13+Z13+AK13+AL13+AO13+AR13)+12</f>
        <v>12</v>
      </c>
      <c r="E13" s="603">
        <f t="shared" si="6"/>
        <v>12</v>
      </c>
      <c r="F13" s="618">
        <v>5</v>
      </c>
      <c r="G13" s="622">
        <f t="shared" si="2"/>
        <v>5</v>
      </c>
      <c r="H13" s="114"/>
      <c r="I13" s="114"/>
      <c r="J13" s="113"/>
      <c r="K13" s="112"/>
      <c r="L13" s="112">
        <v>5</v>
      </c>
      <c r="M13" s="112"/>
      <c r="N13" s="112"/>
      <c r="O13" s="114"/>
      <c r="P13" s="127"/>
      <c r="Q13" s="127"/>
      <c r="R13" s="114"/>
      <c r="S13" s="113">
        <v>5</v>
      </c>
      <c r="T13" s="120"/>
      <c r="U13" s="119"/>
      <c r="V13" s="116"/>
      <c r="W13" s="116"/>
      <c r="X13" s="116">
        <v>5</v>
      </c>
      <c r="Y13" s="120"/>
      <c r="Z13" s="120"/>
      <c r="AA13" s="116">
        <v>5</v>
      </c>
      <c r="AB13" s="118"/>
      <c r="AC13" s="118"/>
      <c r="AD13" s="118"/>
      <c r="AE13" s="118"/>
      <c r="AF13" s="117"/>
      <c r="AG13" s="118"/>
      <c r="AH13" s="116"/>
      <c r="AI13" s="116"/>
      <c r="AJ13" s="120"/>
      <c r="AK13" s="417"/>
      <c r="AL13" s="116"/>
      <c r="AM13" s="116"/>
      <c r="AN13" s="121"/>
      <c r="AO13" s="116"/>
      <c r="AP13" s="116"/>
      <c r="AQ13" s="121"/>
      <c r="AR13" s="116"/>
      <c r="AS13" s="116"/>
      <c r="AT13" s="116"/>
    </row>
    <row r="14" spans="1:48" ht="21.1">
      <c r="A14" s="82" t="s">
        <v>314</v>
      </c>
      <c r="B14" s="508"/>
      <c r="C14" s="214"/>
      <c r="D14" s="595"/>
      <c r="E14" s="602"/>
      <c r="F14" s="617"/>
      <c r="G14" s="621"/>
      <c r="H14" s="96"/>
      <c r="I14" s="96">
        <v>15</v>
      </c>
      <c r="J14" s="104"/>
      <c r="K14" s="75"/>
      <c r="L14" s="75"/>
      <c r="M14" s="75"/>
      <c r="N14" s="75"/>
      <c r="O14" s="96">
        <v>11</v>
      </c>
      <c r="P14" s="105"/>
      <c r="Q14" s="105"/>
      <c r="R14" s="96"/>
      <c r="S14" s="104"/>
      <c r="T14" s="110" t="s">
        <v>715</v>
      </c>
      <c r="U14" s="110"/>
      <c r="V14" s="100"/>
      <c r="W14" s="100"/>
      <c r="X14" s="100" t="s">
        <v>375</v>
      </c>
      <c r="Y14" s="110" t="s">
        <v>375</v>
      </c>
      <c r="Z14" s="110">
        <v>15</v>
      </c>
      <c r="AA14" s="100"/>
      <c r="AB14" s="109">
        <v>14</v>
      </c>
      <c r="AC14" s="109" t="s">
        <v>984</v>
      </c>
      <c r="AD14" s="109" t="s">
        <v>984</v>
      </c>
      <c r="AE14" s="109" t="s">
        <v>984</v>
      </c>
      <c r="AF14" s="108"/>
      <c r="AG14" s="109" t="s">
        <v>984</v>
      </c>
      <c r="AH14" s="100"/>
      <c r="AI14" s="100"/>
      <c r="AJ14" s="110"/>
      <c r="AK14" s="416"/>
      <c r="AL14" s="100"/>
      <c r="AM14" s="100"/>
      <c r="AN14" s="111"/>
      <c r="AO14" s="100"/>
      <c r="AP14" s="100"/>
      <c r="AQ14" s="111"/>
      <c r="AR14" s="100"/>
      <c r="AS14" s="100"/>
      <c r="AT14" s="100"/>
    </row>
    <row r="15" spans="1:48" ht="16.3">
      <c r="A15" s="246" t="s">
        <v>1</v>
      </c>
      <c r="B15" s="509">
        <f>SUM(J15+K15+L15+M15+N15+S15+V15+W15+X15+AA15+AI15+AJ15+AI15+AM15+AP15+AQ15+AS15+AT15+AU15+AV15+AN15)</f>
        <v>0</v>
      </c>
      <c r="C15" s="215">
        <f>B15</f>
        <v>0</v>
      </c>
      <c r="D15" s="596">
        <f>SUM(T15+U15+Y15+Z15+AK15+AL15+AO15+AR15)</f>
        <v>2</v>
      </c>
      <c r="E15" s="604">
        <f>D15</f>
        <v>2</v>
      </c>
      <c r="F15" s="626">
        <v>0</v>
      </c>
      <c r="G15" s="627">
        <v>0</v>
      </c>
      <c r="H15" s="96"/>
      <c r="I15" s="96">
        <v>1</v>
      </c>
      <c r="J15" s="104"/>
      <c r="K15" s="75"/>
      <c r="L15" s="75"/>
      <c r="M15" s="75"/>
      <c r="N15" s="75"/>
      <c r="O15" s="96">
        <v>1</v>
      </c>
      <c r="P15" s="105"/>
      <c r="Q15" s="105"/>
      <c r="R15" s="96"/>
      <c r="S15" s="104"/>
      <c r="T15" s="110">
        <v>1</v>
      </c>
      <c r="U15" s="110"/>
      <c r="V15" s="100"/>
      <c r="W15" s="100"/>
      <c r="X15" s="100"/>
      <c r="Y15" s="110"/>
      <c r="Z15" s="110">
        <v>1</v>
      </c>
      <c r="AA15" s="100"/>
      <c r="AB15" s="109">
        <v>1</v>
      </c>
      <c r="AC15" s="109"/>
      <c r="AD15" s="109"/>
      <c r="AE15" s="109"/>
      <c r="AF15" s="108"/>
      <c r="AG15" s="109"/>
      <c r="AH15" s="100"/>
      <c r="AI15" s="100"/>
      <c r="AJ15" s="110"/>
      <c r="AK15" s="416"/>
      <c r="AL15" s="100"/>
      <c r="AM15" s="100"/>
      <c r="AN15" s="111"/>
      <c r="AO15" s="100"/>
      <c r="AP15" s="100"/>
      <c r="AQ15" s="111"/>
      <c r="AR15" s="100"/>
      <c r="AS15" s="100"/>
      <c r="AT15" s="100"/>
    </row>
    <row r="16" spans="1:48" ht="16.3">
      <c r="A16" s="246" t="s">
        <v>2</v>
      </c>
      <c r="B16" s="509">
        <f>SUM(J16+K16+L16+M16+N16+S16+V16+W16+X16+AA16+AI16+AJ16+AI16+AM16+AP16+AQ16+AS16+AT16+AU16+AV16)</f>
        <v>1</v>
      </c>
      <c r="C16" s="215">
        <f t="shared" ref="C16:C20" si="7">B16</f>
        <v>1</v>
      </c>
      <c r="D16" s="596">
        <f>SUM(T16+U16+Y16+Z16+AK16+AL16+AO16+AR16)</f>
        <v>1</v>
      </c>
      <c r="E16" s="604">
        <f t="shared" ref="E16:E20" si="8">D16</f>
        <v>1</v>
      </c>
      <c r="F16" s="626">
        <v>0</v>
      </c>
      <c r="G16" s="627">
        <v>0</v>
      </c>
      <c r="H16" s="96"/>
      <c r="I16" s="96"/>
      <c r="J16" s="104"/>
      <c r="K16" s="75"/>
      <c r="L16" s="75"/>
      <c r="M16" s="75"/>
      <c r="N16" s="75"/>
      <c r="O16" s="96"/>
      <c r="P16" s="105"/>
      <c r="Q16" s="105"/>
      <c r="R16" s="96"/>
      <c r="S16" s="104"/>
      <c r="T16" s="110"/>
      <c r="U16" s="110"/>
      <c r="V16" s="100"/>
      <c r="W16" s="100"/>
      <c r="X16" s="100">
        <v>1</v>
      </c>
      <c r="Y16" s="110">
        <v>1</v>
      </c>
      <c r="Z16" s="110"/>
      <c r="AA16" s="100"/>
      <c r="AB16" s="109"/>
      <c r="AC16" s="109"/>
      <c r="AD16" s="109"/>
      <c r="AE16" s="109"/>
      <c r="AF16" s="108"/>
      <c r="AG16" s="109"/>
      <c r="AH16" s="100"/>
      <c r="AI16" s="100"/>
      <c r="AJ16" s="110"/>
      <c r="AK16" s="416"/>
      <c r="AL16" s="100"/>
      <c r="AM16" s="100"/>
      <c r="AN16" s="111"/>
      <c r="AO16" s="100"/>
      <c r="AP16" s="100"/>
      <c r="AQ16" s="111"/>
      <c r="AR16" s="100"/>
      <c r="AS16" s="100"/>
      <c r="AT16" s="100"/>
    </row>
    <row r="17" spans="1:46" ht="16.3">
      <c r="A17" s="83" t="s">
        <v>363</v>
      </c>
      <c r="B17" s="508">
        <f>SUM(B15+B16)</f>
        <v>1</v>
      </c>
      <c r="C17" s="214">
        <f t="shared" si="7"/>
        <v>1</v>
      </c>
      <c r="D17" s="595">
        <f>SUM(D15+D16)</f>
        <v>3</v>
      </c>
      <c r="E17" s="602">
        <f t="shared" si="8"/>
        <v>3</v>
      </c>
      <c r="F17" s="617">
        <v>0</v>
      </c>
      <c r="G17" s="621">
        <v>0</v>
      </c>
      <c r="H17" s="96"/>
      <c r="I17" s="96"/>
      <c r="J17" s="104"/>
      <c r="K17" s="75"/>
      <c r="L17" s="75"/>
      <c r="M17" s="75"/>
      <c r="N17" s="75"/>
      <c r="O17" s="96"/>
      <c r="P17" s="105"/>
      <c r="Q17" s="105"/>
      <c r="R17" s="96"/>
      <c r="S17" s="104"/>
      <c r="T17" s="110"/>
      <c r="U17" s="110"/>
      <c r="V17" s="100"/>
      <c r="W17" s="100"/>
      <c r="X17" s="100"/>
      <c r="Y17" s="110"/>
      <c r="Z17" s="110"/>
      <c r="AA17" s="100"/>
      <c r="AB17" s="109"/>
      <c r="AC17" s="109"/>
      <c r="AD17" s="109"/>
      <c r="AE17" s="109"/>
      <c r="AF17" s="108"/>
      <c r="AG17" s="109"/>
      <c r="AH17" s="100"/>
      <c r="AI17" s="100"/>
      <c r="AJ17" s="110"/>
      <c r="AK17" s="416"/>
      <c r="AL17" s="100"/>
      <c r="AM17" s="100"/>
      <c r="AN17" s="111"/>
      <c r="AO17" s="100"/>
      <c r="AP17" s="100"/>
      <c r="AQ17" s="111"/>
      <c r="AR17" s="100"/>
      <c r="AS17" s="100"/>
      <c r="AT17" s="100"/>
    </row>
    <row r="18" spans="1:46" ht="16.3">
      <c r="A18" s="246" t="s">
        <v>362</v>
      </c>
      <c r="B18" s="509">
        <f>SUM(J18+K18+L18+M18+N18+S18+V18+W18+X18+AA18+AI18+AJ18+AI18+AM18+AP18+AQ18+AS18+AT18+AU18+AV18)</f>
        <v>0</v>
      </c>
      <c r="C18" s="215">
        <f t="shared" ref="C18" si="9">B18</f>
        <v>0</v>
      </c>
      <c r="D18" s="596">
        <f>SUM(T18+U18+Y18+Z18+AK18+AL18+AO18+AR18)</f>
        <v>1</v>
      </c>
      <c r="E18" s="604">
        <f t="shared" ref="E18" si="10">D18</f>
        <v>1</v>
      </c>
      <c r="F18" s="626">
        <v>0</v>
      </c>
      <c r="G18" s="627">
        <v>0</v>
      </c>
      <c r="H18" s="96"/>
      <c r="I18" s="96"/>
      <c r="J18" s="104"/>
      <c r="K18" s="75"/>
      <c r="L18" s="75"/>
      <c r="M18" s="75"/>
      <c r="N18" s="75"/>
      <c r="O18" s="96"/>
      <c r="P18" s="105"/>
      <c r="Q18" s="105"/>
      <c r="R18" s="96"/>
      <c r="S18" s="104"/>
      <c r="T18" s="110">
        <v>1</v>
      </c>
      <c r="U18" s="110"/>
      <c r="V18" s="100"/>
      <c r="W18" s="100"/>
      <c r="X18" s="100"/>
      <c r="Y18" s="110"/>
      <c r="Z18" s="110"/>
      <c r="AA18" s="100"/>
      <c r="AB18" s="109"/>
      <c r="AC18" s="109"/>
      <c r="AD18" s="109"/>
      <c r="AE18" s="109"/>
      <c r="AF18" s="108"/>
      <c r="AG18" s="109"/>
      <c r="AH18" s="100"/>
      <c r="AI18" s="100"/>
      <c r="AJ18" s="110"/>
      <c r="AK18" s="416"/>
      <c r="AL18" s="100"/>
      <c r="AM18" s="100"/>
      <c r="AN18" s="111"/>
      <c r="AO18" s="100"/>
      <c r="AP18" s="100"/>
      <c r="AQ18" s="111"/>
      <c r="AR18" s="100"/>
      <c r="AS18" s="100"/>
      <c r="AT18" s="100"/>
    </row>
    <row r="19" spans="1:46" ht="16.3">
      <c r="A19" s="83" t="s">
        <v>3</v>
      </c>
      <c r="B19" s="508">
        <f>SUM(J19+K19+L19+M19+N19+S19+V19+W19+X19+AA19+AI19+AJ19+AI19+AM19+AP19+AQ19+AS19+AT19+AU19+AV19)</f>
        <v>0</v>
      </c>
      <c r="C19" s="214">
        <f t="shared" si="7"/>
        <v>0</v>
      </c>
      <c r="D19" s="595">
        <f t="shared" ref="D19:D20" si="11">SUM(T19+U19+Y19+Z19+AK19+AL19+AO19+AR19)</f>
        <v>1</v>
      </c>
      <c r="E19" s="602">
        <f t="shared" si="8"/>
        <v>1</v>
      </c>
      <c r="F19" s="617">
        <v>0</v>
      </c>
      <c r="G19" s="621">
        <v>0</v>
      </c>
      <c r="H19" s="96"/>
      <c r="I19" s="96">
        <v>1</v>
      </c>
      <c r="J19" s="104"/>
      <c r="K19" s="75"/>
      <c r="L19" s="75"/>
      <c r="M19" s="75"/>
      <c r="N19" s="75"/>
      <c r="O19" s="96">
        <v>1</v>
      </c>
      <c r="P19" s="105"/>
      <c r="Q19" s="105"/>
      <c r="R19" s="96"/>
      <c r="S19" s="104"/>
      <c r="T19" s="110"/>
      <c r="U19" s="110"/>
      <c r="V19" s="100"/>
      <c r="W19" s="100"/>
      <c r="X19" s="100"/>
      <c r="Y19" s="110"/>
      <c r="Z19" s="110">
        <v>1</v>
      </c>
      <c r="AA19" s="100"/>
      <c r="AB19" s="109">
        <v>1</v>
      </c>
      <c r="AC19" s="109"/>
      <c r="AD19" s="109"/>
      <c r="AE19" s="109"/>
      <c r="AF19" s="108"/>
      <c r="AG19" s="109"/>
      <c r="AH19" s="100"/>
      <c r="AI19" s="100"/>
      <c r="AJ19" s="110"/>
      <c r="AK19" s="416"/>
      <c r="AL19" s="100"/>
      <c r="AM19" s="100"/>
      <c r="AN19" s="111"/>
      <c r="AO19" s="100"/>
      <c r="AP19" s="100"/>
      <c r="AQ19" s="111"/>
      <c r="AR19" s="100"/>
      <c r="AS19" s="100"/>
      <c r="AT19" s="100"/>
    </row>
    <row r="20" spans="1:46" ht="17" thickBot="1">
      <c r="A20" s="85" t="s">
        <v>4</v>
      </c>
      <c r="B20" s="510">
        <f>SUM(J20+K20+L20+M20+N20+S20+V20+W20+X20+AA20+AI20+AJ20+AI20+AM20+AP20+AQ20+AS20+AT20+AU20+AV20)</f>
        <v>0</v>
      </c>
      <c r="C20" s="217">
        <f t="shared" si="7"/>
        <v>0</v>
      </c>
      <c r="D20" s="597">
        <f t="shared" si="11"/>
        <v>5</v>
      </c>
      <c r="E20" s="603">
        <f t="shared" si="8"/>
        <v>5</v>
      </c>
      <c r="F20" s="618">
        <v>0</v>
      </c>
      <c r="G20" s="622">
        <v>0</v>
      </c>
      <c r="H20" s="114"/>
      <c r="I20" s="114">
        <v>5</v>
      </c>
      <c r="J20" s="113"/>
      <c r="K20" s="112"/>
      <c r="L20" s="112"/>
      <c r="M20" s="112"/>
      <c r="N20" s="112"/>
      <c r="O20" s="114">
        <v>5</v>
      </c>
      <c r="P20" s="127"/>
      <c r="Q20" s="127"/>
      <c r="R20" s="114"/>
      <c r="S20" s="113"/>
      <c r="T20" s="120"/>
      <c r="U20" s="120"/>
      <c r="V20" s="112"/>
      <c r="W20" s="116"/>
      <c r="X20" s="116"/>
      <c r="Y20" s="120"/>
      <c r="Z20" s="120">
        <v>5</v>
      </c>
      <c r="AA20" s="116"/>
      <c r="AB20" s="118">
        <v>5</v>
      </c>
      <c r="AC20" s="118"/>
      <c r="AD20" s="118"/>
      <c r="AE20" s="118"/>
      <c r="AF20" s="117"/>
      <c r="AG20" s="118"/>
      <c r="AH20" s="116"/>
      <c r="AI20" s="116"/>
      <c r="AJ20" s="120"/>
      <c r="AK20" s="417"/>
      <c r="AL20" s="116"/>
      <c r="AM20" s="116"/>
      <c r="AN20" s="121"/>
      <c r="AO20" s="116"/>
      <c r="AP20" s="116"/>
      <c r="AQ20" s="121"/>
      <c r="AR20" s="116"/>
      <c r="AS20" s="116"/>
      <c r="AT20" s="116"/>
    </row>
    <row r="21" spans="1:46" ht="21.1">
      <c r="A21" s="82" t="s">
        <v>1034</v>
      </c>
      <c r="B21" s="508"/>
      <c r="C21" s="214"/>
      <c r="D21" s="595"/>
      <c r="E21" s="602"/>
      <c r="F21" s="617"/>
      <c r="G21" s="621"/>
      <c r="H21" s="96"/>
      <c r="I21" s="96"/>
      <c r="J21" s="104"/>
      <c r="K21" s="75"/>
      <c r="L21" s="75"/>
      <c r="M21" s="75"/>
      <c r="N21" s="75"/>
      <c r="O21" s="96"/>
      <c r="P21" s="105"/>
      <c r="Q21" s="105"/>
      <c r="R21" s="96"/>
      <c r="S21" s="104"/>
      <c r="T21" s="110"/>
      <c r="U21" s="110"/>
      <c r="V21" s="100"/>
      <c r="W21" s="100"/>
      <c r="X21" s="100"/>
      <c r="Y21" s="110"/>
      <c r="Z21" s="110"/>
      <c r="AA21" s="100"/>
      <c r="AB21" s="109"/>
      <c r="AC21" s="109"/>
      <c r="AD21" s="109" t="s">
        <v>375</v>
      </c>
      <c r="AE21" s="109" t="s">
        <v>375</v>
      </c>
      <c r="AF21" s="108"/>
      <c r="AG21" s="109"/>
      <c r="AH21" s="100"/>
      <c r="AI21" s="100"/>
      <c r="AJ21" s="110"/>
      <c r="AK21" s="416"/>
      <c r="AL21" s="100"/>
      <c r="AM21" s="100"/>
      <c r="AN21" s="111"/>
      <c r="AO21" s="100"/>
      <c r="AP21" s="100"/>
      <c r="AQ21" s="111"/>
      <c r="AR21" s="100"/>
      <c r="AS21" s="100"/>
      <c r="AT21" s="100"/>
    </row>
    <row r="22" spans="1:46" ht="16.3">
      <c r="A22" s="246" t="s">
        <v>1</v>
      </c>
      <c r="B22" s="509">
        <f>SUM(J22+K22+L22+M22+N22+S22+V22+W22+X22+AA22+AI22+AJ22+AI22+AM22+AP22+AQ22+AS22+AT22+AU22+AV22+AN22)</f>
        <v>0</v>
      </c>
      <c r="C22" s="215">
        <f>B22</f>
        <v>0</v>
      </c>
      <c r="D22" s="596">
        <f>SUM(T22+U22+Y22+Z22+AK22+AL22+AO22+AR22)</f>
        <v>0</v>
      </c>
      <c r="E22" s="604">
        <f>D22</f>
        <v>0</v>
      </c>
      <c r="F22" s="626">
        <v>0</v>
      </c>
      <c r="G22" s="627">
        <v>0</v>
      </c>
      <c r="H22" s="96"/>
      <c r="I22" s="96"/>
      <c r="J22" s="104"/>
      <c r="K22" s="75"/>
      <c r="L22" s="75"/>
      <c r="M22" s="75"/>
      <c r="N22" s="75"/>
      <c r="O22" s="96"/>
      <c r="P22" s="105"/>
      <c r="Q22" s="105"/>
      <c r="R22" s="96"/>
      <c r="S22" s="104"/>
      <c r="T22" s="110"/>
      <c r="U22" s="110"/>
      <c r="V22" s="100"/>
      <c r="W22" s="100"/>
      <c r="X22" s="100"/>
      <c r="Y22" s="110"/>
      <c r="Z22" s="110"/>
      <c r="AA22" s="100"/>
      <c r="AB22" s="109"/>
      <c r="AC22" s="109"/>
      <c r="AD22" s="109"/>
      <c r="AE22" s="109"/>
      <c r="AF22" s="108"/>
      <c r="AG22" s="109"/>
      <c r="AH22" s="100"/>
      <c r="AI22" s="100"/>
      <c r="AJ22" s="110"/>
      <c r="AK22" s="416"/>
      <c r="AL22" s="100"/>
      <c r="AM22" s="100"/>
      <c r="AN22" s="111"/>
      <c r="AO22" s="100"/>
      <c r="AP22" s="100"/>
      <c r="AQ22" s="111"/>
      <c r="AR22" s="100"/>
      <c r="AS22" s="100"/>
      <c r="AT22" s="100"/>
    </row>
    <row r="23" spans="1:46" ht="16.3">
      <c r="A23" s="246" t="s">
        <v>2</v>
      </c>
      <c r="B23" s="509">
        <f>SUM(J23+K23+L23+M23+N23+S23+V23+W23+X23+AA23+AI23+AJ23+AI23+AM23+AP23+AQ23+AS23+AT23+AU23+AV23)</f>
        <v>0</v>
      </c>
      <c r="C23" s="215">
        <f t="shared" ref="C23:C26" si="12">B23</f>
        <v>0</v>
      </c>
      <c r="D23" s="596">
        <f>SUM(T23+U23+Y23+Z23+AK23+AL23+AO23+AR23)</f>
        <v>0</v>
      </c>
      <c r="E23" s="604">
        <f t="shared" ref="E23:E26" si="13">D23</f>
        <v>0</v>
      </c>
      <c r="F23" s="626">
        <v>0</v>
      </c>
      <c r="G23" s="627">
        <v>0</v>
      </c>
      <c r="H23" s="96"/>
      <c r="I23" s="96"/>
      <c r="J23" s="104"/>
      <c r="K23" s="75"/>
      <c r="L23" s="75"/>
      <c r="M23" s="75"/>
      <c r="N23" s="75"/>
      <c r="O23" s="96"/>
      <c r="P23" s="105"/>
      <c r="Q23" s="105"/>
      <c r="R23" s="96"/>
      <c r="S23" s="104"/>
      <c r="T23" s="110"/>
      <c r="U23" s="110"/>
      <c r="V23" s="100"/>
      <c r="W23" s="100"/>
      <c r="X23" s="100"/>
      <c r="Y23" s="110"/>
      <c r="Z23" s="110"/>
      <c r="AA23" s="100"/>
      <c r="AB23" s="109"/>
      <c r="AC23" s="109"/>
      <c r="AD23" s="109">
        <v>1</v>
      </c>
      <c r="AE23" s="109">
        <v>1</v>
      </c>
      <c r="AF23" s="108"/>
      <c r="AG23" s="109"/>
      <c r="AH23" s="100"/>
      <c r="AI23" s="100"/>
      <c r="AJ23" s="110"/>
      <c r="AK23" s="416"/>
      <c r="AL23" s="100"/>
      <c r="AM23" s="100"/>
      <c r="AN23" s="111"/>
      <c r="AO23" s="100"/>
      <c r="AP23" s="100"/>
      <c r="AQ23" s="111"/>
      <c r="AR23" s="100"/>
      <c r="AS23" s="100"/>
      <c r="AT23" s="100"/>
    </row>
    <row r="24" spans="1:46" ht="16.3">
      <c r="A24" s="83" t="s">
        <v>363</v>
      </c>
      <c r="B24" s="508">
        <f>SUM(B22+B23)</f>
        <v>0</v>
      </c>
      <c r="C24" s="214">
        <f t="shared" si="12"/>
        <v>0</v>
      </c>
      <c r="D24" s="595">
        <f>SUM(D22+D23)</f>
        <v>0</v>
      </c>
      <c r="E24" s="602">
        <f t="shared" si="13"/>
        <v>0</v>
      </c>
      <c r="F24" s="617">
        <v>0</v>
      </c>
      <c r="G24" s="621">
        <v>0</v>
      </c>
      <c r="H24" s="96"/>
      <c r="I24" s="96"/>
      <c r="J24" s="104"/>
      <c r="K24" s="75"/>
      <c r="L24" s="75"/>
      <c r="M24" s="75"/>
      <c r="N24" s="75"/>
      <c r="O24" s="96"/>
      <c r="P24" s="105"/>
      <c r="Q24" s="105"/>
      <c r="R24" s="96"/>
      <c r="S24" s="104"/>
      <c r="T24" s="110"/>
      <c r="U24" s="110"/>
      <c r="V24" s="100"/>
      <c r="W24" s="100"/>
      <c r="X24" s="100"/>
      <c r="Y24" s="110"/>
      <c r="Z24" s="110"/>
      <c r="AA24" s="100"/>
      <c r="AB24" s="109"/>
      <c r="AC24" s="109"/>
      <c r="AD24" s="109"/>
      <c r="AE24" s="109"/>
      <c r="AF24" s="108"/>
      <c r="AG24" s="109"/>
      <c r="AH24" s="100"/>
      <c r="AI24" s="100"/>
      <c r="AJ24" s="110"/>
      <c r="AK24" s="416"/>
      <c r="AL24" s="100"/>
      <c r="AM24" s="100"/>
      <c r="AN24" s="111"/>
      <c r="AO24" s="100"/>
      <c r="AP24" s="100"/>
      <c r="AQ24" s="111"/>
      <c r="AR24" s="100"/>
      <c r="AS24" s="100"/>
      <c r="AT24" s="100"/>
    </row>
    <row r="25" spans="1:46" ht="16.3">
      <c r="A25" s="83" t="s">
        <v>3</v>
      </c>
      <c r="B25" s="508">
        <f>SUM(J25+K25+L25+M25+N25+S25+V25+W25+X25+AA25+AI25+AJ25+AI25+AM25+AP25+AQ25+AS25+AT25+AU25+AV25)</f>
        <v>0</v>
      </c>
      <c r="C25" s="214">
        <f t="shared" si="12"/>
        <v>0</v>
      </c>
      <c r="D25" s="595">
        <f t="shared" ref="D25:D26" si="14">SUM(T25+U25+Y25+Z25+AK25+AL25+AO25+AR25)</f>
        <v>0</v>
      </c>
      <c r="E25" s="602">
        <f t="shared" si="13"/>
        <v>0</v>
      </c>
      <c r="F25" s="617">
        <v>0</v>
      </c>
      <c r="G25" s="621">
        <v>0</v>
      </c>
      <c r="H25" s="96"/>
      <c r="I25" s="96"/>
      <c r="J25" s="104"/>
      <c r="K25" s="75"/>
      <c r="L25" s="75"/>
      <c r="M25" s="75"/>
      <c r="N25" s="75"/>
      <c r="O25" s="96"/>
      <c r="P25" s="105"/>
      <c r="Q25" s="105"/>
      <c r="R25" s="96"/>
      <c r="S25" s="104"/>
      <c r="T25" s="110"/>
      <c r="U25" s="110"/>
      <c r="V25" s="100"/>
      <c r="W25" s="100"/>
      <c r="X25" s="100"/>
      <c r="Y25" s="110"/>
      <c r="Z25" s="110"/>
      <c r="AA25" s="100"/>
      <c r="AB25" s="109"/>
      <c r="AC25" s="109"/>
      <c r="AD25" s="109"/>
      <c r="AE25" s="109"/>
      <c r="AF25" s="108"/>
      <c r="AG25" s="109"/>
      <c r="AH25" s="100"/>
      <c r="AI25" s="100"/>
      <c r="AJ25" s="110"/>
      <c r="AK25" s="416"/>
      <c r="AL25" s="100"/>
      <c r="AM25" s="100"/>
      <c r="AN25" s="111"/>
      <c r="AO25" s="100"/>
      <c r="AP25" s="100"/>
      <c r="AQ25" s="111"/>
      <c r="AR25" s="100"/>
      <c r="AS25" s="100"/>
      <c r="AT25" s="100"/>
    </row>
    <row r="26" spans="1:46" ht="17" thickBot="1">
      <c r="A26" s="85" t="s">
        <v>4</v>
      </c>
      <c r="B26" s="510">
        <f>SUM(J26+K26+L26+M26+N26+S26+V26+W26+X26+AA26+AI26+AJ26+AI26+AM26+AP26+AQ26+AS26+AT26+AU26+AV26)</f>
        <v>0</v>
      </c>
      <c r="C26" s="217">
        <f t="shared" si="12"/>
        <v>0</v>
      </c>
      <c r="D26" s="597">
        <f t="shared" si="14"/>
        <v>0</v>
      </c>
      <c r="E26" s="603">
        <f t="shared" si="13"/>
        <v>0</v>
      </c>
      <c r="F26" s="618">
        <v>0</v>
      </c>
      <c r="G26" s="622">
        <v>0</v>
      </c>
      <c r="H26" s="114"/>
      <c r="I26" s="114"/>
      <c r="J26" s="113"/>
      <c r="K26" s="112"/>
      <c r="L26" s="112"/>
      <c r="M26" s="112"/>
      <c r="N26" s="112"/>
      <c r="O26" s="114"/>
      <c r="P26" s="127"/>
      <c r="Q26" s="127"/>
      <c r="R26" s="114"/>
      <c r="S26" s="113"/>
      <c r="T26" s="120"/>
      <c r="U26" s="120"/>
      <c r="V26" s="116"/>
      <c r="W26" s="116"/>
      <c r="X26" s="116"/>
      <c r="Y26" s="120"/>
      <c r="Z26" s="120"/>
      <c r="AA26" s="116"/>
      <c r="AB26" s="118"/>
      <c r="AC26" s="118"/>
      <c r="AD26" s="118"/>
      <c r="AE26" s="118"/>
      <c r="AF26" s="117"/>
      <c r="AG26" s="118"/>
      <c r="AH26" s="116"/>
      <c r="AI26" s="116"/>
      <c r="AJ26" s="120"/>
      <c r="AK26" s="417"/>
      <c r="AL26" s="116"/>
      <c r="AM26" s="116"/>
      <c r="AN26" s="121"/>
      <c r="AO26" s="116"/>
      <c r="AP26" s="116"/>
      <c r="AQ26" s="121"/>
      <c r="AR26" s="116"/>
      <c r="AS26" s="116"/>
      <c r="AT26" s="116"/>
    </row>
    <row r="27" spans="1:46" ht="21.1">
      <c r="A27" s="82" t="s">
        <v>31</v>
      </c>
      <c r="B27" s="508"/>
      <c r="C27" s="214"/>
      <c r="D27" s="595"/>
      <c r="E27" s="602"/>
      <c r="F27" s="617"/>
      <c r="G27" s="621"/>
      <c r="H27" s="96">
        <v>14</v>
      </c>
      <c r="I27" s="96"/>
      <c r="J27" s="104">
        <v>14</v>
      </c>
      <c r="K27" s="75">
        <v>14</v>
      </c>
      <c r="L27" s="75">
        <v>14</v>
      </c>
      <c r="M27" s="75">
        <v>14</v>
      </c>
      <c r="N27" s="75" t="s">
        <v>695</v>
      </c>
      <c r="O27" s="96"/>
      <c r="P27" s="105"/>
      <c r="Q27" s="105"/>
      <c r="R27" s="96"/>
      <c r="S27" s="104">
        <v>14</v>
      </c>
      <c r="T27" s="110">
        <v>14</v>
      </c>
      <c r="U27" s="110">
        <v>14</v>
      </c>
      <c r="V27" s="100">
        <v>14</v>
      </c>
      <c r="W27" s="100">
        <v>14</v>
      </c>
      <c r="X27" s="100">
        <v>14</v>
      </c>
      <c r="Y27" s="110">
        <v>14</v>
      </c>
      <c r="Z27" s="110" t="s">
        <v>339</v>
      </c>
      <c r="AA27" s="100" t="s">
        <v>339</v>
      </c>
      <c r="AB27" s="109" t="s">
        <v>339</v>
      </c>
      <c r="AC27" s="109" t="s">
        <v>339</v>
      </c>
      <c r="AD27" s="109" t="s">
        <v>339</v>
      </c>
      <c r="AE27" s="109" t="s">
        <v>339</v>
      </c>
      <c r="AF27" s="108"/>
      <c r="AG27" s="109" t="s">
        <v>339</v>
      </c>
      <c r="AH27" s="100"/>
      <c r="AI27" s="100"/>
      <c r="AJ27" s="110"/>
      <c r="AK27" s="416"/>
      <c r="AL27" s="100"/>
      <c r="AM27" s="100"/>
      <c r="AN27" s="111"/>
      <c r="AO27" s="100"/>
      <c r="AP27" s="100"/>
      <c r="AQ27" s="111"/>
      <c r="AR27" s="100"/>
      <c r="AS27" s="100"/>
      <c r="AT27" s="100"/>
    </row>
    <row r="28" spans="1:46" ht="16.3">
      <c r="A28" s="246" t="s">
        <v>1</v>
      </c>
      <c r="B28" s="509">
        <f>SUM(J28+K28+L28+M28+N28+S28+V28+W28+X28+AA28+AI28+AJ28+AI28+AM28+AP28+AQ28+AS28+AT28+AU28+AV28+AN28)+9</f>
        <v>18</v>
      </c>
      <c r="C28" s="215">
        <f>SUM(J28+K28+L28+M28+N28+S28+W28+X28+V28+AA28+AJ28+AI28+AJ28+AN28+AQ28+AM28+AT28+AU28+AV28+AW28+AP28+AS28)+86</f>
        <v>95</v>
      </c>
      <c r="D28" s="596">
        <f>SUM(T28+U28+Y28+Z28+AK28+AL28+AO28+AR28)+1</f>
        <v>4</v>
      </c>
      <c r="E28" s="604">
        <f>SUM(U28+T28+Z28+Y28+AL28+AK28+AO28+AR28)+2</f>
        <v>5</v>
      </c>
      <c r="F28" s="626">
        <v>0</v>
      </c>
      <c r="G28" s="627">
        <v>16</v>
      </c>
      <c r="H28" s="96">
        <v>1</v>
      </c>
      <c r="I28" s="96"/>
      <c r="J28" s="104">
        <v>1</v>
      </c>
      <c r="K28" s="75">
        <v>1</v>
      </c>
      <c r="L28" s="75">
        <v>1</v>
      </c>
      <c r="M28" s="75">
        <v>1</v>
      </c>
      <c r="N28" s="75">
        <v>1</v>
      </c>
      <c r="O28" s="96"/>
      <c r="P28" s="105"/>
      <c r="Q28" s="105"/>
      <c r="R28" s="96"/>
      <c r="S28" s="104">
        <v>1</v>
      </c>
      <c r="T28" s="110">
        <v>1</v>
      </c>
      <c r="U28" s="110">
        <v>1</v>
      </c>
      <c r="V28" s="100">
        <v>1</v>
      </c>
      <c r="W28" s="100">
        <v>1</v>
      </c>
      <c r="X28" s="100">
        <v>1</v>
      </c>
      <c r="Y28" s="110">
        <v>1</v>
      </c>
      <c r="Z28" s="110"/>
      <c r="AA28" s="100"/>
      <c r="AB28" s="109"/>
      <c r="AC28" s="109"/>
      <c r="AD28" s="109"/>
      <c r="AE28" s="109"/>
      <c r="AF28" s="108"/>
      <c r="AG28" s="109"/>
      <c r="AH28" s="100"/>
      <c r="AI28" s="100"/>
      <c r="AJ28" s="110"/>
      <c r="AK28" s="416"/>
      <c r="AL28" s="100"/>
      <c r="AM28" s="100"/>
      <c r="AN28" s="111"/>
      <c r="AO28" s="100"/>
      <c r="AP28" s="100"/>
      <c r="AQ28" s="111"/>
      <c r="AR28" s="100"/>
      <c r="AS28" s="100"/>
      <c r="AT28" s="100"/>
    </row>
    <row r="29" spans="1:46" ht="16.3">
      <c r="A29" s="246" t="s">
        <v>2</v>
      </c>
      <c r="B29" s="509">
        <f>SUM(J29+K29+L29+M29+N29+S29+V29+W29+X29+AA29+AI29+AJ29+AI29+AM29+AP29+AQ29+AS29+AT29+AU29+AV29)</f>
        <v>0</v>
      </c>
      <c r="C29" s="215">
        <f>SUM(J29+K29+L29+M29+N29+S29+W29+X29+V29+AA29+AJ29+AI29+AJ29+AN29+AQ29+AM29+AT29+AU29+AV29+AW29+AP29+AS29)+6</f>
        <v>6</v>
      </c>
      <c r="D29" s="596">
        <f>SUM(T29+U29+Y29+Z29+AK29+AL29+AO29+AR29)</f>
        <v>0</v>
      </c>
      <c r="E29" s="604">
        <f>SUM(U29+V29+Z29+AA29+AL29+AM29+AP29+AS29)</f>
        <v>0</v>
      </c>
      <c r="F29" s="626">
        <v>0</v>
      </c>
      <c r="G29" s="627">
        <v>3</v>
      </c>
      <c r="H29" s="96"/>
      <c r="I29" s="96"/>
      <c r="J29" s="104"/>
      <c r="K29" s="75"/>
      <c r="L29" s="75"/>
      <c r="M29" s="75"/>
      <c r="N29" s="75"/>
      <c r="O29" s="96"/>
      <c r="P29" s="105"/>
      <c r="Q29" s="105"/>
      <c r="R29" s="96"/>
      <c r="S29" s="104"/>
      <c r="T29" s="110"/>
      <c r="U29" s="110"/>
      <c r="V29" s="100"/>
      <c r="W29" s="100"/>
      <c r="X29" s="100"/>
      <c r="Y29" s="110"/>
      <c r="Z29" s="110"/>
      <c r="AA29" s="100"/>
      <c r="AB29" s="109"/>
      <c r="AC29" s="109"/>
      <c r="AD29" s="109"/>
      <c r="AE29" s="109"/>
      <c r="AF29" s="108"/>
      <c r="AG29" s="109"/>
      <c r="AH29" s="100"/>
      <c r="AI29" s="100"/>
      <c r="AJ29" s="110"/>
      <c r="AK29" s="416"/>
      <c r="AL29" s="100"/>
      <c r="AM29" s="100"/>
      <c r="AN29" s="111"/>
      <c r="AO29" s="100"/>
      <c r="AP29" s="100"/>
      <c r="AQ29" s="111"/>
      <c r="AR29" s="100"/>
      <c r="AS29" s="100"/>
      <c r="AT29" s="100"/>
    </row>
    <row r="30" spans="1:46" ht="16.3">
      <c r="A30" s="83" t="s">
        <v>363</v>
      </c>
      <c r="B30" s="508">
        <f>SUM(B28+B29)</f>
        <v>18</v>
      </c>
      <c r="C30" s="214">
        <f>SUM(C28+C29)</f>
        <v>101</v>
      </c>
      <c r="D30" s="595">
        <f>SUM(D28+D29)</f>
        <v>4</v>
      </c>
      <c r="E30" s="602">
        <f>SUM(E28+E29)</f>
        <v>5</v>
      </c>
      <c r="F30" s="617">
        <v>0</v>
      </c>
      <c r="G30" s="621">
        <f>SUM(G28+G29)</f>
        <v>19</v>
      </c>
      <c r="H30" s="96"/>
      <c r="I30" s="96"/>
      <c r="J30" s="104"/>
      <c r="K30" s="75"/>
      <c r="L30" s="75"/>
      <c r="M30" s="75"/>
      <c r="N30" s="75"/>
      <c r="O30" s="96"/>
      <c r="P30" s="105"/>
      <c r="Q30" s="105"/>
      <c r="R30" s="96"/>
      <c r="S30" s="104"/>
      <c r="T30" s="110"/>
      <c r="U30" s="110"/>
      <c r="V30" s="100"/>
      <c r="W30" s="100"/>
      <c r="X30" s="100"/>
      <c r="Y30" s="110"/>
      <c r="Z30" s="110"/>
      <c r="AA30" s="100"/>
      <c r="AB30" s="109"/>
      <c r="AC30" s="109"/>
      <c r="AD30" s="109"/>
      <c r="AE30" s="109"/>
      <c r="AF30" s="108"/>
      <c r="AG30" s="109"/>
      <c r="AH30" s="100"/>
      <c r="AI30" s="100"/>
      <c r="AJ30" s="110"/>
      <c r="AK30" s="416"/>
      <c r="AL30" s="100"/>
      <c r="AM30" s="100"/>
      <c r="AN30" s="111"/>
      <c r="AO30" s="100"/>
      <c r="AP30" s="100"/>
      <c r="AQ30" s="111"/>
      <c r="AR30" s="100"/>
      <c r="AS30" s="100"/>
      <c r="AT30" s="100"/>
    </row>
    <row r="31" spans="1:46" ht="16.3">
      <c r="A31" s="246" t="s">
        <v>362</v>
      </c>
      <c r="B31" s="509">
        <f>SUM(J31+K31+L31+M31+N31+S31+V31+W31+X31+AA31+AI31+AJ31+AI31+AM31+AP31+AQ31+AS31+AT31+AU31+AV31)</f>
        <v>0</v>
      </c>
      <c r="C31" s="215">
        <f>SUM(J31+K31+L31+M31+N31+S31+W31+X31+V31+AA31+AJ31+AI31+AJ31+AN31+AQ31+AM31+AT31+AU31+AV31+AW31+AP31+AS31)+1</f>
        <v>1</v>
      </c>
      <c r="D31" s="596">
        <f t="shared" ref="D31:E33" si="15">SUM(T31+U31+Y31+Z31+AK31+AL31+AO31+AR31)</f>
        <v>0</v>
      </c>
      <c r="E31" s="604">
        <f t="shared" si="15"/>
        <v>0</v>
      </c>
      <c r="F31" s="626">
        <v>0</v>
      </c>
      <c r="G31" s="627">
        <v>0</v>
      </c>
      <c r="H31" s="96"/>
      <c r="I31" s="96"/>
      <c r="J31" s="104"/>
      <c r="K31" s="75"/>
      <c r="L31" s="75"/>
      <c r="M31" s="75"/>
      <c r="N31" s="75"/>
      <c r="O31" s="96"/>
      <c r="P31" s="105"/>
      <c r="Q31" s="105"/>
      <c r="R31" s="96"/>
      <c r="S31" s="104"/>
      <c r="T31" s="110"/>
      <c r="U31" s="110"/>
      <c r="V31" s="100"/>
      <c r="W31" s="100"/>
      <c r="X31" s="100"/>
      <c r="Y31" s="110"/>
      <c r="Z31" s="110"/>
      <c r="AA31" s="100"/>
      <c r="AB31" s="109"/>
      <c r="AC31" s="109"/>
      <c r="AD31" s="109"/>
      <c r="AE31" s="109"/>
      <c r="AF31" s="108"/>
      <c r="AG31" s="109"/>
      <c r="AH31" s="100"/>
      <c r="AI31" s="100"/>
      <c r="AJ31" s="110"/>
      <c r="AK31" s="416"/>
      <c r="AL31" s="100"/>
      <c r="AM31" s="100"/>
      <c r="AN31" s="111"/>
      <c r="AO31" s="100"/>
      <c r="AP31" s="100"/>
      <c r="AQ31" s="111"/>
      <c r="AR31" s="100"/>
      <c r="AS31" s="100"/>
      <c r="AT31" s="100"/>
    </row>
    <row r="32" spans="1:46" ht="16.3">
      <c r="A32" s="83" t="s">
        <v>3</v>
      </c>
      <c r="B32" s="508">
        <f>SUM(J32+K32+L32+M32+N32+S32+V32+W32+X32+AA32+AI32+AJ32+AI32+AM32+AP32+AQ32+AS32+AT32+AU32+AV32+AN32)+10</f>
        <v>16</v>
      </c>
      <c r="C32" s="214">
        <f>SUM(J32+K32+L32+M32+N32+S32+W32+X32+V32+AA32+AJ32+AI32+AJ32+AN32+AQ32+AM32+AT32+AU32+AV32+AW32+AP32+AS32)+37</f>
        <v>43</v>
      </c>
      <c r="D32" s="595">
        <f t="shared" si="15"/>
        <v>3</v>
      </c>
      <c r="E32" s="602">
        <f>SUM(U32+T32+Z32+Y32+AL32+AK32+AO32+AR32)+1</f>
        <v>4</v>
      </c>
      <c r="F32" s="617">
        <v>0</v>
      </c>
      <c r="G32" s="621">
        <v>12</v>
      </c>
      <c r="H32" s="96"/>
      <c r="I32" s="96"/>
      <c r="J32" s="104">
        <v>2</v>
      </c>
      <c r="K32" s="75"/>
      <c r="L32" s="75"/>
      <c r="M32" s="75"/>
      <c r="N32" s="75">
        <v>2</v>
      </c>
      <c r="O32" s="96"/>
      <c r="P32" s="105"/>
      <c r="Q32" s="105"/>
      <c r="R32" s="96"/>
      <c r="S32" s="104"/>
      <c r="T32" s="110"/>
      <c r="U32" s="110">
        <v>1</v>
      </c>
      <c r="V32" s="100"/>
      <c r="W32" s="100"/>
      <c r="X32" s="100">
        <v>2</v>
      </c>
      <c r="Y32" s="110">
        <v>2</v>
      </c>
      <c r="Z32" s="110"/>
      <c r="AA32" s="100"/>
      <c r="AB32" s="109"/>
      <c r="AC32" s="109"/>
      <c r="AD32" s="109"/>
      <c r="AE32" s="109"/>
      <c r="AF32" s="108"/>
      <c r="AG32" s="109"/>
      <c r="AH32" s="100"/>
      <c r="AI32" s="100"/>
      <c r="AJ32" s="110"/>
      <c r="AK32" s="416"/>
      <c r="AL32" s="100"/>
      <c r="AM32" s="150"/>
      <c r="AN32" s="111"/>
      <c r="AO32" s="100"/>
      <c r="AP32" s="100"/>
      <c r="AQ32" s="111"/>
      <c r="AR32" s="100"/>
      <c r="AS32" s="100"/>
      <c r="AT32" s="100"/>
    </row>
    <row r="33" spans="1:46" ht="17" thickBot="1">
      <c r="A33" s="85" t="s">
        <v>4</v>
      </c>
      <c r="B33" s="510">
        <f>SUM(J33+K33+L33+M33+N33+S33+V33+W33+X33+AA33+AI33+AJ33+AI33+AM33+AP33+AQ33+AS33+AT33+AU33+AV33)+50</f>
        <v>80</v>
      </c>
      <c r="C33" s="217">
        <f>SUM(J33+K33+L33+M33+N33+S33+W33+X33+V33+AA33+AJ33+AI33+AJ33+AN33+AQ33+AM33+AT33+AU33+AV33+AW33+AP33+AS33)+185</f>
        <v>215</v>
      </c>
      <c r="D33" s="597">
        <f t="shared" si="15"/>
        <v>15</v>
      </c>
      <c r="E33" s="603">
        <f>SUM(U33+T33+Z33+Y33+AL33+AK33+AO33+AR33)+5</f>
        <v>20</v>
      </c>
      <c r="F33" s="618">
        <v>0</v>
      </c>
      <c r="G33" s="622">
        <v>60</v>
      </c>
      <c r="H33" s="114"/>
      <c r="I33" s="114"/>
      <c r="J33" s="113">
        <v>10</v>
      </c>
      <c r="K33" s="112"/>
      <c r="L33" s="112"/>
      <c r="M33" s="112"/>
      <c r="N33" s="112">
        <v>10</v>
      </c>
      <c r="O33" s="114"/>
      <c r="P33" s="127"/>
      <c r="Q33" s="127"/>
      <c r="R33" s="114"/>
      <c r="S33" s="113"/>
      <c r="T33" s="120"/>
      <c r="U33" s="120">
        <v>5</v>
      </c>
      <c r="V33" s="112"/>
      <c r="W33" s="100"/>
      <c r="X33" s="100">
        <v>10</v>
      </c>
      <c r="Y33" s="110">
        <v>10</v>
      </c>
      <c r="Z33" s="110"/>
      <c r="AA33" s="100"/>
      <c r="AB33" s="109"/>
      <c r="AC33" s="109"/>
      <c r="AD33" s="109"/>
      <c r="AE33" s="109"/>
      <c r="AF33" s="108"/>
      <c r="AG33" s="109"/>
      <c r="AH33" s="100"/>
      <c r="AI33" s="100"/>
      <c r="AJ33" s="110"/>
      <c r="AK33" s="416"/>
      <c r="AL33" s="100"/>
      <c r="AM33" s="100"/>
      <c r="AN33" s="111"/>
      <c r="AO33" s="100"/>
      <c r="AP33" s="100"/>
      <c r="AQ33" s="111"/>
      <c r="AR33" s="100"/>
      <c r="AS33" s="100"/>
      <c r="AT33" s="100"/>
    </row>
    <row r="34" spans="1:46" ht="21.1">
      <c r="A34" s="82" t="s">
        <v>906</v>
      </c>
      <c r="B34" s="508"/>
      <c r="C34" s="214"/>
      <c r="D34" s="595"/>
      <c r="E34" s="602"/>
      <c r="F34" s="617"/>
      <c r="G34" s="621"/>
      <c r="H34" s="96" t="s">
        <v>644</v>
      </c>
      <c r="I34" s="96">
        <v>14</v>
      </c>
      <c r="J34" s="104"/>
      <c r="K34" s="75"/>
      <c r="L34" s="75"/>
      <c r="M34" s="75"/>
      <c r="N34" s="75"/>
      <c r="O34" s="96">
        <v>14</v>
      </c>
      <c r="P34" s="105"/>
      <c r="Q34" s="105"/>
      <c r="R34" s="96"/>
      <c r="S34" s="104"/>
      <c r="T34" s="110"/>
      <c r="U34" s="110"/>
      <c r="V34" s="100"/>
      <c r="W34" s="102" t="s">
        <v>375</v>
      </c>
      <c r="X34" s="102" t="s">
        <v>375</v>
      </c>
      <c r="Y34" s="101">
        <v>11</v>
      </c>
      <c r="Z34" s="101">
        <v>14</v>
      </c>
      <c r="AA34" s="102">
        <v>14</v>
      </c>
      <c r="AB34" s="99"/>
      <c r="AC34" s="99" t="s">
        <v>803</v>
      </c>
      <c r="AD34" s="99" t="s">
        <v>803</v>
      </c>
      <c r="AE34" s="99" t="s">
        <v>803</v>
      </c>
      <c r="AF34" s="98"/>
      <c r="AG34" s="99">
        <v>14</v>
      </c>
      <c r="AH34" s="102"/>
      <c r="AI34" s="102"/>
      <c r="AJ34" s="101"/>
      <c r="AK34" s="414"/>
      <c r="AL34" s="102"/>
      <c r="AM34" s="102"/>
      <c r="AN34" s="103"/>
      <c r="AO34" s="102"/>
      <c r="AP34" s="102"/>
      <c r="AQ34" s="103"/>
      <c r="AR34" s="102"/>
      <c r="AS34" s="102"/>
      <c r="AT34" s="102"/>
    </row>
    <row r="35" spans="1:46" ht="16.3">
      <c r="A35" s="246" t="s">
        <v>1</v>
      </c>
      <c r="B35" s="509">
        <f>SUM(J35+K35+L35+M35+N35+S35+V35+W35+X35+AA35+AI35+AJ35+AI35+AM35+AP35+AQ35+AS35+AT35+AU35+AV35+AN35)</f>
        <v>1</v>
      </c>
      <c r="C35" s="215">
        <f>SUM(J35+K35+L35+M35+N35+S35+W35+X35+V35+AA35+AJ35+AI35+AJ35+AN35+AQ35+AM35+AT35+AU35+AV35+AW35+AP35+AS35)+13</f>
        <v>14</v>
      </c>
      <c r="D35" s="596">
        <f>SUM(T35+U35+Y35+Z35+AK35+AL35+AO35+AR35)</f>
        <v>2</v>
      </c>
      <c r="E35" s="604">
        <f>SUM(U35+T35+Z35+Y35+AL35+AK35+AO35+AR35)+3</f>
        <v>5</v>
      </c>
      <c r="F35" s="626">
        <v>0</v>
      </c>
      <c r="G35" s="627">
        <v>2</v>
      </c>
      <c r="H35" s="96">
        <v>1</v>
      </c>
      <c r="I35" s="96">
        <v>1</v>
      </c>
      <c r="J35" s="104"/>
      <c r="K35" s="75"/>
      <c r="L35" s="75"/>
      <c r="M35" s="75"/>
      <c r="N35" s="75"/>
      <c r="O35" s="96">
        <v>1</v>
      </c>
      <c r="P35" s="105"/>
      <c r="Q35" s="105"/>
      <c r="R35" s="96"/>
      <c r="S35" s="104"/>
      <c r="T35" s="110"/>
      <c r="U35" s="110"/>
      <c r="V35" s="100"/>
      <c r="W35" s="100"/>
      <c r="X35" s="100"/>
      <c r="Y35" s="110">
        <v>1</v>
      </c>
      <c r="Z35" s="110">
        <v>1</v>
      </c>
      <c r="AA35" s="100">
        <v>1</v>
      </c>
      <c r="AB35" s="109"/>
      <c r="AC35" s="109"/>
      <c r="AD35" s="109"/>
      <c r="AE35" s="109"/>
      <c r="AF35" s="108"/>
      <c r="AG35" s="109">
        <v>1</v>
      </c>
      <c r="AH35" s="100"/>
      <c r="AI35" s="100"/>
      <c r="AJ35" s="110"/>
      <c r="AK35" s="416"/>
      <c r="AL35" s="100"/>
      <c r="AM35" s="100"/>
      <c r="AN35" s="111"/>
      <c r="AO35" s="100"/>
      <c r="AP35" s="100"/>
      <c r="AQ35" s="111"/>
      <c r="AR35" s="100"/>
      <c r="AS35" s="100"/>
      <c r="AT35" s="100"/>
    </row>
    <row r="36" spans="1:46" ht="16.3">
      <c r="A36" s="246" t="s">
        <v>2</v>
      </c>
      <c r="B36" s="509">
        <f>SUM(J36+K36+L36+M36+N36+S36+V36+W36+X36+AA36+AI36+AJ36+AI36+AM36+AP36+AQ36+AS36+AT36+AU36+AV36)</f>
        <v>2</v>
      </c>
      <c r="C36" s="215">
        <f>SUM(J36+K36+L36+M36+N36+S36+W36+X36+V36+AA36+AJ36+AI36+AJ36+AN36+AQ36+AM36+AT36+AU36+AV36+AW36+AP36+AS36)+7</f>
        <v>9</v>
      </c>
      <c r="D36" s="596">
        <f>SUM(T36+U36+Y36+Z36+AK36+AL36+AO36+AR36)</f>
        <v>0</v>
      </c>
      <c r="E36" s="604">
        <f>SUM(U36+V36+Z36+AA36+AL36+AM36+AP36+AS36)+5</f>
        <v>5</v>
      </c>
      <c r="F36" s="626">
        <v>0</v>
      </c>
      <c r="G36" s="627">
        <v>0</v>
      </c>
      <c r="H36" s="96"/>
      <c r="I36" s="96"/>
      <c r="J36" s="104"/>
      <c r="K36" s="75"/>
      <c r="L36" s="75"/>
      <c r="M36" s="75"/>
      <c r="N36" s="75"/>
      <c r="O36" s="96"/>
      <c r="P36" s="105"/>
      <c r="Q36" s="105"/>
      <c r="R36" s="96"/>
      <c r="S36" s="104"/>
      <c r="T36" s="110"/>
      <c r="U36" s="110"/>
      <c r="V36" s="100"/>
      <c r="W36" s="100">
        <v>1</v>
      </c>
      <c r="X36" s="100">
        <v>1</v>
      </c>
      <c r="Y36" s="110"/>
      <c r="Z36" s="110"/>
      <c r="AA36" s="100"/>
      <c r="AB36" s="109"/>
      <c r="AC36" s="109"/>
      <c r="AD36" s="109"/>
      <c r="AE36" s="109"/>
      <c r="AF36" s="108"/>
      <c r="AG36" s="109"/>
      <c r="AH36" s="100"/>
      <c r="AI36" s="100"/>
      <c r="AJ36" s="110"/>
      <c r="AK36" s="416"/>
      <c r="AL36" s="100"/>
      <c r="AM36" s="100"/>
      <c r="AN36" s="111"/>
      <c r="AO36" s="100"/>
      <c r="AP36" s="100"/>
      <c r="AQ36" s="111"/>
      <c r="AR36" s="100"/>
      <c r="AS36" s="100"/>
      <c r="AT36" s="100"/>
    </row>
    <row r="37" spans="1:46" ht="16.3">
      <c r="A37" s="83" t="s">
        <v>363</v>
      </c>
      <c r="B37" s="508">
        <f>SUM(B35+B36)</f>
        <v>3</v>
      </c>
      <c r="C37" s="214">
        <f>SUM(C35+C36)</f>
        <v>23</v>
      </c>
      <c r="D37" s="595">
        <f>SUM(D35+D36)</f>
        <v>2</v>
      </c>
      <c r="E37" s="602">
        <f>SUM(E35+E36)</f>
        <v>10</v>
      </c>
      <c r="F37" s="617">
        <v>0</v>
      </c>
      <c r="G37" s="621">
        <f>SUM(G35+G36)</f>
        <v>2</v>
      </c>
      <c r="H37" s="96"/>
      <c r="I37" s="96"/>
      <c r="J37" s="104"/>
      <c r="K37" s="75"/>
      <c r="L37" s="75"/>
      <c r="M37" s="75"/>
      <c r="N37" s="75"/>
      <c r="O37" s="96"/>
      <c r="P37" s="105"/>
      <c r="Q37" s="105"/>
      <c r="R37" s="96"/>
      <c r="S37" s="104"/>
      <c r="T37" s="110"/>
      <c r="U37" s="110"/>
      <c r="V37" s="100"/>
      <c r="W37" s="100"/>
      <c r="X37" s="100"/>
      <c r="Y37" s="110"/>
      <c r="Z37" s="110"/>
      <c r="AA37" s="100"/>
      <c r="AB37" s="109"/>
      <c r="AC37" s="109"/>
      <c r="AD37" s="109"/>
      <c r="AE37" s="109"/>
      <c r="AF37" s="108"/>
      <c r="AG37" s="109"/>
      <c r="AH37" s="100"/>
      <c r="AI37" s="100"/>
      <c r="AJ37" s="110"/>
      <c r="AK37" s="416"/>
      <c r="AL37" s="100"/>
      <c r="AM37" s="100"/>
      <c r="AN37" s="111"/>
      <c r="AO37" s="100"/>
      <c r="AP37" s="100"/>
      <c r="AQ37" s="111"/>
      <c r="AR37" s="100"/>
      <c r="AS37" s="100"/>
      <c r="AT37" s="100"/>
    </row>
    <row r="38" spans="1:46" ht="16.3">
      <c r="A38" s="83" t="s">
        <v>3</v>
      </c>
      <c r="B38" s="508">
        <f>SUM(J38+K38+L38+M38+N38+S38+V38+W38+X38+AA38+AI38+AJ38+AI38+AM38+AP38+AQ38+AS38+AT38+AU38+AV38+AN38)</f>
        <v>1</v>
      </c>
      <c r="C38" s="214">
        <f>SUM(J38+K38+L38+M38+N38+S38+W38+X38+V38+AA38+AJ38+AI38+AJ38+AN38+AQ38+AM38+AT38+AU38+AV38+AW38+AP38+AS38)+1</f>
        <v>2</v>
      </c>
      <c r="D38" s="595">
        <f t="shared" ref="D38:D39" si="16">SUM(T38+U38+Y38+Z38+AK38+AL38+AO38+AR38)</f>
        <v>0</v>
      </c>
      <c r="E38" s="602">
        <f>SUM(U38+V38+Z38+AA38+AL38+AM38+AP38+AS38)+3</f>
        <v>4</v>
      </c>
      <c r="F38" s="617">
        <v>0</v>
      </c>
      <c r="G38" s="621">
        <v>1</v>
      </c>
      <c r="H38" s="96"/>
      <c r="I38" s="96"/>
      <c r="J38" s="104"/>
      <c r="K38" s="75"/>
      <c r="L38" s="75"/>
      <c r="M38" s="75"/>
      <c r="N38" s="75"/>
      <c r="O38" s="96"/>
      <c r="P38" s="105"/>
      <c r="Q38" s="105"/>
      <c r="R38" s="96"/>
      <c r="S38" s="104"/>
      <c r="T38" s="110"/>
      <c r="U38" s="110"/>
      <c r="V38" s="100"/>
      <c r="W38" s="100"/>
      <c r="X38" s="100"/>
      <c r="Y38" s="110"/>
      <c r="Z38" s="110"/>
      <c r="AA38" s="100">
        <v>1</v>
      </c>
      <c r="AB38" s="109"/>
      <c r="AC38" s="109"/>
      <c r="AD38" s="109"/>
      <c r="AE38" s="109"/>
      <c r="AF38" s="108"/>
      <c r="AG38" s="109"/>
      <c r="AH38" s="100"/>
      <c r="AI38" s="100"/>
      <c r="AJ38" s="110"/>
      <c r="AK38" s="416"/>
      <c r="AL38" s="100"/>
      <c r="AM38" s="100"/>
      <c r="AN38" s="111"/>
      <c r="AO38" s="100"/>
      <c r="AP38" s="100"/>
      <c r="AQ38" s="111"/>
      <c r="AR38" s="100"/>
      <c r="AS38" s="100"/>
      <c r="AT38" s="100"/>
    </row>
    <row r="39" spans="1:46" ht="17" thickBot="1">
      <c r="A39" s="85" t="s">
        <v>4</v>
      </c>
      <c r="B39" s="510">
        <f>SUM(J39+K39+L39+M39+N39+S39+V39+W39+X39+AA39+AI39+AJ39+AI39+AM39+AP39+AQ39+AS39+AT39+AU39+AV39+AN39)</f>
        <v>5</v>
      </c>
      <c r="C39" s="217">
        <f>SUM(J39+K39+L39+M39+N39+S39+W39+X39+V39+AA39+AJ39+AI39+AJ39+AN39+AQ39+AM39+AT39+AU39+AV39+AW39+AP39+AS39)+5</f>
        <v>10</v>
      </c>
      <c r="D39" s="597">
        <f t="shared" si="16"/>
        <v>0</v>
      </c>
      <c r="E39" s="603">
        <f>SUM(U39+V39+Z39+AA39+AL39+AM39+AP39+AS39)+15</f>
        <v>20</v>
      </c>
      <c r="F39" s="618">
        <v>0</v>
      </c>
      <c r="G39" s="622">
        <v>5</v>
      </c>
      <c r="H39" s="114"/>
      <c r="I39" s="114"/>
      <c r="J39" s="113"/>
      <c r="K39" s="112"/>
      <c r="L39" s="112"/>
      <c r="M39" s="112"/>
      <c r="N39" s="112"/>
      <c r="O39" s="114"/>
      <c r="P39" s="127"/>
      <c r="Q39" s="127"/>
      <c r="R39" s="114"/>
      <c r="S39" s="113"/>
      <c r="T39" s="120"/>
      <c r="U39" s="119"/>
      <c r="V39" s="116"/>
      <c r="W39" s="116"/>
      <c r="X39" s="116"/>
      <c r="Y39" s="120"/>
      <c r="Z39" s="120"/>
      <c r="AA39" s="116">
        <v>5</v>
      </c>
      <c r="AB39" s="118"/>
      <c r="AC39" s="118"/>
      <c r="AD39" s="118"/>
      <c r="AE39" s="118"/>
      <c r="AF39" s="117"/>
      <c r="AG39" s="118"/>
      <c r="AH39" s="116"/>
      <c r="AI39" s="116"/>
      <c r="AJ39" s="120"/>
      <c r="AK39" s="417"/>
      <c r="AL39" s="116"/>
      <c r="AM39" s="116"/>
      <c r="AN39" s="121"/>
      <c r="AO39" s="116"/>
      <c r="AP39" s="116"/>
      <c r="AQ39" s="121"/>
      <c r="AR39" s="116"/>
      <c r="AS39" s="116"/>
      <c r="AT39" s="116"/>
    </row>
    <row r="40" spans="1:46" ht="21.1">
      <c r="A40" s="82" t="s">
        <v>231</v>
      </c>
      <c r="B40" s="508"/>
      <c r="C40" s="214"/>
      <c r="D40" s="595"/>
      <c r="E40" s="602"/>
      <c r="F40" s="617"/>
      <c r="G40" s="621"/>
      <c r="H40" s="96">
        <v>15</v>
      </c>
      <c r="I40" s="96"/>
      <c r="J40" s="104">
        <v>11</v>
      </c>
      <c r="K40" s="75">
        <v>11</v>
      </c>
      <c r="L40" s="75">
        <v>11</v>
      </c>
      <c r="M40" s="75">
        <v>11</v>
      </c>
      <c r="N40" s="75">
        <v>11</v>
      </c>
      <c r="O40" s="96"/>
      <c r="P40" s="105"/>
      <c r="Q40" s="105"/>
      <c r="R40" s="96"/>
      <c r="S40" s="104" t="s">
        <v>836</v>
      </c>
      <c r="T40" s="110">
        <v>11</v>
      </c>
      <c r="U40" s="110">
        <v>11</v>
      </c>
      <c r="V40" s="102">
        <v>11</v>
      </c>
      <c r="W40" s="102">
        <v>11</v>
      </c>
      <c r="X40" s="102">
        <v>11</v>
      </c>
      <c r="Y40" s="101"/>
      <c r="Z40" s="101">
        <v>11</v>
      </c>
      <c r="AA40" s="102">
        <v>11</v>
      </c>
      <c r="AB40" s="99" t="s">
        <v>816</v>
      </c>
      <c r="AC40" s="99" t="s">
        <v>816</v>
      </c>
      <c r="AD40" s="99">
        <v>11</v>
      </c>
      <c r="AE40" s="99">
        <v>11</v>
      </c>
      <c r="AF40" s="98"/>
      <c r="AG40" s="99">
        <v>11</v>
      </c>
      <c r="AH40" s="102"/>
      <c r="AI40" s="102"/>
      <c r="AJ40" s="101"/>
      <c r="AK40" s="414"/>
      <c r="AL40" s="102"/>
      <c r="AM40" s="102"/>
      <c r="AN40" s="103"/>
      <c r="AO40" s="102"/>
      <c r="AP40" s="102"/>
      <c r="AQ40" s="103"/>
      <c r="AR40" s="102"/>
      <c r="AS40" s="102"/>
      <c r="AT40" s="102"/>
    </row>
    <row r="41" spans="1:46" ht="16.3">
      <c r="A41" s="246" t="s">
        <v>1</v>
      </c>
      <c r="B41" s="509">
        <f>SUM(J41+K41+L41+M41+N41+S41+V41+W41+X41+AA41+AI41+AJ41+AI41+AM41+AP41+AQ41+AS41+AT41+AU41+AV41+AN41)+34</f>
        <v>44</v>
      </c>
      <c r="C41" s="215">
        <f>SUM(J41+K41+L41+M41+N41+S41+W41+X41+V41+AA41+AJ41+AI41+AJ41+AN41+AQ41+AM41+AT41+AU41+AV41+AW41+AP41+AS41)+104</f>
        <v>114</v>
      </c>
      <c r="D41" s="596">
        <f>SUM(T41+U41+Y41+Z41+AK41+AL41+AO41+AR41)+8</f>
        <v>11</v>
      </c>
      <c r="E41" s="604">
        <f>SUM(U41+T41+Z41+Y41+AL41+AK41+AO41+AR41)+12</f>
        <v>15</v>
      </c>
      <c r="F41" s="626">
        <v>0</v>
      </c>
      <c r="G41" s="627">
        <v>12</v>
      </c>
      <c r="H41" s="96">
        <v>1</v>
      </c>
      <c r="I41" s="96"/>
      <c r="J41" s="104">
        <v>1</v>
      </c>
      <c r="K41" s="75">
        <v>1</v>
      </c>
      <c r="L41" s="75">
        <v>1</v>
      </c>
      <c r="M41" s="75">
        <v>1</v>
      </c>
      <c r="N41" s="75">
        <v>1</v>
      </c>
      <c r="O41" s="96"/>
      <c r="P41" s="105"/>
      <c r="Q41" s="105"/>
      <c r="R41" s="96"/>
      <c r="S41" s="104">
        <v>1</v>
      </c>
      <c r="T41" s="110">
        <v>1</v>
      </c>
      <c r="U41" s="110">
        <v>1</v>
      </c>
      <c r="V41" s="100">
        <v>1</v>
      </c>
      <c r="W41" s="100">
        <v>1</v>
      </c>
      <c r="X41" s="100">
        <v>1</v>
      </c>
      <c r="Y41" s="110"/>
      <c r="Z41" s="110">
        <v>1</v>
      </c>
      <c r="AA41" s="100">
        <v>1</v>
      </c>
      <c r="AB41" s="109"/>
      <c r="AC41" s="109"/>
      <c r="AD41" s="109">
        <v>1</v>
      </c>
      <c r="AE41" s="109">
        <v>1</v>
      </c>
      <c r="AF41" s="108"/>
      <c r="AG41" s="109">
        <v>1</v>
      </c>
      <c r="AH41" s="100"/>
      <c r="AI41" s="100"/>
      <c r="AJ41" s="110"/>
      <c r="AK41" s="416"/>
      <c r="AL41" s="100"/>
      <c r="AM41" s="100"/>
      <c r="AN41" s="111"/>
      <c r="AO41" s="100"/>
      <c r="AP41" s="100"/>
      <c r="AQ41" s="111"/>
      <c r="AR41" s="100"/>
      <c r="AS41" s="100"/>
      <c r="AT41" s="100"/>
    </row>
    <row r="42" spans="1:46" ht="16.3">
      <c r="A42" s="246" t="s">
        <v>2</v>
      </c>
      <c r="B42" s="509">
        <f>SUM(J42+K42+L42+M42+N42+S42+V42+W42+X42+AA42+AI42+AJ42+AI42+AM42+AP42+AQ42+AS42+AT42+AU42+AV42)</f>
        <v>0</v>
      </c>
      <c r="C42" s="215">
        <f>SUM(J42+K42+L42+M42+N42+S42+W42+X42+V42+AA42+AJ42+AI42+AJ42+AN42+AQ42+AM42+AT42+AU42+AV42+AW42+AP42+AS42)+1</f>
        <v>1</v>
      </c>
      <c r="D42" s="596">
        <f>SUM(T42+U42+Y42+Z42+AK42+AL42+AO42+AR42)</f>
        <v>0</v>
      </c>
      <c r="E42" s="604">
        <f>SUM(U42+V42+Z42+AA42+AL42+AM42+AP42+AS42)</f>
        <v>0</v>
      </c>
      <c r="F42" s="626">
        <v>0</v>
      </c>
      <c r="G42" s="627">
        <v>1</v>
      </c>
      <c r="H42" s="96"/>
      <c r="I42" s="96"/>
      <c r="J42" s="104"/>
      <c r="K42" s="75"/>
      <c r="L42" s="75"/>
      <c r="M42" s="75"/>
      <c r="N42" s="75"/>
      <c r="O42" s="96"/>
      <c r="P42" s="105"/>
      <c r="Q42" s="105"/>
      <c r="R42" s="96"/>
      <c r="S42" s="104"/>
      <c r="T42" s="110"/>
      <c r="U42" s="110"/>
      <c r="V42" s="100"/>
      <c r="W42" s="100"/>
      <c r="X42" s="100"/>
      <c r="Y42" s="110"/>
      <c r="Z42" s="110"/>
      <c r="AA42" s="100"/>
      <c r="AB42" s="109"/>
      <c r="AC42" s="109"/>
      <c r="AD42" s="109"/>
      <c r="AE42" s="109"/>
      <c r="AF42" s="108"/>
      <c r="AG42" s="109"/>
      <c r="AH42" s="100"/>
      <c r="AI42" s="100"/>
      <c r="AJ42" s="110"/>
      <c r="AK42" s="416"/>
      <c r="AL42" s="100"/>
      <c r="AM42" s="100"/>
      <c r="AN42" s="111"/>
      <c r="AO42" s="100"/>
      <c r="AP42" s="100"/>
      <c r="AQ42" s="111"/>
      <c r="AR42" s="100"/>
      <c r="AS42" s="100"/>
      <c r="AT42" s="100"/>
    </row>
    <row r="43" spans="1:46" ht="16.3">
      <c r="A43" s="83" t="s">
        <v>363</v>
      </c>
      <c r="B43" s="508">
        <f t="shared" ref="B43:G43" si="17">SUM(B41+B42)</f>
        <v>44</v>
      </c>
      <c r="C43" s="214">
        <f t="shared" si="17"/>
        <v>115</v>
      </c>
      <c r="D43" s="595">
        <f t="shared" si="17"/>
        <v>11</v>
      </c>
      <c r="E43" s="602">
        <f t="shared" si="17"/>
        <v>15</v>
      </c>
      <c r="F43" s="617">
        <f t="shared" si="17"/>
        <v>0</v>
      </c>
      <c r="G43" s="621">
        <f t="shared" si="17"/>
        <v>13</v>
      </c>
      <c r="H43" s="96"/>
      <c r="I43" s="96"/>
      <c r="J43" s="104"/>
      <c r="K43" s="75"/>
      <c r="L43" s="75"/>
      <c r="M43" s="75"/>
      <c r="N43" s="75"/>
      <c r="O43" s="96"/>
      <c r="P43" s="105"/>
      <c r="Q43" s="105"/>
      <c r="R43" s="96"/>
      <c r="S43" s="104"/>
      <c r="T43" s="110"/>
      <c r="U43" s="110"/>
      <c r="V43" s="100"/>
      <c r="W43" s="100"/>
      <c r="X43" s="100"/>
      <c r="Y43" s="110"/>
      <c r="Z43" s="110"/>
      <c r="AA43" s="100"/>
      <c r="AB43" s="109"/>
      <c r="AC43" s="109"/>
      <c r="AD43" s="109"/>
      <c r="AE43" s="109"/>
      <c r="AF43" s="108"/>
      <c r="AG43" s="109"/>
      <c r="AH43" s="100"/>
      <c r="AI43" s="100"/>
      <c r="AJ43" s="110"/>
      <c r="AK43" s="416"/>
      <c r="AL43" s="100"/>
      <c r="AM43" s="100"/>
      <c r="AN43" s="111"/>
      <c r="AO43" s="100"/>
      <c r="AP43" s="100"/>
      <c r="AQ43" s="111"/>
      <c r="AR43" s="100"/>
      <c r="AS43" s="100"/>
      <c r="AT43" s="100"/>
    </row>
    <row r="44" spans="1:46" ht="16.3">
      <c r="A44" s="246" t="s">
        <v>362</v>
      </c>
      <c r="B44" s="509">
        <f>SUM(J44+K44+L44+M44+N44+S44+V44+W44+X44+AA44+AI44+AJ44+AI44+AM44+AP44+AQ44+AS44+AT44+AU44+AV44+AN44)+2</f>
        <v>3</v>
      </c>
      <c r="C44" s="215">
        <f>SUM(J44+K44+L44+M44+N44+S44+W44+X44+V44+AA44+AJ44+AI44+AJ44+AN44+AQ44+AM44+AT44+AU44+AV44+AW44+AP44+AS44)+2</f>
        <v>3</v>
      </c>
      <c r="D44" s="596">
        <f t="shared" ref="D44:E45" si="18">SUM(T44+U44+Y44+Z44+AK44+AL44+AO44+AR44)</f>
        <v>0</v>
      </c>
      <c r="E44" s="604">
        <f t="shared" si="18"/>
        <v>0</v>
      </c>
      <c r="F44" s="626">
        <v>0</v>
      </c>
      <c r="G44" s="627">
        <v>0</v>
      </c>
      <c r="H44" s="96"/>
      <c r="I44" s="96"/>
      <c r="J44" s="104"/>
      <c r="K44" s="75"/>
      <c r="L44" s="75"/>
      <c r="M44" s="75"/>
      <c r="N44" s="75"/>
      <c r="O44" s="96"/>
      <c r="P44" s="105"/>
      <c r="Q44" s="105"/>
      <c r="R44" s="96"/>
      <c r="S44" s="104">
        <v>1</v>
      </c>
      <c r="T44" s="110"/>
      <c r="U44" s="110"/>
      <c r="V44" s="100"/>
      <c r="W44" s="100"/>
      <c r="X44" s="100"/>
      <c r="Y44" s="110"/>
      <c r="Z44" s="110"/>
      <c r="AA44" s="100"/>
      <c r="AB44" s="109"/>
      <c r="AC44" s="109"/>
      <c r="AD44" s="109"/>
      <c r="AE44" s="109"/>
      <c r="AF44" s="108"/>
      <c r="AG44" s="109"/>
      <c r="AH44" s="100"/>
      <c r="AI44" s="100"/>
      <c r="AJ44" s="110"/>
      <c r="AK44" s="416"/>
      <c r="AL44" s="100"/>
      <c r="AM44" s="100"/>
      <c r="AN44" s="111"/>
      <c r="AO44" s="100"/>
      <c r="AP44" s="100"/>
      <c r="AQ44" s="111"/>
      <c r="AR44" s="100"/>
      <c r="AS44" s="100"/>
      <c r="AT44" s="100"/>
    </row>
    <row r="45" spans="1:46" ht="16.3">
      <c r="A45" s="246" t="s">
        <v>746</v>
      </c>
      <c r="B45" s="509">
        <f>SUM(J45+K45+L45+M45+N45+S45+V45+W45+X45+AA45+AI45+AJ45+AI45+AM45+AP45+AQ45+AS45+AT45+AU45+AV45+AN45)</f>
        <v>0</v>
      </c>
      <c r="C45" s="215">
        <f>SUM(J45+K45+L45+M45+N45+S45+W45+X45+V45+AA45+AJ45+AI45+AJ45+AN45+AQ45+AM45+AT45+AU45+AV45+AW45+AP45+AS45)+3</f>
        <v>3</v>
      </c>
      <c r="D45" s="596">
        <f t="shared" si="18"/>
        <v>0</v>
      </c>
      <c r="E45" s="604">
        <f t="shared" si="18"/>
        <v>0</v>
      </c>
      <c r="F45" s="626">
        <v>0</v>
      </c>
      <c r="G45" s="627">
        <v>0</v>
      </c>
      <c r="H45" s="96"/>
      <c r="I45" s="96"/>
      <c r="J45" s="104"/>
      <c r="K45" s="75"/>
      <c r="L45" s="75"/>
      <c r="M45" s="75"/>
      <c r="N45" s="75"/>
      <c r="O45" s="96"/>
      <c r="P45" s="105"/>
      <c r="Q45" s="105"/>
      <c r="R45" s="96"/>
      <c r="S45" s="104"/>
      <c r="T45" s="110"/>
      <c r="U45" s="110"/>
      <c r="V45" s="100"/>
      <c r="W45" s="100"/>
      <c r="X45" s="100"/>
      <c r="Y45" s="110"/>
      <c r="Z45" s="110"/>
      <c r="AA45" s="100"/>
      <c r="AB45" s="109"/>
      <c r="AC45" s="109"/>
      <c r="AD45" s="109"/>
      <c r="AE45" s="109"/>
      <c r="AF45" s="108"/>
      <c r="AG45" s="109"/>
      <c r="AH45" s="100"/>
      <c r="AI45" s="100"/>
      <c r="AJ45" s="110"/>
      <c r="AK45" s="416"/>
      <c r="AL45" s="100"/>
      <c r="AM45" s="100"/>
      <c r="AN45" s="111"/>
      <c r="AO45" s="100"/>
      <c r="AP45" s="100"/>
      <c r="AQ45" s="111"/>
      <c r="AR45" s="100"/>
      <c r="AS45" s="100"/>
      <c r="AT45" s="100"/>
    </row>
    <row r="46" spans="1:46" ht="16.3">
      <c r="A46" s="83" t="s">
        <v>3</v>
      </c>
      <c r="B46" s="508">
        <f>SUM(J46+K46+L46+M46+N46+S46+V46+W46+X46+AA46+AI46+AJ46+AI46+AM46+AP46+AQ46+AS46+AT46+AU46+AV46+AN46)+21</f>
        <v>22</v>
      </c>
      <c r="C46" s="214">
        <f>SUM(J46+K46+L46+M46+N46+S46+W46+X46+V46+AA46+AJ46+AI46+AJ46+AN46+AQ46+AM46+AT46+AU46+AV46+AW46+AP46+AS46)+56</f>
        <v>57</v>
      </c>
      <c r="D46" s="595">
        <f>SUM(T46+U46+Y46+Z46+AK46+AL46+AO46+AR46)+3</f>
        <v>4</v>
      </c>
      <c r="E46" s="602">
        <f>SUM(U46+V46+Z46+AA46+AL46+AM46+AP46+AS46)+3</f>
        <v>4</v>
      </c>
      <c r="F46" s="617">
        <v>0</v>
      </c>
      <c r="G46" s="621">
        <v>3</v>
      </c>
      <c r="H46" s="96"/>
      <c r="I46" s="96"/>
      <c r="J46" s="104"/>
      <c r="K46" s="75">
        <v>1</v>
      </c>
      <c r="L46" s="75"/>
      <c r="M46" s="75"/>
      <c r="N46" s="75"/>
      <c r="O46" s="96"/>
      <c r="P46" s="105"/>
      <c r="Q46" s="105"/>
      <c r="R46" s="96"/>
      <c r="S46" s="104"/>
      <c r="T46" s="110"/>
      <c r="U46" s="110">
        <v>1</v>
      </c>
      <c r="V46" s="100"/>
      <c r="W46" s="100"/>
      <c r="X46" s="100"/>
      <c r="Y46" s="110"/>
      <c r="Z46" s="110"/>
      <c r="AA46" s="100"/>
      <c r="AB46" s="109"/>
      <c r="AC46" s="109"/>
      <c r="AD46" s="109"/>
      <c r="AE46" s="109"/>
      <c r="AF46" s="108"/>
      <c r="AG46" s="109">
        <v>1</v>
      </c>
      <c r="AH46" s="100"/>
      <c r="AI46" s="100"/>
      <c r="AJ46" s="110"/>
      <c r="AK46" s="416"/>
      <c r="AL46" s="100"/>
      <c r="AM46" s="100"/>
      <c r="AN46" s="111"/>
      <c r="AO46" s="100"/>
      <c r="AP46" s="100"/>
      <c r="AQ46" s="111"/>
      <c r="AR46" s="100"/>
      <c r="AS46" s="100"/>
      <c r="AT46" s="100"/>
    </row>
    <row r="47" spans="1:46" ht="17" thickBot="1">
      <c r="A47" s="85" t="s">
        <v>4</v>
      </c>
      <c r="B47" s="510">
        <f>SUM(J47+K47+L47+M47+N47+S47+V47+W47+X47+AA47+AI47+AJ47+AI47+AM47+AP47+AQ47+AS47+AT47+AU47+AV47+AN47)+105</f>
        <v>110</v>
      </c>
      <c r="C47" s="217">
        <f>SUM(J47+K47+L47+M47+N47+S47+W47+X47+V47+AA47+AJ47+AI47+AJ47+AN47+AQ47+AM47+AT47+AU47+AV47+AW47+AP47+AS47)+280</f>
        <v>285</v>
      </c>
      <c r="D47" s="597">
        <f>SUM(T47+U47+Y47+Z47+AK47+AL47+AO47+AR47)+15</f>
        <v>20</v>
      </c>
      <c r="E47" s="603">
        <f>SUM(U47+V47+Z47+AA47+AL47+AM47+AP47+AS47)+15</f>
        <v>20</v>
      </c>
      <c r="F47" s="618">
        <v>0</v>
      </c>
      <c r="G47" s="622">
        <v>15</v>
      </c>
      <c r="H47" s="114"/>
      <c r="I47" s="114"/>
      <c r="J47" s="113"/>
      <c r="K47" s="112">
        <v>5</v>
      </c>
      <c r="L47" s="112"/>
      <c r="M47" s="112"/>
      <c r="N47" s="112"/>
      <c r="O47" s="114"/>
      <c r="P47" s="127"/>
      <c r="Q47" s="127"/>
      <c r="R47" s="114"/>
      <c r="S47" s="113"/>
      <c r="T47" s="120"/>
      <c r="U47" s="120">
        <v>5</v>
      </c>
      <c r="V47" s="116"/>
      <c r="W47" s="116"/>
      <c r="X47" s="116"/>
      <c r="Y47" s="120"/>
      <c r="Z47" s="120"/>
      <c r="AA47" s="116"/>
      <c r="AB47" s="118"/>
      <c r="AC47" s="118"/>
      <c r="AD47" s="118"/>
      <c r="AE47" s="118"/>
      <c r="AF47" s="117"/>
      <c r="AG47" s="118">
        <v>5</v>
      </c>
      <c r="AH47" s="116"/>
      <c r="AI47" s="116"/>
      <c r="AJ47" s="120"/>
      <c r="AK47" s="417"/>
      <c r="AL47" s="116"/>
      <c r="AM47" s="116"/>
      <c r="AN47" s="121"/>
      <c r="AO47" s="116"/>
      <c r="AP47" s="116"/>
      <c r="AQ47" s="121"/>
      <c r="AR47" s="116"/>
      <c r="AS47" s="116"/>
      <c r="AT47" s="116"/>
    </row>
    <row r="48" spans="1:46" ht="21.1">
      <c r="A48" s="82" t="s">
        <v>821</v>
      </c>
      <c r="B48" s="508"/>
      <c r="C48" s="214"/>
      <c r="D48" s="595"/>
      <c r="E48" s="602"/>
      <c r="F48" s="617"/>
      <c r="G48" s="621"/>
      <c r="H48" s="96"/>
      <c r="I48" s="96"/>
      <c r="J48" s="104"/>
      <c r="K48" s="75"/>
      <c r="L48" s="75"/>
      <c r="M48" s="75"/>
      <c r="N48" s="75"/>
      <c r="O48" s="96"/>
      <c r="P48" s="105"/>
      <c r="Q48" s="105"/>
      <c r="R48" s="96" t="s">
        <v>367</v>
      </c>
      <c r="S48" s="104"/>
      <c r="T48" s="110"/>
      <c r="U48" s="110"/>
      <c r="V48" s="100"/>
      <c r="W48" s="100"/>
      <c r="X48" s="100"/>
      <c r="Y48" s="110"/>
      <c r="Z48" s="110"/>
      <c r="AA48" s="100"/>
      <c r="AB48" s="109"/>
      <c r="AC48" s="109"/>
      <c r="AD48" s="109"/>
      <c r="AE48" s="109"/>
      <c r="AF48" s="108"/>
      <c r="AG48" s="109"/>
      <c r="AH48" s="100"/>
      <c r="AI48" s="100"/>
      <c r="AJ48" s="110"/>
      <c r="AK48" s="416"/>
      <c r="AL48" s="100"/>
      <c r="AM48" s="100"/>
      <c r="AN48" s="111"/>
      <c r="AO48" s="100"/>
      <c r="AP48" s="100"/>
      <c r="AQ48" s="111"/>
      <c r="AR48" s="100"/>
      <c r="AS48" s="100"/>
      <c r="AT48" s="100"/>
    </row>
    <row r="49" spans="1:46" ht="16.3">
      <c r="A49" s="246" t="s">
        <v>1</v>
      </c>
      <c r="B49" s="509">
        <f>SUM(J49+K49+L49+M49+N49+S49+V49+W49+X49+AA49+AI49+AJ49+AI49+AM49+AP49+AQ49+AS49+AT49+AU49+AV49+AN49)</f>
        <v>0</v>
      </c>
      <c r="C49" s="215">
        <f>B49</f>
        <v>0</v>
      </c>
      <c r="D49" s="596">
        <f>SUM(T49+U49+Y49+Z49+AK49+AL49+AO49+AR49)</f>
        <v>0</v>
      </c>
      <c r="E49" s="604">
        <f>D49</f>
        <v>0</v>
      </c>
      <c r="F49" s="626">
        <v>0</v>
      </c>
      <c r="G49" s="627">
        <v>0</v>
      </c>
      <c r="H49" s="96"/>
      <c r="I49" s="96"/>
      <c r="J49" s="104"/>
      <c r="K49" s="75"/>
      <c r="L49" s="75"/>
      <c r="M49" s="75"/>
      <c r="N49" s="75"/>
      <c r="O49" s="96"/>
      <c r="P49" s="105"/>
      <c r="Q49" s="105"/>
      <c r="R49" s="96">
        <v>1</v>
      </c>
      <c r="S49" s="104"/>
      <c r="T49" s="110"/>
      <c r="U49" s="110"/>
      <c r="V49" s="100"/>
      <c r="W49" s="100"/>
      <c r="X49" s="100"/>
      <c r="Y49" s="110"/>
      <c r="Z49" s="110"/>
      <c r="AA49" s="100"/>
      <c r="AB49" s="109"/>
      <c r="AC49" s="109"/>
      <c r="AD49" s="109"/>
      <c r="AE49" s="109"/>
      <c r="AF49" s="108"/>
      <c r="AG49" s="109"/>
      <c r="AH49" s="100"/>
      <c r="AI49" s="100"/>
      <c r="AJ49" s="110"/>
      <c r="AK49" s="416"/>
      <c r="AL49" s="100"/>
      <c r="AM49" s="100"/>
      <c r="AN49" s="111"/>
      <c r="AO49" s="100"/>
      <c r="AP49" s="100"/>
      <c r="AQ49" s="111"/>
      <c r="AR49" s="100"/>
      <c r="AS49" s="100"/>
      <c r="AT49" s="100"/>
    </row>
    <row r="50" spans="1:46" ht="16.3">
      <c r="A50" s="246" t="s">
        <v>2</v>
      </c>
      <c r="B50" s="509">
        <f>SUM(J50+K50+L50+M50+N50+S50+V50+W50+X50+AA50+AI50+AJ50+AI50+AM50+AP50+AQ50+AS50+AT50+AU50+AV50)</f>
        <v>0</v>
      </c>
      <c r="C50" s="215">
        <f t="shared" ref="C50:C53" si="19">B50</f>
        <v>0</v>
      </c>
      <c r="D50" s="596">
        <f>SUM(T50+U50+Y50+Z50+AK50+AL50+AO50+AR50)</f>
        <v>0</v>
      </c>
      <c r="E50" s="604">
        <f t="shared" ref="E50:E53" si="20">D50</f>
        <v>0</v>
      </c>
      <c r="F50" s="626">
        <v>0</v>
      </c>
      <c r="G50" s="627">
        <v>0</v>
      </c>
      <c r="H50" s="96"/>
      <c r="I50" s="96"/>
      <c r="J50" s="104"/>
      <c r="K50" s="75"/>
      <c r="L50" s="75"/>
      <c r="M50" s="75"/>
      <c r="N50" s="75"/>
      <c r="O50" s="96"/>
      <c r="P50" s="105"/>
      <c r="Q50" s="105"/>
      <c r="R50" s="96"/>
      <c r="S50" s="104"/>
      <c r="T50" s="110"/>
      <c r="U50" s="110"/>
      <c r="V50" s="100"/>
      <c r="W50" s="100"/>
      <c r="X50" s="100"/>
      <c r="Y50" s="110"/>
      <c r="Z50" s="110"/>
      <c r="AA50" s="100"/>
      <c r="AB50" s="109"/>
      <c r="AC50" s="109"/>
      <c r="AD50" s="109"/>
      <c r="AE50" s="109"/>
      <c r="AF50" s="108"/>
      <c r="AG50" s="109"/>
      <c r="AH50" s="100"/>
      <c r="AI50" s="100"/>
      <c r="AJ50" s="110"/>
      <c r="AK50" s="416"/>
      <c r="AL50" s="100"/>
      <c r="AM50" s="100"/>
      <c r="AN50" s="111"/>
      <c r="AO50" s="100"/>
      <c r="AP50" s="100"/>
      <c r="AQ50" s="111"/>
      <c r="AR50" s="100"/>
      <c r="AS50" s="100"/>
      <c r="AT50" s="100"/>
    </row>
    <row r="51" spans="1:46" ht="16.3">
      <c r="A51" s="83" t="s">
        <v>363</v>
      </c>
      <c r="B51" s="508">
        <f>SUM(B49+B50)</f>
        <v>0</v>
      </c>
      <c r="C51" s="214">
        <f t="shared" si="19"/>
        <v>0</v>
      </c>
      <c r="D51" s="595">
        <f>SUM(D49+D50)</f>
        <v>0</v>
      </c>
      <c r="E51" s="602">
        <f t="shared" si="20"/>
        <v>0</v>
      </c>
      <c r="F51" s="617">
        <v>0</v>
      </c>
      <c r="G51" s="621">
        <v>0</v>
      </c>
      <c r="H51" s="96"/>
      <c r="I51" s="96"/>
      <c r="J51" s="104"/>
      <c r="K51" s="75"/>
      <c r="L51" s="75"/>
      <c r="M51" s="75"/>
      <c r="N51" s="75"/>
      <c r="O51" s="96"/>
      <c r="P51" s="105"/>
      <c r="Q51" s="105"/>
      <c r="R51" s="96"/>
      <c r="S51" s="104"/>
      <c r="T51" s="110"/>
      <c r="U51" s="110"/>
      <c r="V51" s="100"/>
      <c r="W51" s="100"/>
      <c r="X51" s="100"/>
      <c r="Y51" s="110"/>
      <c r="Z51" s="110"/>
      <c r="AA51" s="100"/>
      <c r="AB51" s="109"/>
      <c r="AC51" s="109"/>
      <c r="AD51" s="109"/>
      <c r="AE51" s="109"/>
      <c r="AF51" s="108"/>
      <c r="AG51" s="109"/>
      <c r="AH51" s="100"/>
      <c r="AI51" s="100"/>
      <c r="AJ51" s="110"/>
      <c r="AK51" s="416"/>
      <c r="AL51" s="100"/>
      <c r="AM51" s="100"/>
      <c r="AN51" s="111"/>
      <c r="AO51" s="100"/>
      <c r="AP51" s="100"/>
      <c r="AQ51" s="111"/>
      <c r="AR51" s="100"/>
      <c r="AS51" s="100"/>
      <c r="AT51" s="100"/>
    </row>
    <row r="52" spans="1:46" ht="16.3">
      <c r="A52" s="83" t="s">
        <v>3</v>
      </c>
      <c r="B52" s="508">
        <f>SUM(J52+K52+L52+M52+N52+S52+V52+W52+X52+AA52+AI52+AJ52+AI52+AM52+AP52+AQ52+AS52+AT52+AU52+AV52)</f>
        <v>0</v>
      </c>
      <c r="C52" s="214">
        <f t="shared" si="19"/>
        <v>0</v>
      </c>
      <c r="D52" s="595">
        <f t="shared" ref="D52:D53" si="21">SUM(T52+U52+Y52+Z52+AK52+AL52+AO52+AR52)</f>
        <v>0</v>
      </c>
      <c r="E52" s="602">
        <f t="shared" si="20"/>
        <v>0</v>
      </c>
      <c r="F52" s="617">
        <v>0</v>
      </c>
      <c r="G52" s="621">
        <v>0</v>
      </c>
      <c r="H52" s="96"/>
      <c r="I52" s="96"/>
      <c r="J52" s="104"/>
      <c r="K52" s="75"/>
      <c r="L52" s="75"/>
      <c r="M52" s="75"/>
      <c r="N52" s="75"/>
      <c r="O52" s="96"/>
      <c r="P52" s="105"/>
      <c r="Q52" s="105"/>
      <c r="R52" s="96"/>
      <c r="S52" s="104"/>
      <c r="T52" s="110"/>
      <c r="U52" s="110"/>
      <c r="V52" s="100"/>
      <c r="W52" s="100"/>
      <c r="X52" s="100"/>
      <c r="Y52" s="110"/>
      <c r="Z52" s="110"/>
      <c r="AA52" s="100"/>
      <c r="AB52" s="109"/>
      <c r="AC52" s="109"/>
      <c r="AD52" s="109"/>
      <c r="AE52" s="109"/>
      <c r="AF52" s="108"/>
      <c r="AG52" s="109"/>
      <c r="AH52" s="100"/>
      <c r="AI52" s="100"/>
      <c r="AJ52" s="110"/>
      <c r="AK52" s="416"/>
      <c r="AL52" s="100"/>
      <c r="AM52" s="100"/>
      <c r="AN52" s="111"/>
      <c r="AO52" s="100"/>
      <c r="AP52" s="100"/>
      <c r="AQ52" s="111"/>
      <c r="AR52" s="100"/>
      <c r="AS52" s="100"/>
      <c r="AT52" s="100"/>
    </row>
    <row r="53" spans="1:46" ht="17" thickBot="1">
      <c r="A53" s="85" t="s">
        <v>4</v>
      </c>
      <c r="B53" s="510">
        <f>SUM(J53+K53+L53+M53+N53+S53+V53+W53+X53+AA53+AI53+AJ53+AI53+AM53+AP53+AQ53+AS53+AT53+AU53+AV53)</f>
        <v>0</v>
      </c>
      <c r="C53" s="217">
        <f t="shared" si="19"/>
        <v>0</v>
      </c>
      <c r="D53" s="597">
        <f t="shared" si="21"/>
        <v>0</v>
      </c>
      <c r="E53" s="603">
        <f t="shared" si="20"/>
        <v>0</v>
      </c>
      <c r="F53" s="618">
        <v>0</v>
      </c>
      <c r="G53" s="622">
        <v>0</v>
      </c>
      <c r="H53" s="114"/>
      <c r="I53" s="114"/>
      <c r="J53" s="113"/>
      <c r="K53" s="112"/>
      <c r="L53" s="112"/>
      <c r="M53" s="112"/>
      <c r="N53" s="112"/>
      <c r="O53" s="114"/>
      <c r="P53" s="127"/>
      <c r="Q53" s="127"/>
      <c r="R53" s="114"/>
      <c r="S53" s="113"/>
      <c r="T53" s="120"/>
      <c r="U53" s="120"/>
      <c r="V53" s="112"/>
      <c r="W53" s="116"/>
      <c r="X53" s="116"/>
      <c r="Y53" s="120"/>
      <c r="Z53" s="120"/>
      <c r="AA53" s="116"/>
      <c r="AB53" s="118"/>
      <c r="AC53" s="118"/>
      <c r="AD53" s="118"/>
      <c r="AE53" s="118"/>
      <c r="AF53" s="117"/>
      <c r="AG53" s="118"/>
      <c r="AH53" s="116"/>
      <c r="AI53" s="116"/>
      <c r="AJ53" s="120"/>
      <c r="AK53" s="417"/>
      <c r="AL53" s="116"/>
      <c r="AM53" s="116"/>
      <c r="AN53" s="121"/>
      <c r="AO53" s="116"/>
      <c r="AP53" s="116"/>
      <c r="AQ53" s="121"/>
      <c r="AR53" s="116"/>
      <c r="AS53" s="116"/>
      <c r="AT53" s="116"/>
    </row>
    <row r="54" spans="1:46" ht="21.1">
      <c r="A54" s="82" t="s">
        <v>996</v>
      </c>
      <c r="B54" s="508"/>
      <c r="C54" s="214"/>
      <c r="D54" s="595"/>
      <c r="E54" s="602"/>
      <c r="F54" s="617"/>
      <c r="G54" s="621"/>
      <c r="H54" s="96"/>
      <c r="I54" s="96"/>
      <c r="J54" s="104"/>
      <c r="K54" s="75"/>
      <c r="L54" s="75"/>
      <c r="M54" s="75"/>
      <c r="N54" s="75"/>
      <c r="O54" s="96"/>
      <c r="P54" s="105"/>
      <c r="Q54" s="105"/>
      <c r="R54" s="96"/>
      <c r="S54" s="104"/>
      <c r="T54" s="110"/>
      <c r="U54" s="110"/>
      <c r="V54" s="100"/>
      <c r="W54" s="100"/>
      <c r="X54" s="100"/>
      <c r="Y54" s="110"/>
      <c r="Z54" s="110" t="s">
        <v>984</v>
      </c>
      <c r="AA54" s="100" t="s">
        <v>984</v>
      </c>
      <c r="AB54" s="109" t="s">
        <v>432</v>
      </c>
      <c r="AC54" s="109" t="s">
        <v>375</v>
      </c>
      <c r="AD54" s="109"/>
      <c r="AE54" s="109"/>
      <c r="AF54" s="108"/>
      <c r="AG54" s="109"/>
      <c r="AH54" s="100"/>
      <c r="AI54" s="100"/>
      <c r="AJ54" s="110"/>
      <c r="AK54" s="416"/>
      <c r="AL54" s="100"/>
      <c r="AM54" s="100"/>
      <c r="AN54" s="111"/>
      <c r="AO54" s="100"/>
      <c r="AP54" s="100"/>
      <c r="AQ54" s="111"/>
      <c r="AR54" s="100"/>
      <c r="AS54" s="100"/>
      <c r="AT54" s="100"/>
    </row>
    <row r="55" spans="1:46" ht="16.3">
      <c r="A55" s="246" t="s">
        <v>1</v>
      </c>
      <c r="B55" s="508">
        <f>SUM(J55+K55+L55+M55+N55+S55+V55+W55+X55+AA55+AI55+AJ55+AI55+AM55+AP55+AQ55+AS55+AT55+AU55+AV55+AN55)</f>
        <v>0</v>
      </c>
      <c r="C55" s="214">
        <f>B55</f>
        <v>0</v>
      </c>
      <c r="D55" s="595">
        <f>SUM(T55+U55+Y55+Z55+AK55+AL55+AO55+AR55)</f>
        <v>0</v>
      </c>
      <c r="E55" s="602">
        <f>D55</f>
        <v>0</v>
      </c>
      <c r="F55" s="617">
        <v>0</v>
      </c>
      <c r="G55" s="621">
        <v>0</v>
      </c>
      <c r="H55" s="96"/>
      <c r="I55" s="96"/>
      <c r="J55" s="104"/>
      <c r="K55" s="75"/>
      <c r="L55" s="75"/>
      <c r="M55" s="75"/>
      <c r="N55" s="75"/>
      <c r="O55" s="96"/>
      <c r="P55" s="105"/>
      <c r="Q55" s="105"/>
      <c r="R55" s="96"/>
      <c r="S55" s="104"/>
      <c r="T55" s="110"/>
      <c r="U55" s="110"/>
      <c r="V55" s="100"/>
      <c r="W55" s="100"/>
      <c r="X55" s="100"/>
      <c r="Y55" s="110"/>
      <c r="Z55" s="110"/>
      <c r="AA55" s="100"/>
      <c r="AB55" s="109"/>
      <c r="AC55" s="109"/>
      <c r="AD55" s="109"/>
      <c r="AE55" s="109"/>
      <c r="AF55" s="108"/>
      <c r="AG55" s="109"/>
      <c r="AH55" s="100"/>
      <c r="AI55" s="100"/>
      <c r="AJ55" s="110"/>
      <c r="AK55" s="416"/>
      <c r="AL55" s="100"/>
      <c r="AM55" s="100"/>
      <c r="AN55" s="111"/>
      <c r="AO55" s="100"/>
      <c r="AP55" s="100"/>
      <c r="AQ55" s="111"/>
      <c r="AR55" s="100"/>
      <c r="AS55" s="100"/>
      <c r="AT55" s="100"/>
    </row>
    <row r="56" spans="1:46" ht="16.3">
      <c r="A56" s="246" t="s">
        <v>2</v>
      </c>
      <c r="B56" s="508">
        <f>SUM(J56+K56+L56+M56+N56+S56+V56+W56+X56+AA56+AI56+AJ56+AI56+AM56+AP56+AQ56+AS56+AT56+AU56+AV56)</f>
        <v>0</v>
      </c>
      <c r="C56" s="214">
        <f t="shared" ref="C56:C59" si="22">B56</f>
        <v>0</v>
      </c>
      <c r="D56" s="595">
        <f>SUM(T56+U56+Y56+Z56+AK56+AL56+AO56+AR56)</f>
        <v>0</v>
      </c>
      <c r="E56" s="602">
        <f t="shared" ref="E56:E59" si="23">D56</f>
        <v>0</v>
      </c>
      <c r="F56" s="617">
        <v>0</v>
      </c>
      <c r="G56" s="621">
        <v>0</v>
      </c>
      <c r="H56" s="96"/>
      <c r="I56" s="96"/>
      <c r="J56" s="104"/>
      <c r="K56" s="75"/>
      <c r="L56" s="75"/>
      <c r="M56" s="75"/>
      <c r="N56" s="75"/>
      <c r="O56" s="96"/>
      <c r="P56" s="105"/>
      <c r="Q56" s="105"/>
      <c r="R56" s="96"/>
      <c r="S56" s="104"/>
      <c r="T56" s="110"/>
      <c r="U56" s="110"/>
      <c r="V56" s="100"/>
      <c r="W56" s="100"/>
      <c r="X56" s="100"/>
      <c r="Y56" s="110"/>
      <c r="Z56" s="110"/>
      <c r="AA56" s="100"/>
      <c r="AB56" s="109">
        <v>1</v>
      </c>
      <c r="AC56" s="109">
        <v>1</v>
      </c>
      <c r="AD56" s="109"/>
      <c r="AE56" s="109"/>
      <c r="AF56" s="108"/>
      <c r="AG56" s="109"/>
      <c r="AH56" s="100"/>
      <c r="AI56" s="100"/>
      <c r="AJ56" s="110"/>
      <c r="AK56" s="416"/>
      <c r="AL56" s="100"/>
      <c r="AM56" s="100"/>
      <c r="AN56" s="111"/>
      <c r="AO56" s="100"/>
      <c r="AP56" s="100"/>
      <c r="AQ56" s="111"/>
      <c r="AR56" s="100"/>
      <c r="AS56" s="100"/>
      <c r="AT56" s="100"/>
    </row>
    <row r="57" spans="1:46" ht="16.3">
      <c r="A57" s="83" t="s">
        <v>363</v>
      </c>
      <c r="B57" s="508">
        <f>SUM(B55+B56)</f>
        <v>0</v>
      </c>
      <c r="C57" s="214">
        <f t="shared" si="22"/>
        <v>0</v>
      </c>
      <c r="D57" s="595">
        <f>SUM(D55+D56)</f>
        <v>0</v>
      </c>
      <c r="E57" s="602">
        <f t="shared" si="23"/>
        <v>0</v>
      </c>
      <c r="F57" s="617">
        <v>0</v>
      </c>
      <c r="G57" s="621">
        <v>0</v>
      </c>
      <c r="H57" s="96"/>
      <c r="I57" s="96"/>
      <c r="J57" s="104"/>
      <c r="K57" s="75"/>
      <c r="L57" s="75"/>
      <c r="M57" s="75"/>
      <c r="N57" s="75"/>
      <c r="O57" s="96"/>
      <c r="P57" s="105"/>
      <c r="Q57" s="105"/>
      <c r="R57" s="96"/>
      <c r="S57" s="104"/>
      <c r="T57" s="110"/>
      <c r="U57" s="110"/>
      <c r="V57" s="100"/>
      <c r="W57" s="100"/>
      <c r="X57" s="100"/>
      <c r="Y57" s="110"/>
      <c r="Z57" s="110"/>
      <c r="AA57" s="100"/>
      <c r="AB57" s="109"/>
      <c r="AC57" s="109"/>
      <c r="AD57" s="109"/>
      <c r="AE57" s="109"/>
      <c r="AF57" s="108"/>
      <c r="AG57" s="109"/>
      <c r="AH57" s="100"/>
      <c r="AI57" s="100"/>
      <c r="AJ57" s="110"/>
      <c r="AK57" s="416"/>
      <c r="AL57" s="100"/>
      <c r="AM57" s="100"/>
      <c r="AN57" s="111"/>
      <c r="AO57" s="100"/>
      <c r="AP57" s="100"/>
      <c r="AQ57" s="111"/>
      <c r="AR57" s="100"/>
      <c r="AS57" s="100"/>
      <c r="AT57" s="100"/>
    </row>
    <row r="58" spans="1:46" ht="16.3">
      <c r="A58" s="83" t="s">
        <v>3</v>
      </c>
      <c r="B58" s="508">
        <f>SUM(J58+K58+L58+M58+N58+S58+V58+W58+X58+AA58+AI58+AJ58+AI58+AM58+AP58+AQ58+AS58+AT58+AU58+AV58)</f>
        <v>0</v>
      </c>
      <c r="C58" s="214">
        <f t="shared" si="22"/>
        <v>0</v>
      </c>
      <c r="D58" s="595">
        <f t="shared" ref="D58:D59" si="24">SUM(T58+U58+Y58+Z58+AK58+AL58+AO58+AR58)</f>
        <v>0</v>
      </c>
      <c r="E58" s="602">
        <f t="shared" si="23"/>
        <v>0</v>
      </c>
      <c r="F58" s="617">
        <v>0</v>
      </c>
      <c r="G58" s="621">
        <v>0</v>
      </c>
      <c r="H58" s="96"/>
      <c r="I58" s="96"/>
      <c r="J58" s="104"/>
      <c r="K58" s="75"/>
      <c r="L58" s="75"/>
      <c r="M58" s="75"/>
      <c r="N58" s="75"/>
      <c r="O58" s="96"/>
      <c r="P58" s="105"/>
      <c r="Q58" s="105"/>
      <c r="R58" s="96"/>
      <c r="S58" s="104"/>
      <c r="T58" s="110"/>
      <c r="U58" s="110"/>
      <c r="V58" s="100"/>
      <c r="W58" s="100"/>
      <c r="X58" s="100"/>
      <c r="Y58" s="110"/>
      <c r="Z58" s="110"/>
      <c r="AA58" s="100"/>
      <c r="AB58" s="109"/>
      <c r="AC58" s="109"/>
      <c r="AD58" s="109"/>
      <c r="AE58" s="109"/>
      <c r="AF58" s="108"/>
      <c r="AG58" s="109"/>
      <c r="AH58" s="100"/>
      <c r="AI58" s="100"/>
      <c r="AJ58" s="110"/>
      <c r="AK58" s="416"/>
      <c r="AL58" s="100"/>
      <c r="AM58" s="100"/>
      <c r="AN58" s="111"/>
      <c r="AO58" s="100"/>
      <c r="AP58" s="100"/>
      <c r="AQ58" s="111"/>
      <c r="AR58" s="100"/>
      <c r="AS58" s="100"/>
      <c r="AT58" s="100"/>
    </row>
    <row r="59" spans="1:46" ht="17" thickBot="1">
      <c r="A59" s="85" t="s">
        <v>4</v>
      </c>
      <c r="B59" s="510">
        <f>SUM(J59+K59+L59+M59+N59+S59+V59+W59+X59+AA59+AI59+AJ59+AI59+AM59+AP59+AQ59+AS59+AT59+AU59+AV59)</f>
        <v>0</v>
      </c>
      <c r="C59" s="217">
        <f t="shared" si="22"/>
        <v>0</v>
      </c>
      <c r="D59" s="597">
        <f t="shared" si="24"/>
        <v>0</v>
      </c>
      <c r="E59" s="603">
        <f t="shared" si="23"/>
        <v>0</v>
      </c>
      <c r="F59" s="618">
        <v>0</v>
      </c>
      <c r="G59" s="622">
        <v>0</v>
      </c>
      <c r="H59" s="114"/>
      <c r="I59" s="114"/>
      <c r="J59" s="113"/>
      <c r="K59" s="112"/>
      <c r="L59" s="112"/>
      <c r="M59" s="112"/>
      <c r="N59" s="112"/>
      <c r="O59" s="114"/>
      <c r="P59" s="127"/>
      <c r="Q59" s="127"/>
      <c r="R59" s="114"/>
      <c r="S59" s="113"/>
      <c r="T59" s="120"/>
      <c r="U59" s="120"/>
      <c r="V59" s="116"/>
      <c r="W59" s="116"/>
      <c r="X59" s="116"/>
      <c r="Y59" s="120"/>
      <c r="Z59" s="120"/>
      <c r="AA59" s="116"/>
      <c r="AB59" s="118"/>
      <c r="AC59" s="118"/>
      <c r="AD59" s="118"/>
      <c r="AE59" s="118"/>
      <c r="AF59" s="117"/>
      <c r="AG59" s="118"/>
      <c r="AH59" s="116"/>
      <c r="AI59" s="116"/>
      <c r="AJ59" s="120"/>
      <c r="AK59" s="417"/>
      <c r="AL59" s="116"/>
      <c r="AM59" s="116"/>
      <c r="AN59" s="121"/>
      <c r="AO59" s="116"/>
      <c r="AP59" s="116"/>
      <c r="AQ59" s="121"/>
      <c r="AR59" s="116"/>
      <c r="AS59" s="116"/>
      <c r="AT59" s="116"/>
    </row>
    <row r="60" spans="1:46" ht="21.1">
      <c r="A60" s="82" t="s">
        <v>656</v>
      </c>
      <c r="B60" s="508"/>
      <c r="C60" s="214"/>
      <c r="D60" s="595"/>
      <c r="E60" s="602"/>
      <c r="F60" s="617"/>
      <c r="G60" s="621"/>
      <c r="H60" s="96"/>
      <c r="I60" s="96" t="s">
        <v>438</v>
      </c>
      <c r="J60" s="104"/>
      <c r="K60" s="75"/>
      <c r="L60" s="75"/>
      <c r="M60" s="75"/>
      <c r="N60" s="75"/>
      <c r="O60" s="96" t="s">
        <v>375</v>
      </c>
      <c r="P60" s="105"/>
      <c r="Q60" s="105"/>
      <c r="R60" s="96">
        <v>14</v>
      </c>
      <c r="S60" s="104"/>
      <c r="T60" s="110"/>
      <c r="U60" s="110"/>
      <c r="V60" s="100"/>
      <c r="W60" s="100"/>
      <c r="X60" s="100"/>
      <c r="Y60" s="110"/>
      <c r="Z60" s="110" t="s">
        <v>375</v>
      </c>
      <c r="AA60" s="100"/>
      <c r="AB60" s="109" t="s">
        <v>367</v>
      </c>
      <c r="AC60" s="109">
        <v>11</v>
      </c>
      <c r="AD60" s="109">
        <v>14</v>
      </c>
      <c r="AE60" s="109">
        <v>14</v>
      </c>
      <c r="AF60" s="108"/>
      <c r="AG60" s="109"/>
      <c r="AH60" s="100"/>
      <c r="AI60" s="100"/>
      <c r="AJ60" s="110"/>
      <c r="AK60" s="416"/>
      <c r="AL60" s="100"/>
      <c r="AM60" s="100"/>
      <c r="AN60" s="111"/>
      <c r="AO60" s="100"/>
      <c r="AP60" s="100"/>
      <c r="AQ60" s="111"/>
      <c r="AR60" s="100"/>
      <c r="AS60" s="100"/>
      <c r="AT60" s="100"/>
    </row>
    <row r="61" spans="1:46" ht="16.3">
      <c r="A61" s="246" t="s">
        <v>1</v>
      </c>
      <c r="B61" s="509">
        <f>SUM(J61+K61+L61+M61+N61+S61+V61+W61+X61+AA61+AI61+AJ61+AI61+AM61+AP61+AQ61+AS61+AT61+AU61+AV61+AN61)</f>
        <v>0</v>
      </c>
      <c r="C61" s="215">
        <f>B61</f>
        <v>0</v>
      </c>
      <c r="D61" s="596">
        <f>SUM(T61+U61+Y61+Z61+AK61+AL61+AO61+AR61)</f>
        <v>0</v>
      </c>
      <c r="E61" s="604">
        <f>D61</f>
        <v>0</v>
      </c>
      <c r="F61" s="626">
        <v>0</v>
      </c>
      <c r="G61" s="627">
        <v>0</v>
      </c>
      <c r="H61" s="96"/>
      <c r="I61" s="96">
        <v>1</v>
      </c>
      <c r="J61" s="104"/>
      <c r="K61" s="75"/>
      <c r="L61" s="75"/>
      <c r="M61" s="75"/>
      <c r="N61" s="75"/>
      <c r="O61" s="96"/>
      <c r="P61" s="105"/>
      <c r="Q61" s="105"/>
      <c r="R61" s="96">
        <v>1</v>
      </c>
      <c r="S61" s="104"/>
      <c r="T61" s="110"/>
      <c r="U61" s="110"/>
      <c r="V61" s="100"/>
      <c r="W61" s="100"/>
      <c r="X61" s="100"/>
      <c r="Y61" s="110"/>
      <c r="Z61" s="110"/>
      <c r="AA61" s="100"/>
      <c r="AB61" s="109">
        <v>1</v>
      </c>
      <c r="AC61" s="109">
        <v>1</v>
      </c>
      <c r="AD61" s="109">
        <v>1</v>
      </c>
      <c r="AE61" s="109">
        <v>1</v>
      </c>
      <c r="AF61" s="108"/>
      <c r="AG61" s="109"/>
      <c r="AH61" s="100"/>
      <c r="AI61" s="100"/>
      <c r="AJ61" s="110"/>
      <c r="AK61" s="416"/>
      <c r="AL61" s="100"/>
      <c r="AM61" s="100"/>
      <c r="AN61" s="111"/>
      <c r="AO61" s="100"/>
      <c r="AP61" s="100"/>
      <c r="AQ61" s="111"/>
      <c r="AR61" s="100"/>
      <c r="AS61" s="100"/>
      <c r="AT61" s="100"/>
    </row>
    <row r="62" spans="1:46" ht="16.3">
      <c r="A62" s="246" t="s">
        <v>2</v>
      </c>
      <c r="B62" s="509">
        <f>SUM(J62+K62+L62+M62+N62+S62+V62+W62+X62+AA62+AI62+AJ62+AI62+AM62+AP62+AQ62+AS62+AT62+AU62+AV62)</f>
        <v>0</v>
      </c>
      <c r="C62" s="215">
        <f t="shared" ref="C62:C65" si="25">B62</f>
        <v>0</v>
      </c>
      <c r="D62" s="596">
        <f>SUM(T62+U62+Y62+Z62+AK62+AL62+AO62+AR62)</f>
        <v>1</v>
      </c>
      <c r="E62" s="604">
        <f t="shared" ref="E62:E65" si="26">D62</f>
        <v>1</v>
      </c>
      <c r="F62" s="626">
        <v>0</v>
      </c>
      <c r="G62" s="627">
        <v>0</v>
      </c>
      <c r="H62" s="96"/>
      <c r="I62" s="96"/>
      <c r="J62" s="104"/>
      <c r="K62" s="75"/>
      <c r="L62" s="75"/>
      <c r="M62" s="75"/>
      <c r="N62" s="75"/>
      <c r="O62" s="96">
        <v>1</v>
      </c>
      <c r="P62" s="105"/>
      <c r="Q62" s="105"/>
      <c r="R62" s="96"/>
      <c r="S62" s="104"/>
      <c r="T62" s="110"/>
      <c r="U62" s="110"/>
      <c r="V62" s="100"/>
      <c r="W62" s="100"/>
      <c r="X62" s="100"/>
      <c r="Y62" s="110"/>
      <c r="Z62" s="110">
        <v>1</v>
      </c>
      <c r="AA62" s="100"/>
      <c r="AB62" s="109"/>
      <c r="AC62" s="109"/>
      <c r="AD62" s="109"/>
      <c r="AE62" s="109"/>
      <c r="AF62" s="108"/>
      <c r="AG62" s="109"/>
      <c r="AH62" s="100"/>
      <c r="AI62" s="100"/>
      <c r="AJ62" s="110"/>
      <c r="AK62" s="416"/>
      <c r="AL62" s="100"/>
      <c r="AM62" s="100"/>
      <c r="AN62" s="111"/>
      <c r="AO62" s="100"/>
      <c r="AP62" s="100"/>
      <c r="AQ62" s="111"/>
      <c r="AR62" s="100"/>
      <c r="AS62" s="100"/>
      <c r="AT62" s="100"/>
    </row>
    <row r="63" spans="1:46" ht="16.3">
      <c r="A63" s="83" t="s">
        <v>363</v>
      </c>
      <c r="B63" s="508">
        <f>SUM(B61+B62)</f>
        <v>0</v>
      </c>
      <c r="C63" s="214">
        <f t="shared" si="25"/>
        <v>0</v>
      </c>
      <c r="D63" s="595">
        <f>SUM(D61+D62)</f>
        <v>1</v>
      </c>
      <c r="E63" s="602">
        <f t="shared" si="26"/>
        <v>1</v>
      </c>
      <c r="F63" s="617">
        <v>0</v>
      </c>
      <c r="G63" s="621">
        <v>0</v>
      </c>
      <c r="H63" s="96"/>
      <c r="I63" s="96"/>
      <c r="J63" s="104"/>
      <c r="K63" s="75"/>
      <c r="L63" s="75"/>
      <c r="M63" s="75"/>
      <c r="N63" s="75"/>
      <c r="O63" s="96"/>
      <c r="P63" s="105"/>
      <c r="Q63" s="105"/>
      <c r="R63" s="96"/>
      <c r="S63" s="104"/>
      <c r="T63" s="110"/>
      <c r="U63" s="110"/>
      <c r="V63" s="100"/>
      <c r="W63" s="100"/>
      <c r="X63" s="100"/>
      <c r="Y63" s="110"/>
      <c r="Z63" s="110"/>
      <c r="AA63" s="100"/>
      <c r="AB63" s="109"/>
      <c r="AC63" s="109"/>
      <c r="AD63" s="109"/>
      <c r="AE63" s="109"/>
      <c r="AF63" s="108"/>
      <c r="AG63" s="109"/>
      <c r="AH63" s="100"/>
      <c r="AI63" s="100"/>
      <c r="AJ63" s="110"/>
      <c r="AK63" s="416"/>
      <c r="AL63" s="100"/>
      <c r="AM63" s="100"/>
      <c r="AN63" s="111"/>
      <c r="AO63" s="100"/>
      <c r="AP63" s="100"/>
      <c r="AQ63" s="111"/>
      <c r="AR63" s="100"/>
      <c r="AS63" s="100"/>
      <c r="AT63" s="100"/>
    </row>
    <row r="64" spans="1:46" ht="16.3">
      <c r="A64" s="83" t="s">
        <v>3</v>
      </c>
      <c r="B64" s="508">
        <f>SUM(J64+K64+L64+M64+N64+S64+V64+W64+X64+AA64+AI64+AJ64+AI64+AM64+AP64+AQ64+AS64+AT64+AU64+AV64)</f>
        <v>0</v>
      </c>
      <c r="C64" s="214">
        <f t="shared" si="25"/>
        <v>0</v>
      </c>
      <c r="D64" s="595">
        <f t="shared" ref="D64:D65" si="27">SUM(T64+U64+Y64+Z64+AK64+AL64+AO64+AR64)</f>
        <v>0</v>
      </c>
      <c r="E64" s="602">
        <f t="shared" si="26"/>
        <v>0</v>
      </c>
      <c r="F64" s="617">
        <v>0</v>
      </c>
      <c r="G64" s="621">
        <v>0</v>
      </c>
      <c r="H64" s="96"/>
      <c r="I64" s="96">
        <v>1</v>
      </c>
      <c r="J64" s="104"/>
      <c r="K64" s="75"/>
      <c r="L64" s="75"/>
      <c r="M64" s="75"/>
      <c r="N64" s="75"/>
      <c r="O64" s="96"/>
      <c r="P64" s="105"/>
      <c r="Q64" s="105"/>
      <c r="R64" s="96"/>
      <c r="S64" s="104"/>
      <c r="T64" s="110"/>
      <c r="U64" s="110"/>
      <c r="V64" s="100"/>
      <c r="W64" s="100"/>
      <c r="X64" s="100"/>
      <c r="Y64" s="110"/>
      <c r="Z64" s="110"/>
      <c r="AA64" s="100"/>
      <c r="AB64" s="109"/>
      <c r="AC64" s="109"/>
      <c r="AD64" s="109"/>
      <c r="AE64" s="109">
        <v>1</v>
      </c>
      <c r="AF64" s="108"/>
      <c r="AG64" s="109"/>
      <c r="AH64" s="100"/>
      <c r="AI64" s="100"/>
      <c r="AJ64" s="110"/>
      <c r="AK64" s="416"/>
      <c r="AL64" s="100"/>
      <c r="AM64" s="100"/>
      <c r="AN64" s="111"/>
      <c r="AO64" s="100"/>
      <c r="AP64" s="100"/>
      <c r="AQ64" s="111"/>
      <c r="AR64" s="100"/>
      <c r="AS64" s="100"/>
      <c r="AT64" s="100"/>
    </row>
    <row r="65" spans="1:46" ht="17" thickBot="1">
      <c r="A65" s="85" t="s">
        <v>4</v>
      </c>
      <c r="B65" s="510">
        <f>SUM(J65+K65+L65+M65+N65+S65+V65+W65+X65+AA65+AI65+AJ65+AI65+AM65+AP65+AQ65+AS65+AT65+AU65+AV65)</f>
        <v>0</v>
      </c>
      <c r="C65" s="217">
        <f t="shared" si="25"/>
        <v>0</v>
      </c>
      <c r="D65" s="597">
        <f t="shared" si="27"/>
        <v>0</v>
      </c>
      <c r="E65" s="603">
        <f t="shared" si="26"/>
        <v>0</v>
      </c>
      <c r="F65" s="618">
        <v>0</v>
      </c>
      <c r="G65" s="622">
        <v>0</v>
      </c>
      <c r="H65" s="114"/>
      <c r="I65" s="114">
        <v>5</v>
      </c>
      <c r="J65" s="113"/>
      <c r="K65" s="112"/>
      <c r="L65" s="112"/>
      <c r="M65" s="112"/>
      <c r="N65" s="112"/>
      <c r="O65" s="114"/>
      <c r="P65" s="127"/>
      <c r="Q65" s="127"/>
      <c r="R65" s="114"/>
      <c r="S65" s="113"/>
      <c r="T65" s="120"/>
      <c r="U65" s="120"/>
      <c r="V65" s="112"/>
      <c r="W65" s="116"/>
      <c r="X65" s="116"/>
      <c r="Y65" s="120"/>
      <c r="Z65" s="120"/>
      <c r="AA65" s="116"/>
      <c r="AB65" s="118"/>
      <c r="AC65" s="118"/>
      <c r="AD65" s="118"/>
      <c r="AE65" s="118">
        <v>5</v>
      </c>
      <c r="AF65" s="117"/>
      <c r="AG65" s="118"/>
      <c r="AH65" s="116"/>
      <c r="AI65" s="116"/>
      <c r="AJ65" s="120"/>
      <c r="AK65" s="417"/>
      <c r="AL65" s="116"/>
      <c r="AM65" s="116"/>
      <c r="AN65" s="121"/>
      <c r="AO65" s="116"/>
      <c r="AP65" s="116"/>
      <c r="AQ65" s="121"/>
      <c r="AR65" s="116"/>
      <c r="AS65" s="116"/>
      <c r="AT65" s="116"/>
    </row>
    <row r="66" spans="1:46" ht="21.1">
      <c r="A66" s="82" t="s">
        <v>273</v>
      </c>
      <c r="B66" s="508"/>
      <c r="C66" s="214"/>
      <c r="D66" s="595"/>
      <c r="E66" s="602"/>
      <c r="F66" s="617"/>
      <c r="G66" s="621"/>
      <c r="H66" s="96" t="s">
        <v>701</v>
      </c>
      <c r="I66" s="96" t="s">
        <v>701</v>
      </c>
      <c r="J66" s="122" t="s">
        <v>375</v>
      </c>
      <c r="K66" s="122">
        <v>13</v>
      </c>
      <c r="L66" s="122" t="s">
        <v>381</v>
      </c>
      <c r="M66" s="104" t="s">
        <v>377</v>
      </c>
      <c r="N66" s="75">
        <v>12</v>
      </c>
      <c r="O66" s="96" t="s">
        <v>0</v>
      </c>
      <c r="P66" s="105"/>
      <c r="Q66" s="105"/>
      <c r="R66" s="96" t="s">
        <v>701</v>
      </c>
      <c r="S66" s="104"/>
      <c r="T66" s="110" t="s">
        <v>375</v>
      </c>
      <c r="U66" s="110" t="s">
        <v>381</v>
      </c>
      <c r="V66" s="100" t="s">
        <v>716</v>
      </c>
      <c r="W66" s="100" t="s">
        <v>381</v>
      </c>
      <c r="X66" s="100" t="s">
        <v>339</v>
      </c>
      <c r="Y66" s="110" t="s">
        <v>339</v>
      </c>
      <c r="Z66" s="110" t="s">
        <v>339</v>
      </c>
      <c r="AA66" s="100" t="s">
        <v>339</v>
      </c>
      <c r="AB66" s="109" t="s">
        <v>339</v>
      </c>
      <c r="AC66" s="109" t="s">
        <v>339</v>
      </c>
      <c r="AD66" s="109" t="s">
        <v>339</v>
      </c>
      <c r="AE66" s="109" t="s">
        <v>339</v>
      </c>
      <c r="AF66" s="108"/>
      <c r="AG66" s="109" t="s">
        <v>339</v>
      </c>
      <c r="AH66" s="100"/>
      <c r="AI66" s="100"/>
      <c r="AJ66" s="110"/>
      <c r="AK66" s="416"/>
      <c r="AL66" s="100"/>
      <c r="AM66" s="100"/>
      <c r="AN66" s="111"/>
      <c r="AO66" s="100"/>
      <c r="AP66" s="100"/>
      <c r="AQ66" s="111"/>
      <c r="AR66" s="100"/>
      <c r="AS66" s="100"/>
      <c r="AT66" s="100"/>
    </row>
    <row r="67" spans="1:46" ht="16.3">
      <c r="A67" s="246" t="s">
        <v>1</v>
      </c>
      <c r="B67" s="509">
        <f>SUM(J67+K67+L67+M67+N67+S67+V67+W67+X67+AA67+AI67+AJ67+AI67+AM67+AP67+AQ67+AS67+AT67+AU67+AV67+AN67)+24</f>
        <v>30</v>
      </c>
      <c r="C67" s="215">
        <f>SUM(J67+K67+L67+M67+N67+S67+W67+X67+V67+AA67+AJ67+AI67+AJ67+AN67+AQ67+AM67+AT67+AU67+AV67+AW67+AP67+AS67)+34</f>
        <v>40</v>
      </c>
      <c r="D67" s="596">
        <f>SUM(T67+U67+Y67+Z67+AK67+AL67+AO67+AR67)+8</f>
        <v>9</v>
      </c>
      <c r="E67" s="602">
        <f>SUM(U67+T67+Z67+Y67+AL67+AK67+AO67+AR67)+9</f>
        <v>10</v>
      </c>
      <c r="F67" s="617">
        <v>0</v>
      </c>
      <c r="G67" s="621">
        <v>0</v>
      </c>
      <c r="H67" s="96"/>
      <c r="I67" s="96"/>
      <c r="J67" s="104"/>
      <c r="K67" s="75">
        <v>1</v>
      </c>
      <c r="L67" s="75">
        <v>1</v>
      </c>
      <c r="M67" s="75">
        <v>1</v>
      </c>
      <c r="N67" s="75">
        <v>1</v>
      </c>
      <c r="O67" s="96"/>
      <c r="P67" s="105"/>
      <c r="Q67" s="105"/>
      <c r="R67" s="96"/>
      <c r="S67" s="104"/>
      <c r="T67" s="110"/>
      <c r="U67" s="110">
        <v>1</v>
      </c>
      <c r="V67" s="100">
        <v>1</v>
      </c>
      <c r="W67" s="100">
        <v>1</v>
      </c>
      <c r="X67" s="100"/>
      <c r="Y67" s="110"/>
      <c r="Z67" s="110"/>
      <c r="AA67" s="100"/>
      <c r="AB67" s="109"/>
      <c r="AC67" s="109"/>
      <c r="AD67" s="109"/>
      <c r="AE67" s="109"/>
      <c r="AF67" s="108"/>
      <c r="AG67" s="109"/>
      <c r="AH67" s="100"/>
      <c r="AI67" s="100"/>
      <c r="AJ67" s="110"/>
      <c r="AK67" s="416"/>
      <c r="AL67" s="100"/>
      <c r="AM67" s="100"/>
      <c r="AN67" s="111"/>
      <c r="AO67" s="100"/>
      <c r="AP67" s="100"/>
      <c r="AQ67" s="111"/>
      <c r="AR67" s="100"/>
      <c r="AS67" s="100"/>
      <c r="AT67" s="100"/>
    </row>
    <row r="68" spans="1:46" ht="16.3">
      <c r="A68" s="246" t="s">
        <v>2</v>
      </c>
      <c r="B68" s="509">
        <f>SUM(J68+K68+L68+M68+N68+S68+V68+W68+X68+AA68+AI68+AJ68+AI68+AM68+AP68+AQ68+AS68+AT68+AU68+AV68)+5</f>
        <v>6</v>
      </c>
      <c r="C68" s="215">
        <f>SUM(J68+K68+L68+M68+N68+S68+W68+X68+V68+AA68+AJ68+AI68+AJ68+AN68+AQ68+AM68+AT68+AU68+AV68+AW68+AP68+AS68)+8</f>
        <v>9</v>
      </c>
      <c r="D68" s="596">
        <f>SUM(T68+U68+Y68+Z68+AK68+AL68+AO68+AR68)+2</f>
        <v>3</v>
      </c>
      <c r="E68" s="602">
        <f>SUM(U68+V68+Z68+AA68+AL68+AM68+AP68+AS68)+5</f>
        <v>5</v>
      </c>
      <c r="F68" s="617">
        <v>0</v>
      </c>
      <c r="G68" s="621">
        <v>0</v>
      </c>
      <c r="H68" s="96"/>
      <c r="I68" s="96"/>
      <c r="J68" s="104">
        <v>1</v>
      </c>
      <c r="K68" s="75"/>
      <c r="L68" s="75"/>
      <c r="M68" s="75"/>
      <c r="N68" s="75"/>
      <c r="O68" s="96"/>
      <c r="P68" s="105"/>
      <c r="Q68" s="105"/>
      <c r="R68" s="96"/>
      <c r="S68" s="104"/>
      <c r="T68" s="110">
        <v>1</v>
      </c>
      <c r="U68" s="110"/>
      <c r="V68" s="100"/>
      <c r="W68" s="100"/>
      <c r="X68" s="100"/>
      <c r="Y68" s="110"/>
      <c r="Z68" s="110"/>
      <c r="AA68" s="100"/>
      <c r="AB68" s="109"/>
      <c r="AC68" s="109"/>
      <c r="AD68" s="109"/>
      <c r="AE68" s="109"/>
      <c r="AF68" s="108"/>
      <c r="AG68" s="109"/>
      <c r="AH68" s="100"/>
      <c r="AI68" s="100"/>
      <c r="AJ68" s="110"/>
      <c r="AK68" s="416"/>
      <c r="AL68" s="100"/>
      <c r="AM68" s="100"/>
      <c r="AN68" s="111"/>
      <c r="AO68" s="100"/>
      <c r="AP68" s="100"/>
      <c r="AQ68" s="111"/>
      <c r="AR68" s="100"/>
      <c r="AS68" s="100"/>
      <c r="AT68" s="100"/>
    </row>
    <row r="69" spans="1:46" ht="16.3">
      <c r="A69" s="83" t="s">
        <v>363</v>
      </c>
      <c r="B69" s="508">
        <f>SUM(B67+B68)</f>
        <v>36</v>
      </c>
      <c r="C69" s="214">
        <f>SUM(C67+C68)</f>
        <v>49</v>
      </c>
      <c r="D69" s="595">
        <f>SUM(D67+D68)</f>
        <v>12</v>
      </c>
      <c r="E69" s="602">
        <f>SUM(E67+E68)</f>
        <v>15</v>
      </c>
      <c r="F69" s="617">
        <v>0</v>
      </c>
      <c r="G69" s="621">
        <v>0</v>
      </c>
      <c r="H69" s="96"/>
      <c r="I69" s="96"/>
      <c r="J69" s="104"/>
      <c r="K69" s="75"/>
      <c r="L69" s="75"/>
      <c r="M69" s="75"/>
      <c r="N69" s="75"/>
      <c r="O69" s="96"/>
      <c r="P69" s="105"/>
      <c r="Q69" s="105"/>
      <c r="R69" s="96"/>
      <c r="S69" s="104"/>
      <c r="T69" s="110"/>
      <c r="U69" s="110"/>
      <c r="V69" s="100"/>
      <c r="W69" s="100"/>
      <c r="X69" s="100"/>
      <c r="Y69" s="110"/>
      <c r="Z69" s="110"/>
      <c r="AA69" s="100"/>
      <c r="AB69" s="109"/>
      <c r="AC69" s="109"/>
      <c r="AD69" s="109"/>
      <c r="AE69" s="109"/>
      <c r="AF69" s="108"/>
      <c r="AG69" s="109"/>
      <c r="AH69" s="100"/>
      <c r="AI69" s="100"/>
      <c r="AJ69" s="110"/>
      <c r="AK69" s="416"/>
      <c r="AL69" s="100"/>
      <c r="AM69" s="100"/>
      <c r="AN69" s="111"/>
      <c r="AO69" s="100"/>
      <c r="AP69" s="100"/>
      <c r="AQ69" s="111"/>
      <c r="AR69" s="100"/>
      <c r="AS69" s="100"/>
      <c r="AT69" s="100"/>
    </row>
    <row r="70" spans="1:46" ht="16.3">
      <c r="A70" s="246" t="s">
        <v>362</v>
      </c>
      <c r="B70" s="509">
        <f>SUM(J70+K70+L70+M70+N70+S70+V70+W70+X70+AA70+AI70+AJ70+AI70+AM70+AP70+AQ70+AS70+AT70+AU70+AV70+AN70)+2</f>
        <v>2</v>
      </c>
      <c r="C70" s="215">
        <f>SUM(J70+K70+L70+M70+N70+S70+W70+X70+V70+AA70+AJ70+AI70+AJ70+AN70+AQ70+AM70+AT70+AU70+AV70+AW70+AP70+AS70)+2</f>
        <v>2</v>
      </c>
      <c r="D70" s="596">
        <f>SUM(T70+U70+Y70+Z70+AK70+AL70+AO70+AR70)</f>
        <v>0</v>
      </c>
      <c r="E70" s="604">
        <f t="shared" ref="E70" si="28">SUM(U70+V70+Z70+AA70+AL70+AM70+AP70+AS70)</f>
        <v>0</v>
      </c>
      <c r="F70" s="626">
        <v>0</v>
      </c>
      <c r="G70" s="627">
        <v>0</v>
      </c>
      <c r="H70" s="96"/>
      <c r="I70" s="96"/>
      <c r="J70" s="104"/>
      <c r="K70" s="75"/>
      <c r="L70" s="75"/>
      <c r="M70" s="75"/>
      <c r="N70" s="75"/>
      <c r="O70" s="96"/>
      <c r="P70" s="105"/>
      <c r="Q70" s="105"/>
      <c r="R70" s="96"/>
      <c r="S70" s="104"/>
      <c r="T70" s="110"/>
      <c r="U70" s="110"/>
      <c r="V70" s="100"/>
      <c r="W70" s="100"/>
      <c r="X70" s="100"/>
      <c r="Y70" s="110"/>
      <c r="Z70" s="110"/>
      <c r="AA70" s="100"/>
      <c r="AB70" s="109"/>
      <c r="AC70" s="109"/>
      <c r="AD70" s="109"/>
      <c r="AE70" s="109"/>
      <c r="AF70" s="108"/>
      <c r="AG70" s="109"/>
      <c r="AH70" s="100"/>
      <c r="AI70" s="100"/>
      <c r="AJ70" s="110"/>
      <c r="AK70" s="416"/>
      <c r="AL70" s="100"/>
      <c r="AM70" s="100"/>
      <c r="AN70" s="111"/>
      <c r="AO70" s="100"/>
      <c r="AP70" s="100"/>
      <c r="AQ70" s="111"/>
      <c r="AR70" s="100"/>
      <c r="AS70" s="100"/>
      <c r="AT70" s="100"/>
    </row>
    <row r="71" spans="1:46" ht="16.3">
      <c r="A71" s="246" t="s">
        <v>364</v>
      </c>
      <c r="B71" s="509">
        <f>SUM(J71+K71+L71+M71+N71+S71+V71+W71+X71+AA71+AI71+AJ71+AI71+AM71+AP71+AQ71+AS71+AT71+AU71+AV71+AN71)+2</f>
        <v>2</v>
      </c>
      <c r="C71" s="215">
        <f>SUM(J71+K71+L71+M71+N71+S71+W71+X71+V71+AA71+AJ71+AI71+AJ71+AN71+AQ71+AM71+AT71+AU71+AV71+AW71+AP71+AS71)+2</f>
        <v>2</v>
      </c>
      <c r="D71" s="596">
        <f>SUM(T71+U71+Y71+Z71+AK71+AL71+AO71+AR71)</f>
        <v>0</v>
      </c>
      <c r="E71" s="604">
        <f>SUM(U71+V71+Z71+AA71+AL71+AM71+AP71+AS71)</f>
        <v>0</v>
      </c>
      <c r="F71" s="626">
        <v>0</v>
      </c>
      <c r="G71" s="627">
        <v>0</v>
      </c>
      <c r="H71" s="96"/>
      <c r="I71" s="96"/>
      <c r="J71" s="104"/>
      <c r="K71" s="75"/>
      <c r="L71" s="75"/>
      <c r="M71" s="75"/>
      <c r="N71" s="75"/>
      <c r="O71" s="96"/>
      <c r="P71" s="105"/>
      <c r="Q71" s="105"/>
      <c r="R71" s="96"/>
      <c r="S71" s="104"/>
      <c r="T71" s="110"/>
      <c r="U71" s="110"/>
      <c r="V71" s="100"/>
      <c r="W71" s="100"/>
      <c r="X71" s="100"/>
      <c r="Y71" s="110"/>
      <c r="Z71" s="110"/>
      <c r="AA71" s="100"/>
      <c r="AB71" s="109"/>
      <c r="AC71" s="109"/>
      <c r="AD71" s="109"/>
      <c r="AE71" s="109"/>
      <c r="AF71" s="108"/>
      <c r="AG71" s="109"/>
      <c r="AH71" s="100"/>
      <c r="AI71" s="100"/>
      <c r="AJ71" s="110"/>
      <c r="AK71" s="416"/>
      <c r="AL71" s="100"/>
      <c r="AM71" s="100"/>
      <c r="AN71" s="111"/>
      <c r="AO71" s="100"/>
      <c r="AP71" s="100"/>
      <c r="AQ71" s="111"/>
      <c r="AR71" s="100"/>
      <c r="AS71" s="100"/>
      <c r="AT71" s="100"/>
    </row>
    <row r="72" spans="1:46" ht="16.3">
      <c r="A72" s="83" t="s">
        <v>3</v>
      </c>
      <c r="B72" s="508">
        <f>SUM(J72+K72+L72+M72+N72+S72+V72+W72+X72+AA72+AI72+AJ72+AI72+AM72+AP72+AQ72+AS72+AT72+AU72+AV72+AN72)+5</f>
        <v>6</v>
      </c>
      <c r="C72" s="214">
        <f>SUM(J72+K72+L72+M72+N72+S72+W72+X72+V72+AA72+AJ72+AI72+AJ72+AN72+AQ72+AM72+AT72+AU72+AV72+AW72+AP72+AS72)+8</f>
        <v>9</v>
      </c>
      <c r="D72" s="595">
        <f>SUM(T72+U72+Y72+Z72+AK72+AL72+AO72+AR72)+4</f>
        <v>4</v>
      </c>
      <c r="E72" s="602">
        <f>SUM(U72+V72+Z72+AA72+AL72+AM72+AP72+AS72)+6</f>
        <v>7</v>
      </c>
      <c r="F72" s="617">
        <v>0</v>
      </c>
      <c r="G72" s="621">
        <v>0</v>
      </c>
      <c r="H72" s="96"/>
      <c r="I72" s="96"/>
      <c r="J72" s="104"/>
      <c r="K72" s="75"/>
      <c r="L72" s="75"/>
      <c r="M72" s="75"/>
      <c r="N72" s="75"/>
      <c r="O72" s="96"/>
      <c r="P72" s="105"/>
      <c r="Q72" s="105"/>
      <c r="R72" s="96"/>
      <c r="S72" s="104"/>
      <c r="T72" s="110"/>
      <c r="U72" s="110"/>
      <c r="V72" s="100">
        <v>1</v>
      </c>
      <c r="W72" s="100"/>
      <c r="X72" s="100"/>
      <c r="Y72" s="110"/>
      <c r="Z72" s="110"/>
      <c r="AA72" s="100"/>
      <c r="AB72" s="109"/>
      <c r="AC72" s="109"/>
      <c r="AD72" s="109"/>
      <c r="AE72" s="109"/>
      <c r="AF72" s="108"/>
      <c r="AG72" s="109"/>
      <c r="AH72" s="100"/>
      <c r="AI72" s="100"/>
      <c r="AJ72" s="110"/>
      <c r="AK72" s="416"/>
      <c r="AL72" s="100"/>
      <c r="AM72" s="100"/>
      <c r="AN72" s="111"/>
      <c r="AO72" s="100"/>
      <c r="AP72" s="100"/>
      <c r="AQ72" s="111"/>
      <c r="AR72" s="100"/>
      <c r="AS72" s="100"/>
      <c r="AT72" s="100"/>
    </row>
    <row r="73" spans="1:46" ht="17" thickBot="1">
      <c r="A73" s="85" t="s">
        <v>4</v>
      </c>
      <c r="B73" s="510">
        <f>SUM(J73+K73+L73+M73+N73+S73+V73+W73+X73+AA73+AI73+AJ73+AI73+AM73+AP73+AQ73+AS73+AT73+AU73+AV73+AN73)+25</f>
        <v>30</v>
      </c>
      <c r="C73" s="217">
        <f>SUM(J73+K73+L73+M73+N73+S73+W73+X73+V73+AA73+AJ73+AI73+AJ73+AN73+AQ73+AM73+AT73+AU73+AV73+AW73+AP73+AS73)+40</f>
        <v>45</v>
      </c>
      <c r="D73" s="597">
        <f>SUM(T73+U73+Y73+Z73+AK73+AL73+AO73+AR73)+20</f>
        <v>20</v>
      </c>
      <c r="E73" s="603">
        <f>SUM(U73+V73+Z73+AA73+AL73+AM73+AP73+AS73)+30</f>
        <v>35</v>
      </c>
      <c r="F73" s="618">
        <v>0</v>
      </c>
      <c r="G73" s="622">
        <v>0</v>
      </c>
      <c r="H73" s="114"/>
      <c r="I73" s="114"/>
      <c r="J73" s="113"/>
      <c r="K73" s="112"/>
      <c r="L73" s="112"/>
      <c r="M73" s="112"/>
      <c r="N73" s="112"/>
      <c r="O73" s="114"/>
      <c r="P73" s="127"/>
      <c r="Q73" s="127"/>
      <c r="R73" s="114"/>
      <c r="S73" s="113"/>
      <c r="T73" s="120"/>
      <c r="U73" s="120"/>
      <c r="V73" s="116">
        <v>5</v>
      </c>
      <c r="W73" s="116"/>
      <c r="X73" s="116"/>
      <c r="Y73" s="120"/>
      <c r="Z73" s="120"/>
      <c r="AA73" s="116"/>
      <c r="AB73" s="118"/>
      <c r="AC73" s="118"/>
      <c r="AD73" s="118"/>
      <c r="AE73" s="118"/>
      <c r="AF73" s="117"/>
      <c r="AG73" s="118"/>
      <c r="AH73" s="116"/>
      <c r="AI73" s="116"/>
      <c r="AJ73" s="120"/>
      <c r="AK73" s="417"/>
      <c r="AL73" s="116"/>
      <c r="AM73" s="116"/>
      <c r="AN73" s="121"/>
      <c r="AO73" s="116"/>
      <c r="AP73" s="116"/>
      <c r="AQ73" s="121"/>
      <c r="AR73" s="116"/>
      <c r="AS73" s="116"/>
      <c r="AT73" s="116"/>
    </row>
    <row r="74" spans="1:46" ht="21.1">
      <c r="A74" s="82" t="s">
        <v>311</v>
      </c>
      <c r="B74" s="508"/>
      <c r="C74" s="214"/>
      <c r="D74" s="595"/>
      <c r="E74" s="602"/>
      <c r="F74" s="617"/>
      <c r="G74" s="621"/>
      <c r="H74" s="96" t="s">
        <v>451</v>
      </c>
      <c r="I74" s="96" t="s">
        <v>339</v>
      </c>
      <c r="J74" s="104" t="s">
        <v>339</v>
      </c>
      <c r="K74" s="75" t="s">
        <v>339</v>
      </c>
      <c r="L74" s="75" t="s">
        <v>339</v>
      </c>
      <c r="M74" s="75" t="s">
        <v>339</v>
      </c>
      <c r="N74" s="75" t="s">
        <v>377</v>
      </c>
      <c r="O74" s="96" t="s">
        <v>339</v>
      </c>
      <c r="P74" s="105"/>
      <c r="Q74" s="105"/>
      <c r="R74" s="96" t="s">
        <v>339</v>
      </c>
      <c r="S74" s="104" t="s">
        <v>339</v>
      </c>
      <c r="T74" s="110" t="s">
        <v>339</v>
      </c>
      <c r="U74" s="110" t="s">
        <v>339</v>
      </c>
      <c r="V74" s="100" t="s">
        <v>377</v>
      </c>
      <c r="W74" s="100" t="s">
        <v>377</v>
      </c>
      <c r="X74" s="100" t="s">
        <v>339</v>
      </c>
      <c r="Y74" s="110" t="s">
        <v>339</v>
      </c>
      <c r="Z74" s="110" t="s">
        <v>339</v>
      </c>
      <c r="AA74" s="100" t="s">
        <v>375</v>
      </c>
      <c r="AB74" s="109" t="s">
        <v>377</v>
      </c>
      <c r="AC74" s="109" t="s">
        <v>377</v>
      </c>
      <c r="AD74" s="109"/>
      <c r="AE74" s="109"/>
      <c r="AF74" s="108"/>
      <c r="AG74" s="109" t="s">
        <v>375</v>
      </c>
      <c r="AH74" s="100"/>
      <c r="AI74" s="100"/>
      <c r="AJ74" s="110"/>
      <c r="AK74" s="416"/>
      <c r="AL74" s="100"/>
      <c r="AM74" s="100"/>
      <c r="AN74" s="111"/>
      <c r="AO74" s="100"/>
      <c r="AP74" s="100"/>
      <c r="AQ74" s="111"/>
      <c r="AR74" s="100"/>
      <c r="AS74" s="100"/>
      <c r="AT74" s="100"/>
    </row>
    <row r="75" spans="1:46" ht="16.3">
      <c r="A75" s="246" t="s">
        <v>1</v>
      </c>
      <c r="B75" s="509">
        <f>SUM(J75+K75+L75+M75+N75+S75+V75+W75+X75+AA75+AI75+AJ75+AI75+AM75+AP75+AQ75+AS75+AT75+AU75+AV75+AN75)+6</f>
        <v>9</v>
      </c>
      <c r="C75" s="215">
        <f>B75</f>
        <v>9</v>
      </c>
      <c r="D75" s="596">
        <f>SUM(T75+U75+Y75+Z75+AK75+AL75+AO75+AR75)+4</f>
        <v>4</v>
      </c>
      <c r="E75" s="604">
        <f>D75</f>
        <v>4</v>
      </c>
      <c r="F75" s="626">
        <v>0</v>
      </c>
      <c r="G75" s="627">
        <v>0</v>
      </c>
      <c r="H75" s="96">
        <v>1</v>
      </c>
      <c r="I75" s="96"/>
      <c r="J75" s="104"/>
      <c r="K75" s="75"/>
      <c r="L75" s="75"/>
      <c r="M75" s="75"/>
      <c r="N75" s="75">
        <v>1</v>
      </c>
      <c r="O75" s="96"/>
      <c r="P75" s="105"/>
      <c r="Q75" s="105"/>
      <c r="R75" s="96"/>
      <c r="S75" s="104"/>
      <c r="T75" s="110"/>
      <c r="U75" s="110"/>
      <c r="V75" s="100">
        <v>1</v>
      </c>
      <c r="W75" s="100">
        <v>1</v>
      </c>
      <c r="X75" s="100"/>
      <c r="Y75" s="110"/>
      <c r="Z75" s="110"/>
      <c r="AA75" s="100"/>
      <c r="AB75" s="109">
        <v>1</v>
      </c>
      <c r="AC75" s="109">
        <v>1</v>
      </c>
      <c r="AD75" s="109"/>
      <c r="AE75" s="109"/>
      <c r="AF75" s="108"/>
      <c r="AG75" s="109"/>
      <c r="AH75" s="100"/>
      <c r="AI75" s="100"/>
      <c r="AJ75" s="110"/>
      <c r="AK75" s="416"/>
      <c r="AL75" s="100"/>
      <c r="AM75" s="100"/>
      <c r="AN75" s="111"/>
      <c r="AO75" s="100"/>
      <c r="AP75" s="100"/>
      <c r="AQ75" s="111"/>
      <c r="AR75" s="100"/>
      <c r="AS75" s="100"/>
      <c r="AT75" s="100"/>
    </row>
    <row r="76" spans="1:46" ht="16.3">
      <c r="A76" s="246" t="s">
        <v>2</v>
      </c>
      <c r="B76" s="509">
        <f>SUM(J76+K76+L76+M76+N76+S76+V76+W76+X76+AA76+AI76+AJ76+AI76+AM76+AP76+AQ76+AS76+AT76+AU76+AV76)+4</f>
        <v>5</v>
      </c>
      <c r="C76" s="215">
        <f t="shared" ref="C76:C80" si="29">B76</f>
        <v>5</v>
      </c>
      <c r="D76" s="596">
        <f>SUM(T76+U76+Y76+Z76+AK76+AL76+AO76+AR76)</f>
        <v>0</v>
      </c>
      <c r="E76" s="604">
        <f t="shared" ref="E76:E80" si="30">D76</f>
        <v>0</v>
      </c>
      <c r="F76" s="626">
        <v>0</v>
      </c>
      <c r="G76" s="627">
        <v>0</v>
      </c>
      <c r="H76" s="96"/>
      <c r="I76" s="96"/>
      <c r="J76" s="104"/>
      <c r="K76" s="75"/>
      <c r="L76" s="75"/>
      <c r="M76" s="75"/>
      <c r="N76" s="75"/>
      <c r="O76" s="96"/>
      <c r="P76" s="105"/>
      <c r="Q76" s="105"/>
      <c r="R76" s="96"/>
      <c r="S76" s="104"/>
      <c r="T76" s="110"/>
      <c r="U76" s="110"/>
      <c r="V76" s="100"/>
      <c r="W76" s="100"/>
      <c r="X76" s="100"/>
      <c r="Y76" s="110"/>
      <c r="Z76" s="110"/>
      <c r="AA76" s="100">
        <v>1</v>
      </c>
      <c r="AB76" s="109"/>
      <c r="AC76" s="109"/>
      <c r="AD76" s="109"/>
      <c r="AE76" s="109"/>
      <c r="AF76" s="108"/>
      <c r="AG76" s="109">
        <v>1</v>
      </c>
      <c r="AH76" s="100"/>
      <c r="AI76" s="100"/>
      <c r="AJ76" s="110"/>
      <c r="AK76" s="416"/>
      <c r="AL76" s="100"/>
      <c r="AM76" s="100"/>
      <c r="AN76" s="111"/>
      <c r="AO76" s="100"/>
      <c r="AP76" s="100"/>
      <c r="AQ76" s="111"/>
      <c r="AR76" s="100"/>
      <c r="AS76" s="100"/>
      <c r="AT76" s="100"/>
    </row>
    <row r="77" spans="1:46" ht="16.3">
      <c r="A77" s="83" t="s">
        <v>363</v>
      </c>
      <c r="B77" s="508">
        <f>SUM(B75+B76)</f>
        <v>14</v>
      </c>
      <c r="C77" s="214">
        <f t="shared" si="29"/>
        <v>14</v>
      </c>
      <c r="D77" s="595">
        <f>SUM(D75+D76)</f>
        <v>4</v>
      </c>
      <c r="E77" s="602">
        <f t="shared" si="30"/>
        <v>4</v>
      </c>
      <c r="F77" s="617">
        <v>0</v>
      </c>
      <c r="G77" s="621">
        <v>0</v>
      </c>
      <c r="H77" s="96"/>
      <c r="I77" s="96"/>
      <c r="J77" s="104"/>
      <c r="K77" s="75"/>
      <c r="L77" s="75"/>
      <c r="M77" s="75"/>
      <c r="N77" s="75"/>
      <c r="O77" s="96"/>
      <c r="P77" s="105"/>
      <c r="Q77" s="105"/>
      <c r="R77" s="96"/>
      <c r="S77" s="104"/>
      <c r="T77" s="110"/>
      <c r="U77" s="110"/>
      <c r="V77" s="100"/>
      <c r="W77" s="100"/>
      <c r="X77" s="100"/>
      <c r="Y77" s="110"/>
      <c r="Z77" s="110"/>
      <c r="AA77" s="100"/>
      <c r="AB77" s="109"/>
      <c r="AC77" s="109"/>
      <c r="AD77" s="109"/>
      <c r="AE77" s="109"/>
      <c r="AF77" s="108"/>
      <c r="AG77" s="109"/>
      <c r="AH77" s="100"/>
      <c r="AI77" s="100"/>
      <c r="AJ77" s="110"/>
      <c r="AK77" s="416"/>
      <c r="AL77" s="100"/>
      <c r="AM77" s="100"/>
      <c r="AN77" s="111"/>
      <c r="AO77" s="100"/>
      <c r="AP77" s="100"/>
      <c r="AQ77" s="111"/>
      <c r="AR77" s="100"/>
      <c r="AS77" s="100"/>
      <c r="AT77" s="100"/>
    </row>
    <row r="78" spans="1:46" ht="16.3">
      <c r="A78" s="246" t="s">
        <v>362</v>
      </c>
      <c r="B78" s="509">
        <f>SUM(J78+K78+L78+M78+N78+S78+V78+W78+X78+AA78+AI78+AJ78+AI78+AM78+AP78+AQ78+AS78+AT78+AU78+AV78)+3</f>
        <v>3</v>
      </c>
      <c r="C78" s="215">
        <f t="shared" si="29"/>
        <v>3</v>
      </c>
      <c r="D78" s="596">
        <f>SUM(T78+U78+Y78+Z78+AK78+AL78+AO78+AR78)+1</f>
        <v>1</v>
      </c>
      <c r="E78" s="604">
        <f t="shared" ref="E78" si="31">D78</f>
        <v>1</v>
      </c>
      <c r="F78" s="626">
        <v>0</v>
      </c>
      <c r="G78" s="627">
        <v>0</v>
      </c>
      <c r="H78" s="96"/>
      <c r="I78" s="96"/>
      <c r="J78" s="104"/>
      <c r="K78" s="75"/>
      <c r="L78" s="75"/>
      <c r="M78" s="75"/>
      <c r="N78" s="75"/>
      <c r="O78" s="96"/>
      <c r="P78" s="105"/>
      <c r="Q78" s="105"/>
      <c r="R78" s="96"/>
      <c r="S78" s="104"/>
      <c r="T78" s="110"/>
      <c r="U78" s="110"/>
      <c r="V78" s="100"/>
      <c r="W78" s="100"/>
      <c r="X78" s="100"/>
      <c r="Y78" s="110"/>
      <c r="Z78" s="110"/>
      <c r="AA78" s="100"/>
      <c r="AB78" s="109"/>
      <c r="AC78" s="109"/>
      <c r="AD78" s="109"/>
      <c r="AE78" s="109"/>
      <c r="AF78" s="108"/>
      <c r="AG78" s="109"/>
      <c r="AH78" s="100"/>
      <c r="AI78" s="100"/>
      <c r="AJ78" s="110"/>
      <c r="AK78" s="416"/>
      <c r="AL78" s="100"/>
      <c r="AM78" s="100"/>
      <c r="AN78" s="111"/>
      <c r="AO78" s="100"/>
      <c r="AP78" s="100"/>
      <c r="AQ78" s="111"/>
      <c r="AR78" s="100"/>
      <c r="AS78" s="100"/>
      <c r="AT78" s="100"/>
    </row>
    <row r="79" spans="1:46" ht="16.3">
      <c r="A79" s="83" t="s">
        <v>3</v>
      </c>
      <c r="B79" s="508">
        <f>SUM(J79+K79+L79+M79+N79+S79+V79+W79+X79+AA79+AI79+AJ79+AI79+AM79+AP79+AQ79+AS79+AT79+AU79+AV79)+3</f>
        <v>4</v>
      </c>
      <c r="C79" s="214">
        <f t="shared" si="29"/>
        <v>4</v>
      </c>
      <c r="D79" s="595">
        <f>SUM(T79+U79+Y79+Z79+AK79+AL79+AO79+AR79)+2</f>
        <v>2</v>
      </c>
      <c r="E79" s="602">
        <f t="shared" si="30"/>
        <v>2</v>
      </c>
      <c r="F79" s="617">
        <v>0</v>
      </c>
      <c r="G79" s="621">
        <v>0</v>
      </c>
      <c r="H79" s="96"/>
      <c r="I79" s="96"/>
      <c r="J79" s="104"/>
      <c r="K79" s="75"/>
      <c r="L79" s="75"/>
      <c r="M79" s="75"/>
      <c r="N79" s="75"/>
      <c r="O79" s="96"/>
      <c r="P79" s="105"/>
      <c r="Q79" s="105"/>
      <c r="R79" s="96"/>
      <c r="S79" s="104"/>
      <c r="T79" s="110"/>
      <c r="U79" s="110"/>
      <c r="V79" s="100"/>
      <c r="W79" s="100"/>
      <c r="X79" s="100"/>
      <c r="Y79" s="110"/>
      <c r="Z79" s="110"/>
      <c r="AA79" s="100">
        <v>1</v>
      </c>
      <c r="AB79" s="109"/>
      <c r="AC79" s="109">
        <v>1</v>
      </c>
      <c r="AD79" s="109"/>
      <c r="AE79" s="109"/>
      <c r="AF79" s="108"/>
      <c r="AG79" s="109"/>
      <c r="AH79" s="100"/>
      <c r="AI79" s="100"/>
      <c r="AJ79" s="110"/>
      <c r="AK79" s="416"/>
      <c r="AL79" s="100"/>
      <c r="AM79" s="100"/>
      <c r="AN79" s="111"/>
      <c r="AO79" s="100"/>
      <c r="AP79" s="100"/>
      <c r="AQ79" s="111"/>
      <c r="AR79" s="100"/>
      <c r="AS79" s="100"/>
      <c r="AT79" s="100"/>
    </row>
    <row r="80" spans="1:46" ht="17" thickBot="1">
      <c r="A80" s="85" t="s">
        <v>4</v>
      </c>
      <c r="B80" s="510">
        <f>SUM(J80+K80+L80+M80+N80+S80+V80+W80+X80+AA80+AI80+AJ80+AI80+AM80+AP80+AQ80+AS80+AT80+AU80+AV80)+15</f>
        <v>20</v>
      </c>
      <c r="C80" s="217">
        <f t="shared" si="29"/>
        <v>20</v>
      </c>
      <c r="D80" s="597">
        <f>SUM(T80+U80+Y80+Z80+AK80+AL80+AO80+AR80)+10</f>
        <v>10</v>
      </c>
      <c r="E80" s="603">
        <f t="shared" si="30"/>
        <v>10</v>
      </c>
      <c r="F80" s="618">
        <v>0</v>
      </c>
      <c r="G80" s="622">
        <v>0</v>
      </c>
      <c r="H80" s="114"/>
      <c r="I80" s="114"/>
      <c r="J80" s="113"/>
      <c r="K80" s="112"/>
      <c r="L80" s="112"/>
      <c r="M80" s="112"/>
      <c r="N80" s="112"/>
      <c r="O80" s="114"/>
      <c r="P80" s="127"/>
      <c r="Q80" s="127"/>
      <c r="R80" s="114"/>
      <c r="S80" s="113"/>
      <c r="T80" s="120"/>
      <c r="U80" s="120"/>
      <c r="V80" s="116"/>
      <c r="W80" s="116"/>
      <c r="X80" s="116"/>
      <c r="Y80" s="120"/>
      <c r="Z80" s="120"/>
      <c r="AA80" s="116">
        <v>5</v>
      </c>
      <c r="AB80" s="118"/>
      <c r="AC80" s="118">
        <v>5</v>
      </c>
      <c r="AD80" s="118"/>
      <c r="AE80" s="118"/>
      <c r="AF80" s="117"/>
      <c r="AG80" s="118"/>
      <c r="AH80" s="116"/>
      <c r="AI80" s="116"/>
      <c r="AJ80" s="120"/>
      <c r="AK80" s="417"/>
      <c r="AL80" s="116"/>
      <c r="AM80" s="116"/>
      <c r="AN80" s="121"/>
      <c r="AO80" s="116"/>
      <c r="AP80" s="116"/>
      <c r="AQ80" s="121"/>
      <c r="AR80" s="116"/>
      <c r="AS80" s="116"/>
      <c r="AT80" s="116"/>
    </row>
    <row r="81" spans="1:46" ht="21.1">
      <c r="A81" s="82" t="s">
        <v>315</v>
      </c>
      <c r="B81" s="508"/>
      <c r="C81" s="214"/>
      <c r="D81" s="595"/>
      <c r="E81" s="602"/>
      <c r="F81" s="617"/>
      <c r="G81" s="621"/>
      <c r="H81" s="96"/>
      <c r="I81" s="96" t="s">
        <v>393</v>
      </c>
      <c r="J81" s="104"/>
      <c r="K81" s="75"/>
      <c r="L81" s="75"/>
      <c r="M81" s="75"/>
      <c r="N81" s="75"/>
      <c r="O81" s="96" t="s">
        <v>375</v>
      </c>
      <c r="P81" s="105"/>
      <c r="Q81" s="105"/>
      <c r="R81" s="96"/>
      <c r="S81" s="104"/>
      <c r="T81" s="110"/>
      <c r="U81" s="110"/>
      <c r="V81" s="100"/>
      <c r="W81" s="100"/>
      <c r="X81" s="100"/>
      <c r="Y81" s="110"/>
      <c r="Z81" s="110"/>
      <c r="AA81" s="100"/>
      <c r="AB81" s="109"/>
      <c r="AC81" s="109" t="s">
        <v>375</v>
      </c>
      <c r="AD81" s="109" t="s">
        <v>379</v>
      </c>
      <c r="AE81" s="109" t="s">
        <v>715</v>
      </c>
      <c r="AF81" s="108"/>
      <c r="AG81" s="109">
        <v>15</v>
      </c>
      <c r="AH81" s="100"/>
      <c r="AI81" s="100"/>
      <c r="AJ81" s="110"/>
      <c r="AK81" s="416"/>
      <c r="AL81" s="100"/>
      <c r="AM81" s="100"/>
      <c r="AN81" s="111"/>
      <c r="AO81" s="100"/>
      <c r="AP81" s="100"/>
      <c r="AQ81" s="111"/>
      <c r="AR81" s="100"/>
      <c r="AS81" s="100"/>
      <c r="AT81" s="100"/>
    </row>
    <row r="82" spans="1:46" ht="16.3">
      <c r="A82" s="246" t="s">
        <v>1</v>
      </c>
      <c r="B82" s="509">
        <f>SUM(J82+K82+L82+M82+N82+S82+V82+W82+X82+AA82+AI82+AJ82+AI82+AM82+AP82+AQ82+AS82+AT82+AU82+AV82+AN82)</f>
        <v>0</v>
      </c>
      <c r="C82" s="215">
        <f>B82</f>
        <v>0</v>
      </c>
      <c r="D82" s="596">
        <f>SUM(T82+U82+Y82+Z82+AK82+AL82+AO82+AR82)</f>
        <v>0</v>
      </c>
      <c r="E82" s="604">
        <f>D82</f>
        <v>0</v>
      </c>
      <c r="F82" s="626">
        <v>0</v>
      </c>
      <c r="G82" s="627">
        <v>0</v>
      </c>
      <c r="H82" s="96"/>
      <c r="I82" s="96"/>
      <c r="J82" s="104"/>
      <c r="K82" s="75"/>
      <c r="L82" s="75"/>
      <c r="M82" s="75"/>
      <c r="N82" s="75"/>
      <c r="O82" s="96"/>
      <c r="P82" s="105"/>
      <c r="Q82" s="105"/>
      <c r="R82" s="96"/>
      <c r="S82" s="104"/>
      <c r="T82" s="110"/>
      <c r="U82" s="110"/>
      <c r="V82" s="100"/>
      <c r="W82" s="100"/>
      <c r="X82" s="100"/>
      <c r="Y82" s="110"/>
      <c r="Z82" s="110"/>
      <c r="AA82" s="100"/>
      <c r="AB82" s="109"/>
      <c r="AC82" s="109"/>
      <c r="AD82" s="109">
        <v>1</v>
      </c>
      <c r="AE82" s="109">
        <v>1</v>
      </c>
      <c r="AF82" s="108"/>
      <c r="AG82" s="109">
        <v>1</v>
      </c>
      <c r="AH82" s="100"/>
      <c r="AI82" s="100"/>
      <c r="AJ82" s="110"/>
      <c r="AK82" s="416"/>
      <c r="AL82" s="100"/>
      <c r="AM82" s="100"/>
      <c r="AN82" s="111"/>
      <c r="AO82" s="100"/>
      <c r="AP82" s="100"/>
      <c r="AQ82" s="111"/>
      <c r="AR82" s="100"/>
      <c r="AS82" s="100"/>
      <c r="AT82" s="100"/>
    </row>
    <row r="83" spans="1:46" ht="16.3">
      <c r="A83" s="246" t="s">
        <v>2</v>
      </c>
      <c r="B83" s="509">
        <f>SUM(J83+K83+L83+M83+N83+S83+V83+W83+X83+AA83+AI83+AJ83+AI83+AM83+AP83+AQ83+AS83+AT83+AU83+AV83)</f>
        <v>0</v>
      </c>
      <c r="C83" s="215">
        <f t="shared" ref="C83:C85" si="32">B83</f>
        <v>0</v>
      </c>
      <c r="D83" s="596">
        <f>SUM(T83+U83+Y83+Z83+AK83+AL83+AO83+AR83)</f>
        <v>0</v>
      </c>
      <c r="E83" s="604">
        <f t="shared" ref="E83:E89" si="33">D83</f>
        <v>0</v>
      </c>
      <c r="F83" s="626">
        <v>0</v>
      </c>
      <c r="G83" s="627">
        <v>0</v>
      </c>
      <c r="H83" s="96"/>
      <c r="I83" s="96"/>
      <c r="J83" s="104"/>
      <c r="K83" s="75"/>
      <c r="L83" s="75"/>
      <c r="M83" s="75"/>
      <c r="N83" s="75"/>
      <c r="O83" s="96">
        <v>1</v>
      </c>
      <c r="P83" s="105"/>
      <c r="Q83" s="105"/>
      <c r="R83" s="96"/>
      <c r="S83" s="104"/>
      <c r="T83" s="110"/>
      <c r="U83" s="110"/>
      <c r="V83" s="100"/>
      <c r="W83" s="100"/>
      <c r="X83" s="100"/>
      <c r="Y83" s="110"/>
      <c r="Z83" s="110"/>
      <c r="AA83" s="100"/>
      <c r="AB83" s="109"/>
      <c r="AC83" s="109">
        <v>1</v>
      </c>
      <c r="AD83" s="109"/>
      <c r="AE83" s="109"/>
      <c r="AF83" s="108"/>
      <c r="AG83" s="109"/>
      <c r="AH83" s="100"/>
      <c r="AI83" s="100"/>
      <c r="AJ83" s="110"/>
      <c r="AK83" s="416"/>
      <c r="AL83" s="100"/>
      <c r="AM83" s="100"/>
      <c r="AN83" s="111"/>
      <c r="AO83" s="100"/>
      <c r="AP83" s="100"/>
      <c r="AQ83" s="111"/>
      <c r="AR83" s="100"/>
      <c r="AS83" s="100"/>
      <c r="AT83" s="100"/>
    </row>
    <row r="84" spans="1:46" ht="16.3">
      <c r="A84" s="83" t="s">
        <v>363</v>
      </c>
      <c r="B84" s="508">
        <f>SUM(B82+B83)</f>
        <v>0</v>
      </c>
      <c r="C84" s="214">
        <f t="shared" si="32"/>
        <v>0</v>
      </c>
      <c r="D84" s="595">
        <f>SUM(D82+D83)</f>
        <v>0</v>
      </c>
      <c r="E84" s="602">
        <f t="shared" si="33"/>
        <v>0</v>
      </c>
      <c r="F84" s="617">
        <v>0</v>
      </c>
      <c r="G84" s="621">
        <v>0</v>
      </c>
      <c r="H84" s="96"/>
      <c r="I84" s="96"/>
      <c r="J84" s="104"/>
      <c r="K84" s="75"/>
      <c r="L84" s="75"/>
      <c r="M84" s="75"/>
      <c r="N84" s="75"/>
      <c r="O84" s="96"/>
      <c r="P84" s="105"/>
      <c r="Q84" s="105"/>
      <c r="R84" s="96"/>
      <c r="S84" s="104"/>
      <c r="T84" s="110"/>
      <c r="U84" s="110"/>
      <c r="V84" s="100"/>
      <c r="W84" s="100"/>
      <c r="X84" s="100"/>
      <c r="Y84" s="110"/>
      <c r="Z84" s="110"/>
      <c r="AA84" s="100"/>
      <c r="AB84" s="109"/>
      <c r="AC84" s="109"/>
      <c r="AD84" s="109"/>
      <c r="AE84" s="109"/>
      <c r="AF84" s="108"/>
      <c r="AG84" s="109"/>
      <c r="AH84" s="100"/>
      <c r="AI84" s="100"/>
      <c r="AJ84" s="110"/>
      <c r="AK84" s="416"/>
      <c r="AL84" s="100"/>
      <c r="AM84" s="100"/>
      <c r="AN84" s="111"/>
      <c r="AO84" s="100"/>
      <c r="AP84" s="100"/>
      <c r="AQ84" s="111"/>
      <c r="AR84" s="100"/>
      <c r="AS84" s="100"/>
      <c r="AT84" s="100"/>
    </row>
    <row r="85" spans="1:46" ht="16.3">
      <c r="A85" s="246" t="s">
        <v>5</v>
      </c>
      <c r="B85" s="509">
        <f>SUM(J85+K85+L85+M85+N85+S85+V85+W85+X85+AA85+AI85+AJ85+AI85+AM85+AP85+AQ85+AS85+AT85+AU85+AV85)</f>
        <v>0</v>
      </c>
      <c r="C85" s="215">
        <f t="shared" si="32"/>
        <v>0</v>
      </c>
      <c r="D85" s="596">
        <f t="shared" ref="D85" si="34">SUM(T85+U85+Y85+Z85+AK85+AL85+AO85+AR85)</f>
        <v>0</v>
      </c>
      <c r="E85" s="604">
        <f t="shared" si="33"/>
        <v>0</v>
      </c>
      <c r="F85" s="626">
        <v>0</v>
      </c>
      <c r="G85" s="627">
        <v>0</v>
      </c>
      <c r="H85" s="96"/>
      <c r="I85" s="96"/>
      <c r="J85" s="104"/>
      <c r="K85" s="75"/>
      <c r="L85" s="75"/>
      <c r="M85" s="75"/>
      <c r="N85" s="75"/>
      <c r="O85" s="96"/>
      <c r="P85" s="105"/>
      <c r="Q85" s="105"/>
      <c r="R85" s="96"/>
      <c r="S85" s="104"/>
      <c r="T85" s="110"/>
      <c r="U85" s="110"/>
      <c r="V85" s="100"/>
      <c r="W85" s="100"/>
      <c r="X85" s="100"/>
      <c r="Y85" s="110"/>
      <c r="Z85" s="110"/>
      <c r="AA85" s="100"/>
      <c r="AB85" s="109"/>
      <c r="AC85" s="109"/>
      <c r="AD85" s="109"/>
      <c r="AE85" s="109"/>
      <c r="AF85" s="108"/>
      <c r="AG85" s="109"/>
      <c r="AH85" s="100"/>
      <c r="AI85" s="100"/>
      <c r="AJ85" s="110"/>
      <c r="AK85" s="416"/>
      <c r="AL85" s="100"/>
      <c r="AM85" s="100"/>
      <c r="AN85" s="111"/>
      <c r="AO85" s="100"/>
      <c r="AP85" s="100"/>
      <c r="AQ85" s="111"/>
      <c r="AR85" s="100"/>
      <c r="AS85" s="100"/>
      <c r="AT85" s="100"/>
    </row>
    <row r="86" spans="1:46" ht="16.3">
      <c r="A86" s="246" t="s">
        <v>6</v>
      </c>
      <c r="B86" s="509">
        <f>SUM(J86+K86+L86+M86+N86+S86+V86+W86+X86+AA86+AI86+AJ86+AI86+AM86+AP86+AQ86+AS86+AT86+AU86+AV86)</f>
        <v>0</v>
      </c>
      <c r="C86" s="215">
        <f t="shared" ref="C86" si="35">B86</f>
        <v>0</v>
      </c>
      <c r="D86" s="596">
        <f t="shared" ref="D86" si="36">SUM(T86+U86+Y86+Z86+AK86+AL86+AO86+AR86)</f>
        <v>0</v>
      </c>
      <c r="E86" s="604">
        <f t="shared" ref="E86" si="37">D86</f>
        <v>0</v>
      </c>
      <c r="F86" s="626">
        <v>0</v>
      </c>
      <c r="G86" s="627">
        <v>0</v>
      </c>
      <c r="H86" s="96"/>
      <c r="I86" s="96"/>
      <c r="J86" s="104"/>
      <c r="K86" s="75"/>
      <c r="L86" s="75"/>
      <c r="M86" s="75"/>
      <c r="N86" s="75"/>
      <c r="O86" s="96"/>
      <c r="P86" s="105"/>
      <c r="Q86" s="105"/>
      <c r="R86" s="96"/>
      <c r="S86" s="104"/>
      <c r="T86" s="110"/>
      <c r="U86" s="110"/>
      <c r="V86" s="100"/>
      <c r="W86" s="100"/>
      <c r="X86" s="100"/>
      <c r="Y86" s="110"/>
      <c r="Z86" s="110"/>
      <c r="AA86" s="100"/>
      <c r="AB86" s="109"/>
      <c r="AC86" s="109"/>
      <c r="AD86" s="109"/>
      <c r="AE86" s="109"/>
      <c r="AF86" s="108"/>
      <c r="AG86" s="109"/>
      <c r="AH86" s="100"/>
      <c r="AI86" s="100"/>
      <c r="AJ86" s="110"/>
      <c r="AK86" s="416"/>
      <c r="AL86" s="100"/>
      <c r="AM86" s="100"/>
      <c r="AN86" s="111"/>
      <c r="AO86" s="100"/>
      <c r="AP86" s="100"/>
      <c r="AQ86" s="111"/>
      <c r="AR86" s="100"/>
      <c r="AS86" s="100"/>
      <c r="AT86" s="100"/>
    </row>
    <row r="87" spans="1:46" ht="16.3">
      <c r="A87" s="246" t="s">
        <v>368</v>
      </c>
      <c r="B87" s="509">
        <v>0</v>
      </c>
      <c r="C87" s="216">
        <v>0</v>
      </c>
      <c r="D87" s="596">
        <f t="shared" ref="D87" si="38">SUM(D85+D86)</f>
        <v>0</v>
      </c>
      <c r="E87" s="604">
        <f t="shared" si="33"/>
        <v>0</v>
      </c>
      <c r="F87" s="626">
        <v>0</v>
      </c>
      <c r="G87" s="627">
        <v>0</v>
      </c>
      <c r="H87" s="96"/>
      <c r="I87" s="96"/>
      <c r="J87" s="104"/>
      <c r="K87" s="75"/>
      <c r="L87" s="75"/>
      <c r="M87" s="75"/>
      <c r="N87" s="75"/>
      <c r="O87" s="96"/>
      <c r="P87" s="105"/>
      <c r="Q87" s="105"/>
      <c r="R87" s="96"/>
      <c r="S87" s="104"/>
      <c r="T87" s="110"/>
      <c r="U87" s="110"/>
      <c r="V87" s="100"/>
      <c r="W87" s="100"/>
      <c r="X87" s="100"/>
      <c r="Y87" s="110"/>
      <c r="Z87" s="110"/>
      <c r="AA87" s="100"/>
      <c r="AB87" s="109"/>
      <c r="AC87" s="109"/>
      <c r="AD87" s="109"/>
      <c r="AE87" s="109"/>
      <c r="AF87" s="108"/>
      <c r="AG87" s="109"/>
      <c r="AH87" s="100"/>
      <c r="AI87" s="100"/>
      <c r="AJ87" s="110"/>
      <c r="AK87" s="416"/>
      <c r="AL87" s="100"/>
      <c r="AM87" s="100"/>
      <c r="AN87" s="111"/>
      <c r="AO87" s="100"/>
      <c r="AP87" s="100"/>
      <c r="AQ87" s="111"/>
      <c r="AR87" s="100"/>
      <c r="AS87" s="100"/>
      <c r="AT87" s="100"/>
    </row>
    <row r="88" spans="1:46" ht="16.3">
      <c r="A88" s="83" t="s">
        <v>3</v>
      </c>
      <c r="B88" s="508">
        <f>SUM(J88+K88+L88+M88+N88+S88+V88+W88+X88+AA88+AI88+AJ88+AI88+AM88+AP88+AQ88+AS88+AT88+AU88+AV88)</f>
        <v>0</v>
      </c>
      <c r="C88" s="214">
        <f t="shared" ref="C88:C89" si="39">B88</f>
        <v>0</v>
      </c>
      <c r="D88" s="595">
        <f t="shared" ref="D88:D89" si="40">SUM(T88+U88+Y88+Z88+AK88+AL88+AO88+AR88)</f>
        <v>0</v>
      </c>
      <c r="E88" s="602">
        <f t="shared" si="33"/>
        <v>0</v>
      </c>
      <c r="F88" s="617">
        <v>0</v>
      </c>
      <c r="G88" s="621">
        <v>0</v>
      </c>
      <c r="H88" s="96"/>
      <c r="I88" s="96"/>
      <c r="J88" s="104"/>
      <c r="K88" s="75"/>
      <c r="L88" s="75"/>
      <c r="M88" s="75"/>
      <c r="N88" s="75"/>
      <c r="O88" s="96"/>
      <c r="P88" s="105"/>
      <c r="Q88" s="105"/>
      <c r="R88" s="96"/>
      <c r="S88" s="104"/>
      <c r="T88" s="110"/>
      <c r="U88" s="110"/>
      <c r="V88" s="100"/>
      <c r="W88" s="100"/>
      <c r="X88" s="100"/>
      <c r="Y88" s="110"/>
      <c r="Z88" s="110"/>
      <c r="AA88" s="100"/>
      <c r="AB88" s="109"/>
      <c r="AC88" s="109"/>
      <c r="AD88" s="109"/>
      <c r="AE88" s="109"/>
      <c r="AF88" s="108"/>
      <c r="AG88" s="109">
        <v>1</v>
      </c>
      <c r="AH88" s="100"/>
      <c r="AI88" s="100"/>
      <c r="AJ88" s="110"/>
      <c r="AK88" s="416"/>
      <c r="AL88" s="100"/>
      <c r="AM88" s="100"/>
      <c r="AN88" s="111"/>
      <c r="AO88" s="100"/>
      <c r="AP88" s="100"/>
      <c r="AQ88" s="111"/>
      <c r="AR88" s="100"/>
      <c r="AS88" s="100"/>
      <c r="AT88" s="100"/>
    </row>
    <row r="89" spans="1:46" ht="17" thickBot="1">
      <c r="A89" s="85" t="s">
        <v>4</v>
      </c>
      <c r="B89" s="510">
        <f>SUM(J89+K89+L89+M89+N89+S89+V89+W89+X89+AA89+AI89+AJ89+AI89+AM89+AP89+AQ89+AS89+AT89+AU89+AV89)</f>
        <v>0</v>
      </c>
      <c r="C89" s="217">
        <f t="shared" si="39"/>
        <v>0</v>
      </c>
      <c r="D89" s="597">
        <f t="shared" si="40"/>
        <v>0</v>
      </c>
      <c r="E89" s="603">
        <f t="shared" si="33"/>
        <v>0</v>
      </c>
      <c r="F89" s="618">
        <v>0</v>
      </c>
      <c r="G89" s="622">
        <v>0</v>
      </c>
      <c r="H89" s="114"/>
      <c r="I89" s="114"/>
      <c r="J89" s="113"/>
      <c r="K89" s="112"/>
      <c r="L89" s="112"/>
      <c r="M89" s="112"/>
      <c r="N89" s="112"/>
      <c r="O89" s="114"/>
      <c r="P89" s="127"/>
      <c r="Q89" s="127"/>
      <c r="R89" s="114"/>
      <c r="S89" s="113"/>
      <c r="T89" s="120"/>
      <c r="U89" s="120"/>
      <c r="V89" s="116"/>
      <c r="W89" s="116"/>
      <c r="X89" s="116"/>
      <c r="Y89" s="120"/>
      <c r="Z89" s="120"/>
      <c r="AA89" s="116"/>
      <c r="AB89" s="118"/>
      <c r="AC89" s="118"/>
      <c r="AD89" s="118"/>
      <c r="AE89" s="118"/>
      <c r="AF89" s="117"/>
      <c r="AG89" s="118">
        <v>5</v>
      </c>
      <c r="AH89" s="116"/>
      <c r="AI89" s="116"/>
      <c r="AJ89" s="120"/>
      <c r="AK89" s="417"/>
      <c r="AL89" s="116"/>
      <c r="AM89" s="116"/>
      <c r="AN89" s="121"/>
      <c r="AO89" s="116"/>
      <c r="AP89" s="116"/>
      <c r="AQ89" s="121"/>
      <c r="AR89" s="116"/>
      <c r="AS89" s="116"/>
      <c r="AT89" s="116"/>
    </row>
    <row r="90" spans="1:46" ht="21.1">
      <c r="A90" s="82" t="s">
        <v>312</v>
      </c>
      <c r="B90" s="508"/>
      <c r="C90" s="214"/>
      <c r="D90" s="595"/>
      <c r="E90" s="602"/>
      <c r="F90" s="617"/>
      <c r="G90" s="621"/>
      <c r="H90" s="96" t="s">
        <v>375</v>
      </c>
      <c r="I90" s="96">
        <v>13</v>
      </c>
      <c r="J90" s="104">
        <v>13</v>
      </c>
      <c r="K90" s="75" t="s">
        <v>375</v>
      </c>
      <c r="L90" s="75">
        <v>13</v>
      </c>
      <c r="M90" s="75" t="s">
        <v>375</v>
      </c>
      <c r="N90" s="75"/>
      <c r="O90" s="96" t="s">
        <v>377</v>
      </c>
      <c r="P90" s="105"/>
      <c r="Q90" s="105"/>
      <c r="R90" s="96">
        <v>13</v>
      </c>
      <c r="S90" s="104">
        <v>13</v>
      </c>
      <c r="T90" s="110">
        <v>13</v>
      </c>
      <c r="U90" s="110" t="s">
        <v>377</v>
      </c>
      <c r="V90" s="102" t="s">
        <v>339</v>
      </c>
      <c r="W90" s="102" t="s">
        <v>339</v>
      </c>
      <c r="X90" s="102" t="s">
        <v>377</v>
      </c>
      <c r="Y90" s="101">
        <v>13</v>
      </c>
      <c r="Z90" s="101" t="s">
        <v>377</v>
      </c>
      <c r="AA90" s="102" t="s">
        <v>377</v>
      </c>
      <c r="AB90" s="99" t="s">
        <v>816</v>
      </c>
      <c r="AC90" s="99">
        <v>14</v>
      </c>
      <c r="AD90" s="99"/>
      <c r="AE90" s="99" t="s">
        <v>377</v>
      </c>
      <c r="AF90" s="98"/>
      <c r="AG90" s="99" t="s">
        <v>377</v>
      </c>
      <c r="AH90" s="102"/>
      <c r="AI90" s="102"/>
      <c r="AJ90" s="101"/>
      <c r="AK90" s="414"/>
      <c r="AL90" s="102"/>
      <c r="AM90" s="102"/>
      <c r="AN90" s="103"/>
      <c r="AO90" s="102"/>
      <c r="AP90" s="102"/>
      <c r="AQ90" s="103"/>
      <c r="AR90" s="102"/>
      <c r="AS90" s="102"/>
      <c r="AT90" s="102"/>
    </row>
    <row r="91" spans="1:46" ht="16.3">
      <c r="A91" s="246" t="s">
        <v>1</v>
      </c>
      <c r="B91" s="509">
        <f>SUM(J91+K91+L91+M91+N91+S91+V91+W91+X91+AA91+AI91+AJ91+AI91+AM91+AP91+AQ91+AS91+AT91+AU91+AV91+AN91)+1</f>
        <v>6</v>
      </c>
      <c r="C91" s="215">
        <f>B91</f>
        <v>6</v>
      </c>
      <c r="D91" s="596">
        <f>SUM(T91+U91+Y91+Z91+AK91+AL91+AO91+AR91)</f>
        <v>4</v>
      </c>
      <c r="E91" s="604">
        <f>D91</f>
        <v>4</v>
      </c>
      <c r="F91" s="626">
        <v>0</v>
      </c>
      <c r="G91" s="627">
        <v>0</v>
      </c>
      <c r="H91" s="96"/>
      <c r="I91" s="96">
        <v>1</v>
      </c>
      <c r="J91" s="104">
        <v>1</v>
      </c>
      <c r="K91" s="75"/>
      <c r="L91" s="75">
        <v>1</v>
      </c>
      <c r="M91" s="75"/>
      <c r="N91" s="75"/>
      <c r="O91" s="96">
        <v>1</v>
      </c>
      <c r="P91" s="105"/>
      <c r="Q91" s="105"/>
      <c r="R91" s="96">
        <v>1</v>
      </c>
      <c r="S91" s="128">
        <v>1</v>
      </c>
      <c r="T91" s="106">
        <v>1</v>
      </c>
      <c r="U91" s="106">
        <v>1</v>
      </c>
      <c r="V91" s="75"/>
      <c r="W91" s="75"/>
      <c r="X91" s="75">
        <v>1</v>
      </c>
      <c r="Y91" s="106">
        <v>1</v>
      </c>
      <c r="Z91" s="106">
        <v>1</v>
      </c>
      <c r="AA91" s="75">
        <v>1</v>
      </c>
      <c r="AB91" s="96"/>
      <c r="AC91" s="96">
        <v>1</v>
      </c>
      <c r="AD91" s="96"/>
      <c r="AE91" s="96">
        <v>1</v>
      </c>
      <c r="AF91" s="105"/>
      <c r="AG91" s="96">
        <v>1</v>
      </c>
      <c r="AH91" s="75"/>
      <c r="AI91" s="75"/>
      <c r="AJ91" s="106"/>
      <c r="AK91" s="415"/>
      <c r="AL91" s="75"/>
      <c r="AM91" s="75"/>
      <c r="AN91" s="107"/>
      <c r="AO91" s="75"/>
      <c r="AP91" s="75"/>
      <c r="AQ91" s="107"/>
      <c r="AR91" s="75"/>
      <c r="AS91" s="75"/>
      <c r="AT91" s="75"/>
    </row>
    <row r="92" spans="1:46" ht="16.3">
      <c r="A92" s="246" t="s">
        <v>2</v>
      </c>
      <c r="B92" s="509">
        <f>SUM(J92+K92+L92+M92+N92+S92+V92+W92+X92+AA92+AI92+AJ92+AI92+AM92+AP92+AQ92+AS92+AT92+AU92+AV92)+5</f>
        <v>7</v>
      </c>
      <c r="C92" s="215">
        <f t="shared" ref="C92:C95" si="41">B92</f>
        <v>7</v>
      </c>
      <c r="D92" s="596">
        <f>SUM(T92+U92+Y92+Z92+AK92+AL92+AO92+AR92)</f>
        <v>0</v>
      </c>
      <c r="E92" s="604">
        <f t="shared" ref="E92:E95" si="42">D92</f>
        <v>0</v>
      </c>
      <c r="F92" s="626">
        <v>0</v>
      </c>
      <c r="G92" s="627">
        <v>0</v>
      </c>
      <c r="H92" s="96">
        <v>1</v>
      </c>
      <c r="I92" s="96"/>
      <c r="J92" s="104"/>
      <c r="K92" s="75">
        <v>1</v>
      </c>
      <c r="L92" s="75"/>
      <c r="M92" s="75">
        <v>1</v>
      </c>
      <c r="N92" s="75"/>
      <c r="O92" s="96"/>
      <c r="P92" s="105"/>
      <c r="Q92" s="105"/>
      <c r="R92" s="96"/>
      <c r="S92" s="104"/>
      <c r="T92" s="110"/>
      <c r="U92" s="110"/>
      <c r="V92" s="100"/>
      <c r="W92" s="100"/>
      <c r="X92" s="100"/>
      <c r="Y92" s="110"/>
      <c r="Z92" s="110"/>
      <c r="AA92" s="100"/>
      <c r="AB92" s="109"/>
      <c r="AC92" s="109"/>
      <c r="AD92" s="109"/>
      <c r="AE92" s="109"/>
      <c r="AF92" s="108"/>
      <c r="AG92" s="109"/>
      <c r="AH92" s="100"/>
      <c r="AI92" s="100"/>
      <c r="AJ92" s="110"/>
      <c r="AK92" s="416"/>
      <c r="AL92" s="100"/>
      <c r="AM92" s="100"/>
      <c r="AN92" s="111"/>
      <c r="AO92" s="100"/>
      <c r="AP92" s="100"/>
      <c r="AQ92" s="111"/>
      <c r="AR92" s="100"/>
      <c r="AS92" s="100"/>
      <c r="AT92" s="100"/>
    </row>
    <row r="93" spans="1:46" ht="16.3">
      <c r="A93" s="83" t="s">
        <v>363</v>
      </c>
      <c r="B93" s="508">
        <f>SUM(B91+B92)</f>
        <v>13</v>
      </c>
      <c r="C93" s="214">
        <f t="shared" si="41"/>
        <v>13</v>
      </c>
      <c r="D93" s="595">
        <f>SUM(D91+D92)</f>
        <v>4</v>
      </c>
      <c r="E93" s="602">
        <f t="shared" si="42"/>
        <v>4</v>
      </c>
      <c r="F93" s="617">
        <v>0</v>
      </c>
      <c r="G93" s="621">
        <v>0</v>
      </c>
      <c r="H93" s="96"/>
      <c r="I93" s="96"/>
      <c r="J93" s="104"/>
      <c r="K93" s="75"/>
      <c r="L93" s="75"/>
      <c r="M93" s="75"/>
      <c r="N93" s="75"/>
      <c r="O93" s="96"/>
      <c r="P93" s="105"/>
      <c r="Q93" s="105"/>
      <c r="R93" s="96"/>
      <c r="S93" s="104"/>
      <c r="T93" s="110"/>
      <c r="U93" s="110"/>
      <c r="V93" s="100"/>
      <c r="W93" s="100"/>
      <c r="X93" s="100"/>
      <c r="Y93" s="110"/>
      <c r="Z93" s="110"/>
      <c r="AA93" s="100"/>
      <c r="AB93" s="109"/>
      <c r="AC93" s="109"/>
      <c r="AD93" s="109"/>
      <c r="AE93" s="109"/>
      <c r="AF93" s="108"/>
      <c r="AG93" s="109"/>
      <c r="AH93" s="100"/>
      <c r="AI93" s="100"/>
      <c r="AJ93" s="110"/>
      <c r="AK93" s="416"/>
      <c r="AL93" s="100"/>
      <c r="AM93" s="100"/>
      <c r="AN93" s="111"/>
      <c r="AO93" s="100"/>
      <c r="AP93" s="100"/>
      <c r="AQ93" s="111"/>
      <c r="AR93" s="100"/>
      <c r="AS93" s="100"/>
      <c r="AT93" s="100"/>
    </row>
    <row r="94" spans="1:46" ht="16.3">
      <c r="A94" s="83" t="s">
        <v>3</v>
      </c>
      <c r="B94" s="508">
        <f>SUM(J94+K94+L94+M94+N94+S94+V94+W94+X94+AA94+AI94+AJ94+AI94+AM94+AP94+AQ94+AS94+AT94+AU94+AV94)+1</f>
        <v>3</v>
      </c>
      <c r="C94" s="214">
        <f t="shared" si="41"/>
        <v>3</v>
      </c>
      <c r="D94" s="595">
        <f t="shared" ref="D94:D95" si="43">SUM(T94+U94+Y94+Z94+AK94+AL94+AO94+AR94)</f>
        <v>2</v>
      </c>
      <c r="E94" s="602">
        <f t="shared" si="42"/>
        <v>2</v>
      </c>
      <c r="F94" s="617">
        <v>0</v>
      </c>
      <c r="G94" s="621">
        <v>0</v>
      </c>
      <c r="H94" s="96">
        <v>1</v>
      </c>
      <c r="I94" s="96"/>
      <c r="J94" s="104"/>
      <c r="K94" s="75">
        <v>2</v>
      </c>
      <c r="L94" s="75"/>
      <c r="M94" s="75"/>
      <c r="N94" s="75"/>
      <c r="O94" s="96"/>
      <c r="P94" s="105"/>
      <c r="Q94" s="105"/>
      <c r="R94" s="96">
        <v>1</v>
      </c>
      <c r="S94" s="104"/>
      <c r="T94" s="110">
        <v>1</v>
      </c>
      <c r="U94" s="110"/>
      <c r="V94" s="100"/>
      <c r="W94" s="100"/>
      <c r="X94" s="100"/>
      <c r="Y94" s="110"/>
      <c r="Z94" s="110">
        <v>1</v>
      </c>
      <c r="AA94" s="100"/>
      <c r="AB94" s="109"/>
      <c r="AC94" s="109">
        <v>1</v>
      </c>
      <c r="AD94" s="109"/>
      <c r="AE94" s="109">
        <v>2</v>
      </c>
      <c r="AF94" s="108"/>
      <c r="AG94" s="109"/>
      <c r="AH94" s="100"/>
      <c r="AI94" s="100"/>
      <c r="AJ94" s="110"/>
      <c r="AK94" s="416"/>
      <c r="AL94" s="100"/>
      <c r="AM94" s="100"/>
      <c r="AN94" s="111"/>
      <c r="AO94" s="100"/>
      <c r="AP94" s="100"/>
      <c r="AQ94" s="111"/>
      <c r="AR94" s="100"/>
      <c r="AS94" s="100"/>
      <c r="AT94" s="100"/>
    </row>
    <row r="95" spans="1:46" ht="17" thickBot="1">
      <c r="A95" s="85" t="s">
        <v>4</v>
      </c>
      <c r="B95" s="510">
        <f>SUM(J95+K95+L95+M95+N95+S95+V95+W95+X95+AA95+AI95+AJ95+AI95+AM95+AP95+AQ95+AS95+AT95+AU95+AV95)+5</f>
        <v>15</v>
      </c>
      <c r="C95" s="217">
        <f t="shared" si="41"/>
        <v>15</v>
      </c>
      <c r="D95" s="597">
        <f t="shared" si="43"/>
        <v>10</v>
      </c>
      <c r="E95" s="603">
        <f t="shared" si="42"/>
        <v>10</v>
      </c>
      <c r="F95" s="618">
        <v>0</v>
      </c>
      <c r="G95" s="622">
        <v>0</v>
      </c>
      <c r="H95" s="114">
        <v>5</v>
      </c>
      <c r="I95" s="114"/>
      <c r="J95" s="113"/>
      <c r="K95" s="112">
        <v>10</v>
      </c>
      <c r="L95" s="112"/>
      <c r="M95" s="112"/>
      <c r="N95" s="112"/>
      <c r="O95" s="114"/>
      <c r="P95" s="127"/>
      <c r="Q95" s="127"/>
      <c r="R95" s="114">
        <v>5</v>
      </c>
      <c r="S95" s="113"/>
      <c r="T95" s="120">
        <v>5</v>
      </c>
      <c r="U95" s="119"/>
      <c r="V95" s="116"/>
      <c r="W95" s="116"/>
      <c r="X95" s="116"/>
      <c r="Y95" s="120"/>
      <c r="Z95" s="120">
        <v>5</v>
      </c>
      <c r="AA95" s="116"/>
      <c r="AB95" s="118"/>
      <c r="AC95" s="118">
        <v>5</v>
      </c>
      <c r="AD95" s="118"/>
      <c r="AE95" s="118">
        <v>10</v>
      </c>
      <c r="AF95" s="117"/>
      <c r="AG95" s="118"/>
      <c r="AH95" s="116"/>
      <c r="AI95" s="116"/>
      <c r="AJ95" s="120"/>
      <c r="AK95" s="417"/>
      <c r="AL95" s="116"/>
      <c r="AM95" s="116"/>
      <c r="AN95" s="121"/>
      <c r="AO95" s="116"/>
      <c r="AP95" s="116"/>
      <c r="AQ95" s="121"/>
      <c r="AR95" s="116"/>
      <c r="AS95" s="116"/>
      <c r="AT95" s="116"/>
    </row>
    <row r="96" spans="1:46" ht="21.1">
      <c r="A96" s="82" t="s">
        <v>995</v>
      </c>
      <c r="B96" s="508"/>
      <c r="C96" s="214"/>
      <c r="D96" s="595"/>
      <c r="E96" s="602"/>
      <c r="F96" s="617"/>
      <c r="G96" s="621"/>
      <c r="H96" s="96"/>
      <c r="I96" s="96"/>
      <c r="J96" s="104"/>
      <c r="K96" s="75"/>
      <c r="L96" s="75"/>
      <c r="M96" s="75"/>
      <c r="N96" s="75"/>
      <c r="O96" s="96"/>
      <c r="P96" s="105"/>
      <c r="Q96" s="105"/>
      <c r="R96" s="96"/>
      <c r="S96" s="104"/>
      <c r="T96" s="110"/>
      <c r="U96" s="110"/>
      <c r="V96" s="100"/>
      <c r="W96" s="100"/>
      <c r="X96" s="100"/>
      <c r="Y96" s="110"/>
      <c r="Z96" s="110"/>
      <c r="AA96" s="100"/>
      <c r="AB96" s="109" t="s">
        <v>432</v>
      </c>
      <c r="AC96" s="109" t="s">
        <v>375</v>
      </c>
      <c r="AD96" s="109" t="s">
        <v>375</v>
      </c>
      <c r="AE96" s="109" t="s">
        <v>375</v>
      </c>
      <c r="AF96" s="108"/>
      <c r="AG96" s="109"/>
      <c r="AH96" s="100"/>
      <c r="AI96" s="100"/>
      <c r="AJ96" s="110"/>
      <c r="AK96" s="416"/>
      <c r="AL96" s="100"/>
      <c r="AM96" s="100"/>
      <c r="AN96" s="111"/>
      <c r="AO96" s="100"/>
      <c r="AP96" s="100"/>
      <c r="AQ96" s="111"/>
      <c r="AR96" s="100"/>
      <c r="AS96" s="100"/>
      <c r="AT96" s="100"/>
    </row>
    <row r="97" spans="1:46" ht="16.3">
      <c r="A97" s="246" t="s">
        <v>1</v>
      </c>
      <c r="B97" s="509">
        <f>SUM(J97+K97+L97+M97+N97+S97+V97+W97+X97+AA97+AI97+AJ97+AI97+AM97+AP97+AQ97+AS97+AT97+AU97+AV97+AN97)</f>
        <v>0</v>
      </c>
      <c r="C97" s="215">
        <f>B97</f>
        <v>0</v>
      </c>
      <c r="D97" s="596">
        <f>SUM(T97+U97+Y97+Z97+AK97+AL97+AO97+AR97)</f>
        <v>0</v>
      </c>
      <c r="E97" s="604">
        <f>D97</f>
        <v>0</v>
      </c>
      <c r="F97" s="626">
        <v>0</v>
      </c>
      <c r="G97" s="627">
        <v>0</v>
      </c>
      <c r="H97" s="96"/>
      <c r="I97" s="96"/>
      <c r="J97" s="104"/>
      <c r="K97" s="75"/>
      <c r="L97" s="75"/>
      <c r="M97" s="75"/>
      <c r="N97" s="75"/>
      <c r="O97" s="96"/>
      <c r="P97" s="105"/>
      <c r="Q97" s="105"/>
      <c r="R97" s="96"/>
      <c r="S97" s="104"/>
      <c r="T97" s="110"/>
      <c r="U97" s="110"/>
      <c r="V97" s="100"/>
      <c r="W97" s="100"/>
      <c r="X97" s="100"/>
      <c r="Y97" s="110"/>
      <c r="Z97" s="110"/>
      <c r="AA97" s="100"/>
      <c r="AB97" s="109"/>
      <c r="AC97" s="109"/>
      <c r="AD97" s="109"/>
      <c r="AE97" s="109"/>
      <c r="AF97" s="108"/>
      <c r="AG97" s="109"/>
      <c r="AH97" s="100"/>
      <c r="AI97" s="100"/>
      <c r="AJ97" s="110"/>
      <c r="AK97" s="416"/>
      <c r="AL97" s="100"/>
      <c r="AM97" s="100"/>
      <c r="AN97" s="111"/>
      <c r="AO97" s="100"/>
      <c r="AP97" s="100"/>
      <c r="AQ97" s="111"/>
      <c r="AR97" s="100"/>
      <c r="AS97" s="100"/>
      <c r="AT97" s="100"/>
    </row>
    <row r="98" spans="1:46" ht="16.3">
      <c r="A98" s="246" t="s">
        <v>2</v>
      </c>
      <c r="B98" s="509">
        <f>SUM(J98+K98+L98+M98+N98+S98+V98+W98+X98+AA98+AI98+AJ98+AI98+AM98+AP98+AQ98+AS98+AT98+AU98+AV98)</f>
        <v>0</v>
      </c>
      <c r="C98" s="215">
        <f t="shared" ref="C98:C101" si="44">B98</f>
        <v>0</v>
      </c>
      <c r="D98" s="596">
        <f>SUM(T98+U98+Y98+Z98+AK98+AL98+AO98+AR98)</f>
        <v>0</v>
      </c>
      <c r="E98" s="604">
        <f t="shared" ref="E98:E101" si="45">D98</f>
        <v>0</v>
      </c>
      <c r="F98" s="626">
        <v>0</v>
      </c>
      <c r="G98" s="627">
        <v>0</v>
      </c>
      <c r="H98" s="96"/>
      <c r="I98" s="96"/>
      <c r="J98" s="104"/>
      <c r="K98" s="75"/>
      <c r="L98" s="75"/>
      <c r="M98" s="75"/>
      <c r="N98" s="75"/>
      <c r="O98" s="96"/>
      <c r="P98" s="105"/>
      <c r="Q98" s="105"/>
      <c r="R98" s="96"/>
      <c r="S98" s="104"/>
      <c r="T98" s="110"/>
      <c r="U98" s="110"/>
      <c r="V98" s="100"/>
      <c r="W98" s="100"/>
      <c r="X98" s="100"/>
      <c r="Y98" s="110"/>
      <c r="Z98" s="110"/>
      <c r="AA98" s="100"/>
      <c r="AB98" s="109">
        <v>1</v>
      </c>
      <c r="AC98" s="109">
        <v>1</v>
      </c>
      <c r="AD98" s="109">
        <v>1</v>
      </c>
      <c r="AE98" s="109">
        <v>1</v>
      </c>
      <c r="AF98" s="108"/>
      <c r="AG98" s="109"/>
      <c r="AH98" s="100"/>
      <c r="AI98" s="100"/>
      <c r="AJ98" s="110"/>
      <c r="AK98" s="416"/>
      <c r="AL98" s="100"/>
      <c r="AM98" s="100"/>
      <c r="AN98" s="111"/>
      <c r="AO98" s="100"/>
      <c r="AP98" s="100"/>
      <c r="AQ98" s="111"/>
      <c r="AR98" s="100"/>
      <c r="AS98" s="100"/>
      <c r="AT98" s="100"/>
    </row>
    <row r="99" spans="1:46" ht="16.3">
      <c r="A99" s="83" t="s">
        <v>363</v>
      </c>
      <c r="B99" s="508">
        <f>SUM(B97+B98)</f>
        <v>0</v>
      </c>
      <c r="C99" s="214">
        <f t="shared" si="44"/>
        <v>0</v>
      </c>
      <c r="D99" s="595">
        <f>SUM(D97+D98)</f>
        <v>0</v>
      </c>
      <c r="E99" s="602">
        <f t="shared" si="45"/>
        <v>0</v>
      </c>
      <c r="F99" s="617">
        <v>0</v>
      </c>
      <c r="G99" s="621">
        <v>0</v>
      </c>
      <c r="H99" s="96"/>
      <c r="I99" s="96"/>
      <c r="J99" s="104"/>
      <c r="K99" s="75"/>
      <c r="L99" s="75"/>
      <c r="M99" s="75"/>
      <c r="N99" s="75"/>
      <c r="O99" s="96"/>
      <c r="P99" s="105"/>
      <c r="Q99" s="105"/>
      <c r="R99" s="96"/>
      <c r="S99" s="104"/>
      <c r="T99" s="110"/>
      <c r="U99" s="110"/>
      <c r="V99" s="100"/>
      <c r="W99" s="100"/>
      <c r="X99" s="100"/>
      <c r="Y99" s="110"/>
      <c r="Z99" s="110"/>
      <c r="AA99" s="100"/>
      <c r="AB99" s="109"/>
      <c r="AC99" s="109"/>
      <c r="AD99" s="109"/>
      <c r="AE99" s="109"/>
      <c r="AF99" s="108"/>
      <c r="AG99" s="109"/>
      <c r="AH99" s="100"/>
      <c r="AI99" s="100"/>
      <c r="AJ99" s="110"/>
      <c r="AK99" s="416"/>
      <c r="AL99" s="100"/>
      <c r="AM99" s="100"/>
      <c r="AN99" s="111"/>
      <c r="AO99" s="100"/>
      <c r="AP99" s="100"/>
      <c r="AQ99" s="111"/>
      <c r="AR99" s="100"/>
      <c r="AS99" s="100"/>
      <c r="AT99" s="100"/>
    </row>
    <row r="100" spans="1:46" ht="16.3">
      <c r="A100" s="83" t="s">
        <v>3</v>
      </c>
      <c r="B100" s="508">
        <f>SUM(J100+K100+L100+M100+N100+S100+V100+W100+X100+AA100+AI100+AJ100+AI100+AM100+AP100+AQ100+AS100+AT100+AU100+AV100)</f>
        <v>0</v>
      </c>
      <c r="C100" s="214">
        <f t="shared" si="44"/>
        <v>0</v>
      </c>
      <c r="D100" s="595">
        <f t="shared" ref="D100:D101" si="46">SUM(T100+U100+Y100+Z100+AK100+AL100+AO100+AR100)</f>
        <v>0</v>
      </c>
      <c r="E100" s="602">
        <f t="shared" si="45"/>
        <v>0</v>
      </c>
      <c r="F100" s="617">
        <v>0</v>
      </c>
      <c r="G100" s="621">
        <v>0</v>
      </c>
      <c r="H100" s="96"/>
      <c r="I100" s="96"/>
      <c r="J100" s="104"/>
      <c r="K100" s="75"/>
      <c r="L100" s="75"/>
      <c r="M100" s="75"/>
      <c r="N100" s="75"/>
      <c r="O100" s="96"/>
      <c r="P100" s="105"/>
      <c r="Q100" s="105"/>
      <c r="R100" s="96"/>
      <c r="S100" s="104"/>
      <c r="T100" s="110"/>
      <c r="U100" s="110"/>
      <c r="V100" s="100"/>
      <c r="W100" s="100"/>
      <c r="X100" s="100"/>
      <c r="Y100" s="110"/>
      <c r="Z100" s="110"/>
      <c r="AA100" s="100"/>
      <c r="AB100" s="109">
        <v>1</v>
      </c>
      <c r="AC100" s="109"/>
      <c r="AD100" s="109"/>
      <c r="AE100" s="109"/>
      <c r="AF100" s="108"/>
      <c r="AG100" s="109"/>
      <c r="AH100" s="100"/>
      <c r="AI100" s="100"/>
      <c r="AJ100" s="110"/>
      <c r="AK100" s="416"/>
      <c r="AL100" s="100"/>
      <c r="AM100" s="100"/>
      <c r="AN100" s="111"/>
      <c r="AO100" s="100"/>
      <c r="AP100" s="100"/>
      <c r="AQ100" s="111"/>
      <c r="AR100" s="100"/>
      <c r="AS100" s="100"/>
      <c r="AT100" s="100"/>
    </row>
    <row r="101" spans="1:46" ht="17" thickBot="1">
      <c r="A101" s="85" t="s">
        <v>4</v>
      </c>
      <c r="B101" s="510">
        <f>SUM(J101+K101+L101+M101+N101+S101+V101+W101+X101+AA101+AI101+AJ101+AI101+AM101+AP101+AQ101+AS101+AT101+AU101+AV101)</f>
        <v>0</v>
      </c>
      <c r="C101" s="217">
        <f t="shared" si="44"/>
        <v>0</v>
      </c>
      <c r="D101" s="597">
        <f t="shared" si="46"/>
        <v>0</v>
      </c>
      <c r="E101" s="603">
        <f t="shared" si="45"/>
        <v>0</v>
      </c>
      <c r="F101" s="618">
        <v>0</v>
      </c>
      <c r="G101" s="622">
        <v>0</v>
      </c>
      <c r="H101" s="114"/>
      <c r="I101" s="114"/>
      <c r="J101" s="113"/>
      <c r="K101" s="112"/>
      <c r="L101" s="112"/>
      <c r="M101" s="112"/>
      <c r="N101" s="112"/>
      <c r="O101" s="114"/>
      <c r="P101" s="127"/>
      <c r="Q101" s="127"/>
      <c r="R101" s="114"/>
      <c r="S101" s="113"/>
      <c r="T101" s="120"/>
      <c r="U101" s="120"/>
      <c r="V101" s="116"/>
      <c r="W101" s="116"/>
      <c r="X101" s="116"/>
      <c r="Y101" s="120"/>
      <c r="Z101" s="120"/>
      <c r="AA101" s="116"/>
      <c r="AB101" s="118">
        <v>5</v>
      </c>
      <c r="AC101" s="118"/>
      <c r="AD101" s="118"/>
      <c r="AE101" s="118"/>
      <c r="AF101" s="117"/>
      <c r="AG101" s="118"/>
      <c r="AH101" s="116"/>
      <c r="AI101" s="116"/>
      <c r="AJ101" s="120"/>
      <c r="AK101" s="417"/>
      <c r="AL101" s="116"/>
      <c r="AM101" s="116"/>
      <c r="AN101" s="121"/>
      <c r="AO101" s="116"/>
      <c r="AP101" s="116"/>
      <c r="AQ101" s="121"/>
      <c r="AR101" s="116"/>
      <c r="AS101" s="116"/>
      <c r="AT101" s="116"/>
    </row>
    <row r="102" spans="1:46" ht="21.1">
      <c r="A102" s="82" t="s">
        <v>193</v>
      </c>
      <c r="B102" s="508"/>
      <c r="C102" s="214"/>
      <c r="D102" s="595"/>
      <c r="E102" s="602"/>
      <c r="F102" s="617"/>
      <c r="G102" s="621"/>
      <c r="H102" s="96" t="s">
        <v>381</v>
      </c>
      <c r="I102" s="96">
        <v>12</v>
      </c>
      <c r="J102" s="104" t="s">
        <v>381</v>
      </c>
      <c r="K102" s="75" t="s">
        <v>381</v>
      </c>
      <c r="L102" s="75"/>
      <c r="M102" s="75">
        <v>12</v>
      </c>
      <c r="N102" s="75"/>
      <c r="O102" s="96" t="s">
        <v>763</v>
      </c>
      <c r="P102" s="105"/>
      <c r="Q102" s="105"/>
      <c r="R102" s="96">
        <v>12</v>
      </c>
      <c r="S102" s="104" t="s">
        <v>375</v>
      </c>
      <c r="T102" s="110" t="s">
        <v>381</v>
      </c>
      <c r="U102" s="110" t="s">
        <v>375</v>
      </c>
      <c r="V102" s="102" t="s">
        <v>375</v>
      </c>
      <c r="W102" s="102" t="s">
        <v>339</v>
      </c>
      <c r="X102" s="102" t="s">
        <v>339</v>
      </c>
      <c r="Y102" s="101" t="s">
        <v>375</v>
      </c>
      <c r="Z102" s="101">
        <v>12</v>
      </c>
      <c r="AA102" s="102"/>
      <c r="AB102" s="99">
        <v>12</v>
      </c>
      <c r="AC102" s="99">
        <v>12</v>
      </c>
      <c r="AD102" s="99" t="s">
        <v>377</v>
      </c>
      <c r="AE102" s="99" t="s">
        <v>381</v>
      </c>
      <c r="AF102" s="98"/>
      <c r="AG102" s="99" t="s">
        <v>375</v>
      </c>
      <c r="AH102" s="102"/>
      <c r="AI102" s="102"/>
      <c r="AJ102" s="101"/>
      <c r="AK102" s="414"/>
      <c r="AL102" s="102"/>
      <c r="AM102" s="102"/>
      <c r="AN102" s="103"/>
      <c r="AO102" s="102"/>
      <c r="AP102" s="102"/>
      <c r="AQ102" s="103"/>
      <c r="AR102" s="102"/>
      <c r="AS102" s="102"/>
      <c r="AT102" s="102"/>
    </row>
    <row r="103" spans="1:46" ht="16.3">
      <c r="A103" s="246" t="s">
        <v>1</v>
      </c>
      <c r="B103" s="509">
        <f>SUM(J103+K103+L103+M103+N103+S103+V103+W103+X103+AA103+AI103+AJ103+AI103+AM103+AP103+AQ103+AS103+AT103+AU103+AV103+AN103)+13</f>
        <v>16</v>
      </c>
      <c r="C103" s="215">
        <f>B103</f>
        <v>16</v>
      </c>
      <c r="D103" s="596">
        <f>SUM(T103+U103+Y103+Z103+AK103+AL103+AO103+AR103)</f>
        <v>2</v>
      </c>
      <c r="E103" s="604">
        <f>D103</f>
        <v>2</v>
      </c>
      <c r="F103" s="626">
        <v>0</v>
      </c>
      <c r="G103" s="627">
        <v>0</v>
      </c>
      <c r="H103" s="96">
        <v>1</v>
      </c>
      <c r="I103" s="96">
        <v>1</v>
      </c>
      <c r="J103" s="104">
        <v>1</v>
      </c>
      <c r="K103" s="75">
        <v>1</v>
      </c>
      <c r="L103" s="75"/>
      <c r="M103" s="75">
        <v>1</v>
      </c>
      <c r="N103" s="75"/>
      <c r="O103" s="96">
        <v>1</v>
      </c>
      <c r="P103" s="105"/>
      <c r="Q103" s="105"/>
      <c r="R103" s="96">
        <v>1</v>
      </c>
      <c r="S103" s="104"/>
      <c r="T103" s="110">
        <v>1</v>
      </c>
      <c r="U103" s="110"/>
      <c r="V103" s="100"/>
      <c r="W103" s="100"/>
      <c r="X103" s="100"/>
      <c r="Y103" s="110"/>
      <c r="Z103" s="110">
        <v>1</v>
      </c>
      <c r="AA103" s="100"/>
      <c r="AB103" s="109">
        <v>1</v>
      </c>
      <c r="AC103" s="109">
        <v>1</v>
      </c>
      <c r="AD103" s="109">
        <v>1</v>
      </c>
      <c r="AE103" s="109">
        <v>1</v>
      </c>
      <c r="AF103" s="108"/>
      <c r="AG103" s="109"/>
      <c r="AH103" s="100"/>
      <c r="AI103" s="100"/>
      <c r="AJ103" s="110"/>
      <c r="AK103" s="416"/>
      <c r="AL103" s="100"/>
      <c r="AM103" s="100"/>
      <c r="AN103" s="111"/>
      <c r="AO103" s="100"/>
      <c r="AP103" s="100"/>
      <c r="AQ103" s="111"/>
      <c r="AR103" s="100"/>
      <c r="AS103" s="100"/>
      <c r="AT103" s="100"/>
    </row>
    <row r="104" spans="1:46" ht="16.3">
      <c r="A104" s="246" t="s">
        <v>2</v>
      </c>
      <c r="B104" s="509">
        <f>SUM(J104+K104+L104+M104+N104+S104+V104+W104+X104+AA104+AI104+AJ104+AI104+AM104+AP104+AQ104+AS104+AT104+AU104+AV104)+4</f>
        <v>6</v>
      </c>
      <c r="C104" s="215">
        <f t="shared" ref="C104:C110" si="47">B104</f>
        <v>6</v>
      </c>
      <c r="D104" s="596">
        <f>SUM(T104+U104+Y104+Z104+AK104+AL104+AO104+AR104)+4</f>
        <v>6</v>
      </c>
      <c r="E104" s="604">
        <f t="shared" ref="E104:E111" si="48">D104</f>
        <v>6</v>
      </c>
      <c r="F104" s="626">
        <v>0</v>
      </c>
      <c r="G104" s="627">
        <v>0</v>
      </c>
      <c r="H104" s="96"/>
      <c r="I104" s="96"/>
      <c r="J104" s="104"/>
      <c r="K104" s="75"/>
      <c r="L104" s="75"/>
      <c r="M104" s="75"/>
      <c r="N104" s="75"/>
      <c r="O104" s="96"/>
      <c r="P104" s="105"/>
      <c r="Q104" s="105"/>
      <c r="R104" s="96"/>
      <c r="S104" s="104">
        <v>1</v>
      </c>
      <c r="T104" s="110"/>
      <c r="U104" s="110">
        <v>1</v>
      </c>
      <c r="V104" s="100">
        <v>1</v>
      </c>
      <c r="W104" s="100"/>
      <c r="X104" s="100"/>
      <c r="Y104" s="110">
        <v>1</v>
      </c>
      <c r="Z104" s="110"/>
      <c r="AA104" s="100"/>
      <c r="AB104" s="109"/>
      <c r="AC104" s="109"/>
      <c r="AD104" s="109"/>
      <c r="AE104" s="109"/>
      <c r="AF104" s="108"/>
      <c r="AG104" s="109">
        <v>1</v>
      </c>
      <c r="AH104" s="100"/>
      <c r="AI104" s="100"/>
      <c r="AJ104" s="110"/>
      <c r="AK104" s="416"/>
      <c r="AL104" s="100"/>
      <c r="AM104" s="100"/>
      <c r="AN104" s="111"/>
      <c r="AO104" s="100"/>
      <c r="AP104" s="100"/>
      <c r="AQ104" s="111"/>
      <c r="AR104" s="100"/>
      <c r="AS104" s="100"/>
      <c r="AT104" s="100"/>
    </row>
    <row r="105" spans="1:46" ht="16.3">
      <c r="A105" s="83" t="s">
        <v>363</v>
      </c>
      <c r="B105" s="508">
        <f>SUM(B103+B104)</f>
        <v>22</v>
      </c>
      <c r="C105" s="214">
        <f t="shared" si="47"/>
        <v>22</v>
      </c>
      <c r="D105" s="595">
        <f>SUM(D103+D104)</f>
        <v>8</v>
      </c>
      <c r="E105" s="602">
        <f t="shared" si="48"/>
        <v>8</v>
      </c>
      <c r="F105" s="617">
        <v>0</v>
      </c>
      <c r="G105" s="621">
        <v>0</v>
      </c>
      <c r="H105" s="96"/>
      <c r="I105" s="96"/>
      <c r="J105" s="104"/>
      <c r="K105" s="75"/>
      <c r="L105" s="75"/>
      <c r="M105" s="75"/>
      <c r="N105" s="75"/>
      <c r="O105" s="96"/>
      <c r="P105" s="105"/>
      <c r="Q105" s="105"/>
      <c r="R105" s="96"/>
      <c r="S105" s="104"/>
      <c r="T105" s="110"/>
      <c r="U105" s="110"/>
      <c r="V105" s="100"/>
      <c r="W105" s="100"/>
      <c r="X105" s="100"/>
      <c r="Y105" s="110"/>
      <c r="Z105" s="110"/>
      <c r="AA105" s="100"/>
      <c r="AB105" s="109"/>
      <c r="AC105" s="109"/>
      <c r="AD105" s="109"/>
      <c r="AE105" s="109"/>
      <c r="AF105" s="108"/>
      <c r="AG105" s="109"/>
      <c r="AH105" s="100"/>
      <c r="AI105" s="100"/>
      <c r="AJ105" s="110"/>
      <c r="AK105" s="416"/>
      <c r="AL105" s="100"/>
      <c r="AM105" s="100"/>
      <c r="AN105" s="111"/>
      <c r="AO105" s="100"/>
      <c r="AP105" s="100"/>
      <c r="AQ105" s="111"/>
      <c r="AR105" s="100"/>
      <c r="AS105" s="100"/>
      <c r="AT105" s="100"/>
    </row>
    <row r="106" spans="1:46" ht="16.3">
      <c r="A106" s="246" t="s">
        <v>366</v>
      </c>
      <c r="B106" s="509">
        <f>SUM(J106+K106+L106+M106+N106+S106+V106+W106+X106+AA106+AI106+AJ106+AI106+AM106+AP106+AQ106+AS106+AT106+AU106+AV106)</f>
        <v>0</v>
      </c>
      <c r="C106" s="215">
        <f t="shared" ref="C106" si="49">B106</f>
        <v>0</v>
      </c>
      <c r="D106" s="596">
        <f t="shared" ref="D106:D107" si="50">SUM(T106+U106+Y106+Z106+AK106+AL106+AO106+AR106)</f>
        <v>0</v>
      </c>
      <c r="E106" s="604">
        <f t="shared" si="48"/>
        <v>0</v>
      </c>
      <c r="F106" s="626">
        <v>0</v>
      </c>
      <c r="G106" s="627">
        <v>0</v>
      </c>
      <c r="H106" s="96"/>
      <c r="I106" s="96"/>
      <c r="J106" s="104"/>
      <c r="K106" s="75"/>
      <c r="L106" s="75"/>
      <c r="M106" s="75"/>
      <c r="N106" s="75"/>
      <c r="O106" s="96">
        <v>1</v>
      </c>
      <c r="P106" s="105"/>
      <c r="Q106" s="105"/>
      <c r="R106" s="96"/>
      <c r="S106" s="104"/>
      <c r="T106" s="110"/>
      <c r="U106" s="110"/>
      <c r="V106" s="100"/>
      <c r="W106" s="100"/>
      <c r="X106" s="100"/>
      <c r="Y106" s="110"/>
      <c r="Z106" s="110"/>
      <c r="AA106" s="100"/>
      <c r="AB106" s="109"/>
      <c r="AC106" s="109"/>
      <c r="AD106" s="109"/>
      <c r="AE106" s="109"/>
      <c r="AF106" s="108"/>
      <c r="AG106" s="109"/>
      <c r="AH106" s="100"/>
      <c r="AI106" s="100"/>
      <c r="AJ106" s="110"/>
      <c r="AK106" s="416"/>
      <c r="AL106" s="100"/>
      <c r="AM106" s="100"/>
      <c r="AN106" s="111"/>
      <c r="AO106" s="100"/>
      <c r="AP106" s="100"/>
      <c r="AQ106" s="111"/>
      <c r="AR106" s="100"/>
      <c r="AS106" s="100"/>
      <c r="AT106" s="100"/>
    </row>
    <row r="107" spans="1:46" ht="16.3">
      <c r="A107" s="246" t="s">
        <v>5</v>
      </c>
      <c r="B107" s="509">
        <f>SUM(J107+K107+L107+M107+N107+S107+V107+W107+X107+AA107+AI107+AJ107+AI107+AM107+AP107+AQ107+AS107+AT107+AU107+AV107)</f>
        <v>0</v>
      </c>
      <c r="C107" s="215">
        <f t="shared" si="47"/>
        <v>0</v>
      </c>
      <c r="D107" s="596">
        <f t="shared" si="50"/>
        <v>1</v>
      </c>
      <c r="E107" s="604">
        <f t="shared" si="48"/>
        <v>1</v>
      </c>
      <c r="F107" s="626">
        <v>0</v>
      </c>
      <c r="G107" s="627">
        <v>0</v>
      </c>
      <c r="H107" s="96"/>
      <c r="I107" s="96">
        <v>1</v>
      </c>
      <c r="J107" s="104">
        <v>0</v>
      </c>
      <c r="K107" s="75"/>
      <c r="L107" s="75"/>
      <c r="M107" s="75"/>
      <c r="N107" s="75"/>
      <c r="O107" s="96"/>
      <c r="P107" s="105"/>
      <c r="Q107" s="105"/>
      <c r="R107" s="96"/>
      <c r="S107" s="104"/>
      <c r="T107" s="110"/>
      <c r="U107" s="110"/>
      <c r="V107" s="100"/>
      <c r="W107" s="100"/>
      <c r="X107" s="100"/>
      <c r="Y107" s="110">
        <v>1</v>
      </c>
      <c r="Z107" s="110"/>
      <c r="AA107" s="100"/>
      <c r="AB107" s="109"/>
      <c r="AC107" s="109"/>
      <c r="AD107" s="109"/>
      <c r="AE107" s="109"/>
      <c r="AF107" s="108"/>
      <c r="AG107" s="109"/>
      <c r="AH107" s="100"/>
      <c r="AI107" s="100"/>
      <c r="AJ107" s="110"/>
      <c r="AK107" s="416"/>
      <c r="AL107" s="100"/>
      <c r="AM107" s="100"/>
      <c r="AN107" s="111"/>
      <c r="AO107" s="100"/>
      <c r="AP107" s="100"/>
      <c r="AQ107" s="111"/>
      <c r="AR107" s="100"/>
      <c r="AS107" s="100"/>
      <c r="AT107" s="100"/>
    </row>
    <row r="108" spans="1:46" ht="16.3">
      <c r="A108" s="246" t="s">
        <v>6</v>
      </c>
      <c r="B108" s="509">
        <f>SUM(J108+K108+L108+M108+N108+S108+V108+W108+X108+AA108+AI108+AJ108+AI108+AM108+AP108+AQ108+AS108+AT108+AU108+AV108)</f>
        <v>1</v>
      </c>
      <c r="C108" s="215">
        <f t="shared" si="47"/>
        <v>1</v>
      </c>
      <c r="D108" s="596">
        <f t="shared" ref="D108:D109" si="51">SUM(D106+D107)</f>
        <v>1</v>
      </c>
      <c r="E108" s="604">
        <f t="shared" si="48"/>
        <v>1</v>
      </c>
      <c r="F108" s="626">
        <v>0</v>
      </c>
      <c r="G108" s="627">
        <v>0</v>
      </c>
      <c r="H108" s="96"/>
      <c r="I108" s="96">
        <v>2</v>
      </c>
      <c r="J108" s="104">
        <v>1</v>
      </c>
      <c r="K108" s="75"/>
      <c r="L108" s="75"/>
      <c r="M108" s="75"/>
      <c r="N108" s="75"/>
      <c r="O108" s="96"/>
      <c r="P108" s="105"/>
      <c r="Q108" s="105"/>
      <c r="R108" s="96"/>
      <c r="S108" s="104"/>
      <c r="T108" s="110"/>
      <c r="U108" s="110"/>
      <c r="V108" s="100"/>
      <c r="W108" s="100"/>
      <c r="X108" s="100"/>
      <c r="Y108" s="110">
        <v>1</v>
      </c>
      <c r="Z108" s="110"/>
      <c r="AA108" s="100"/>
      <c r="AB108" s="109"/>
      <c r="AC108" s="109"/>
      <c r="AD108" s="109"/>
      <c r="AE108" s="109"/>
      <c r="AF108" s="108"/>
      <c r="AG108" s="109"/>
      <c r="AH108" s="100"/>
      <c r="AI108" s="100"/>
      <c r="AJ108" s="110"/>
      <c r="AK108" s="416"/>
      <c r="AL108" s="100"/>
      <c r="AM108" s="100"/>
      <c r="AN108" s="111"/>
      <c r="AO108" s="100"/>
      <c r="AP108" s="100"/>
      <c r="AQ108" s="111"/>
      <c r="AR108" s="100"/>
      <c r="AS108" s="100"/>
      <c r="AT108" s="100"/>
    </row>
    <row r="109" spans="1:46" ht="16.3">
      <c r="A109" s="246" t="s">
        <v>368</v>
      </c>
      <c r="B109" s="509">
        <f>SUM(B107/B108)*100</f>
        <v>0</v>
      </c>
      <c r="C109" s="215">
        <f>SUM(C107/C108)*100</f>
        <v>0</v>
      </c>
      <c r="D109" s="596">
        <f t="shared" si="51"/>
        <v>2</v>
      </c>
      <c r="E109" s="604">
        <f t="shared" si="48"/>
        <v>2</v>
      </c>
      <c r="F109" s="626">
        <v>0</v>
      </c>
      <c r="G109" s="627">
        <v>0</v>
      </c>
      <c r="H109" s="96"/>
      <c r="I109" s="96">
        <v>50</v>
      </c>
      <c r="J109" s="104">
        <v>0</v>
      </c>
      <c r="K109" s="75"/>
      <c r="L109" s="75"/>
      <c r="M109" s="75"/>
      <c r="N109" s="75"/>
      <c r="O109" s="96"/>
      <c r="P109" s="105"/>
      <c r="Q109" s="105"/>
      <c r="R109" s="96"/>
      <c r="S109" s="104"/>
      <c r="T109" s="110"/>
      <c r="U109" s="110"/>
      <c r="V109" s="100"/>
      <c r="W109" s="100"/>
      <c r="X109" s="100"/>
      <c r="Y109" s="110">
        <v>100</v>
      </c>
      <c r="Z109" s="110"/>
      <c r="AA109" s="100"/>
      <c r="AB109" s="109"/>
      <c r="AC109" s="109"/>
      <c r="AD109" s="109"/>
      <c r="AE109" s="109"/>
      <c r="AF109" s="108"/>
      <c r="AG109" s="109"/>
      <c r="AH109" s="100"/>
      <c r="AI109" s="100"/>
      <c r="AJ109" s="110"/>
      <c r="AK109" s="416"/>
      <c r="AL109" s="100"/>
      <c r="AM109" s="100"/>
      <c r="AN109" s="111"/>
      <c r="AO109" s="100"/>
      <c r="AP109" s="100"/>
      <c r="AQ109" s="111"/>
      <c r="AR109" s="100"/>
      <c r="AS109" s="100"/>
      <c r="AT109" s="100"/>
    </row>
    <row r="110" spans="1:46" ht="16.3">
      <c r="A110" s="83" t="s">
        <v>3</v>
      </c>
      <c r="B110" s="508">
        <f>SUM(J110+K110+L110+M110+N110+S110+V110+W110+X110+AA110+AI110+AJ110+AI110+AM110+AP110+AQ110+AS110+AT110+AU110+AV110)+1</f>
        <v>1</v>
      </c>
      <c r="C110" s="214">
        <f t="shared" si="47"/>
        <v>1</v>
      </c>
      <c r="D110" s="595">
        <f t="shared" ref="D110:D111" si="52">SUM(T110+U110+Y110+Z110+AK110+AL110+AO110+AR110)</f>
        <v>0</v>
      </c>
      <c r="E110" s="602">
        <f t="shared" si="48"/>
        <v>0</v>
      </c>
      <c r="F110" s="617">
        <v>0</v>
      </c>
      <c r="G110" s="621">
        <v>0</v>
      </c>
      <c r="H110" s="96"/>
      <c r="I110" s="96"/>
      <c r="J110" s="104"/>
      <c r="K110" s="75"/>
      <c r="L110" s="75"/>
      <c r="M110" s="75"/>
      <c r="N110" s="75"/>
      <c r="O110" s="96"/>
      <c r="P110" s="105"/>
      <c r="Q110" s="105"/>
      <c r="R110" s="96"/>
      <c r="S110" s="104"/>
      <c r="T110" s="110"/>
      <c r="U110" s="110"/>
      <c r="V110" s="100"/>
      <c r="W110" s="100"/>
      <c r="X110" s="100"/>
      <c r="Y110" s="110"/>
      <c r="Z110" s="110"/>
      <c r="AA110" s="100"/>
      <c r="AB110" s="109"/>
      <c r="AC110" s="109"/>
      <c r="AD110" s="109"/>
      <c r="AE110" s="109"/>
      <c r="AF110" s="108"/>
      <c r="AG110" s="109"/>
      <c r="AH110" s="100"/>
      <c r="AI110" s="100"/>
      <c r="AJ110" s="110"/>
      <c r="AK110" s="416"/>
      <c r="AL110" s="100"/>
      <c r="AM110" s="100"/>
      <c r="AN110" s="111"/>
      <c r="AO110" s="100"/>
      <c r="AP110" s="100"/>
      <c r="AQ110" s="111"/>
      <c r="AR110" s="100"/>
      <c r="AS110" s="100"/>
      <c r="AT110" s="100"/>
    </row>
    <row r="111" spans="1:46" ht="17" thickBot="1">
      <c r="A111" s="85" t="s">
        <v>4</v>
      </c>
      <c r="B111" s="510">
        <f>SUM(J111+K111+L111+M111+N111+S111+V111+W111+X111+AA111+AI111+AJ111+AI111+AM111+AP111+AQ111+AS111+AT111+AU111+AV111)+5</f>
        <v>5</v>
      </c>
      <c r="C111" s="217">
        <f t="shared" ref="C111" si="53">B111</f>
        <v>5</v>
      </c>
      <c r="D111" s="597">
        <f t="shared" si="52"/>
        <v>2</v>
      </c>
      <c r="E111" s="603">
        <f t="shared" si="48"/>
        <v>2</v>
      </c>
      <c r="F111" s="618">
        <v>0</v>
      </c>
      <c r="G111" s="622">
        <v>0</v>
      </c>
      <c r="H111" s="114"/>
      <c r="I111" s="114">
        <v>3</v>
      </c>
      <c r="J111" s="113">
        <v>0</v>
      </c>
      <c r="K111" s="112"/>
      <c r="L111" s="112"/>
      <c r="M111" s="112"/>
      <c r="N111" s="112"/>
      <c r="O111" s="114"/>
      <c r="P111" s="127"/>
      <c r="Q111" s="127"/>
      <c r="R111" s="114"/>
      <c r="S111" s="113"/>
      <c r="T111" s="120"/>
      <c r="U111" s="119"/>
      <c r="V111" s="116"/>
      <c r="W111" s="116"/>
      <c r="X111" s="116"/>
      <c r="Y111" s="120">
        <v>2</v>
      </c>
      <c r="Z111" s="120"/>
      <c r="AA111" s="116"/>
      <c r="AB111" s="118"/>
      <c r="AC111" s="118"/>
      <c r="AD111" s="118"/>
      <c r="AE111" s="118"/>
      <c r="AF111" s="117"/>
      <c r="AG111" s="118"/>
      <c r="AH111" s="116"/>
      <c r="AI111" s="116"/>
      <c r="AJ111" s="120"/>
      <c r="AK111" s="417"/>
      <c r="AL111" s="116"/>
      <c r="AM111" s="116"/>
      <c r="AN111" s="121"/>
      <c r="AO111" s="116"/>
      <c r="AP111" s="116"/>
      <c r="AQ111" s="121"/>
      <c r="AR111" s="116"/>
      <c r="AS111" s="116"/>
      <c r="AT111" s="116"/>
    </row>
    <row r="112" spans="1:46" ht="21.1">
      <c r="A112" s="82" t="s">
        <v>600</v>
      </c>
      <c r="B112" s="508"/>
      <c r="C112" s="214"/>
      <c r="D112" s="595"/>
      <c r="E112" s="602"/>
      <c r="F112" s="617"/>
      <c r="G112" s="621"/>
      <c r="H112" s="96" t="s">
        <v>662</v>
      </c>
      <c r="I112" s="96" t="s">
        <v>662</v>
      </c>
      <c r="J112" s="75" t="s">
        <v>662</v>
      </c>
      <c r="K112" s="75" t="s">
        <v>662</v>
      </c>
      <c r="L112" s="75" t="s">
        <v>432</v>
      </c>
      <c r="M112" s="75" t="s">
        <v>384</v>
      </c>
      <c r="N112" s="75" t="s">
        <v>384</v>
      </c>
      <c r="O112" s="96"/>
      <c r="P112" s="105"/>
      <c r="Q112" s="105"/>
      <c r="R112" s="96" t="s">
        <v>662</v>
      </c>
      <c r="S112" s="104" t="s">
        <v>375</v>
      </c>
      <c r="T112" s="106" t="s">
        <v>339</v>
      </c>
      <c r="U112" s="110" t="s">
        <v>339</v>
      </c>
      <c r="V112" s="102" t="s">
        <v>339</v>
      </c>
      <c r="W112" s="102" t="s">
        <v>339</v>
      </c>
      <c r="X112" s="102" t="s">
        <v>339</v>
      </c>
      <c r="Y112" s="101" t="s">
        <v>339</v>
      </c>
      <c r="Z112" s="101" t="s">
        <v>339</v>
      </c>
      <c r="AA112" s="102" t="s">
        <v>375</v>
      </c>
      <c r="AB112" s="99">
        <v>10</v>
      </c>
      <c r="AC112" s="99" t="s">
        <v>379</v>
      </c>
      <c r="AD112" s="99"/>
      <c r="AE112" s="99"/>
      <c r="AF112" s="98"/>
      <c r="AG112" s="99"/>
      <c r="AH112" s="102"/>
      <c r="AI112" s="102"/>
      <c r="AJ112" s="101"/>
      <c r="AK112" s="414"/>
      <c r="AL112" s="102"/>
      <c r="AM112" s="102"/>
      <c r="AN112" s="103"/>
      <c r="AO112" s="102"/>
      <c r="AP112" s="102"/>
      <c r="AQ112" s="103"/>
      <c r="AR112" s="102"/>
      <c r="AS112" s="102"/>
      <c r="AT112" s="102"/>
    </row>
    <row r="113" spans="1:46" ht="16.3">
      <c r="A113" s="246" t="s">
        <v>1</v>
      </c>
      <c r="B113" s="509">
        <f>SUM(J113+K113+L113+M113+N113+S113+V113+W113+X113+AA113+AI113+AJ113+AI113+AM113+AP113+AQ113+AS113+AT113+AU113+AV113+AN113)</f>
        <v>2</v>
      </c>
      <c r="C113" s="215">
        <f>SUM(J113+K113+L113+M113+N113+S113+W113+X113+V113+AA113+AJ113+AI113+AJ113+AN113+AQ113+AM113+AT113+AU113+AV113+AW113+AP113+AS113)+35</f>
        <v>37</v>
      </c>
      <c r="D113" s="596">
        <f>SUM(T113+U113+Y113+Z113+AK113+AL113+AO113+AR113)</f>
        <v>0</v>
      </c>
      <c r="E113" s="604">
        <f>SUM(U113+T113+Z113+Y113+AL113+AK113+AO113+AR113)+7</f>
        <v>7</v>
      </c>
      <c r="F113" s="626">
        <v>0</v>
      </c>
      <c r="G113" s="627">
        <v>5</v>
      </c>
      <c r="H113" s="96"/>
      <c r="I113" s="96"/>
      <c r="J113" s="104"/>
      <c r="K113" s="75"/>
      <c r="L113" s="75"/>
      <c r="M113" s="75">
        <v>1</v>
      </c>
      <c r="N113" s="75">
        <v>1</v>
      </c>
      <c r="O113" s="96"/>
      <c r="P113" s="105"/>
      <c r="Q113" s="105"/>
      <c r="R113" s="96"/>
      <c r="S113" s="104"/>
      <c r="T113" s="110"/>
      <c r="U113" s="110"/>
      <c r="V113" s="100"/>
      <c r="W113" s="100"/>
      <c r="X113" s="100"/>
      <c r="Y113" s="110"/>
      <c r="Z113" s="110"/>
      <c r="AA113" s="100"/>
      <c r="AB113" s="109">
        <v>1</v>
      </c>
      <c r="AC113" s="109">
        <v>1</v>
      </c>
      <c r="AD113" s="109"/>
      <c r="AE113" s="109"/>
      <c r="AF113" s="108"/>
      <c r="AG113" s="109"/>
      <c r="AH113" s="100"/>
      <c r="AI113" s="100"/>
      <c r="AJ113" s="110"/>
      <c r="AK113" s="416"/>
      <c r="AL113" s="100"/>
      <c r="AM113" s="100"/>
      <c r="AN113" s="111"/>
      <c r="AO113" s="100"/>
      <c r="AP113" s="100"/>
      <c r="AQ113" s="111"/>
      <c r="AR113" s="100"/>
      <c r="AS113" s="100"/>
      <c r="AT113" s="100"/>
    </row>
    <row r="114" spans="1:46" ht="16.3">
      <c r="A114" s="246" t="s">
        <v>2</v>
      </c>
      <c r="B114" s="509">
        <f>SUM(J114+K114+L114+M114+N114+S114+V114+W114+X114+AA114+AI114+AJ114+AI114+AM114+AP114+AQ114+AS114+AT114+AU114+AV114)</f>
        <v>3</v>
      </c>
      <c r="C114" s="215">
        <f>SUM(J114+K114+L114+M114+N114+S114+W114+X114+V114+AA114+AJ114+AI114+AJ114+AN114+AQ114+AM114+AT114+AU114+AV114+AW114+AP114+AS114)+4</f>
        <v>7</v>
      </c>
      <c r="D114" s="596">
        <f>SUM(T114+U114+Y114+Z114+AK114+AL114+AO114+AR114)</f>
        <v>0</v>
      </c>
      <c r="E114" s="604">
        <f>SUM(U114+T114+Z114+Y114+AL114+AK114+AO114+AR114)+2</f>
        <v>2</v>
      </c>
      <c r="F114" s="626">
        <v>0</v>
      </c>
      <c r="G114" s="627">
        <v>0</v>
      </c>
      <c r="H114" s="96"/>
      <c r="I114" s="96"/>
      <c r="J114" s="104"/>
      <c r="K114" s="75"/>
      <c r="L114" s="75">
        <v>1</v>
      </c>
      <c r="M114" s="75"/>
      <c r="N114" s="75"/>
      <c r="O114" s="96"/>
      <c r="P114" s="105"/>
      <c r="Q114" s="105"/>
      <c r="R114" s="96"/>
      <c r="S114" s="104">
        <v>1</v>
      </c>
      <c r="T114" s="110"/>
      <c r="U114" s="110"/>
      <c r="V114" s="100"/>
      <c r="W114" s="100"/>
      <c r="X114" s="100"/>
      <c r="Y114" s="110"/>
      <c r="Z114" s="110"/>
      <c r="AA114" s="100">
        <v>1</v>
      </c>
      <c r="AB114" s="109"/>
      <c r="AC114" s="109"/>
      <c r="AD114" s="109"/>
      <c r="AE114" s="109"/>
      <c r="AF114" s="108"/>
      <c r="AG114" s="109"/>
      <c r="AH114" s="100"/>
      <c r="AI114" s="100"/>
      <c r="AJ114" s="110"/>
      <c r="AK114" s="416"/>
      <c r="AL114" s="100"/>
      <c r="AM114" s="100"/>
      <c r="AN114" s="111"/>
      <c r="AO114" s="100"/>
      <c r="AP114" s="100"/>
      <c r="AQ114" s="111"/>
      <c r="AR114" s="100"/>
      <c r="AS114" s="100"/>
      <c r="AT114" s="100"/>
    </row>
    <row r="115" spans="1:46" ht="16.3">
      <c r="A115" s="83" t="s">
        <v>363</v>
      </c>
      <c r="B115" s="508">
        <f>SUM(B113+B114)</f>
        <v>5</v>
      </c>
      <c r="C115" s="214">
        <f>SUM(C113+C114)</f>
        <v>44</v>
      </c>
      <c r="D115" s="595">
        <f>SUM(D113+D114)</f>
        <v>0</v>
      </c>
      <c r="E115" s="602">
        <f>SUM(E113+E114)</f>
        <v>9</v>
      </c>
      <c r="F115" s="617">
        <v>0</v>
      </c>
      <c r="G115" s="621">
        <f>SUM(G113+G114)</f>
        <v>5</v>
      </c>
      <c r="H115" s="96"/>
      <c r="I115" s="96"/>
      <c r="J115" s="104"/>
      <c r="K115" s="75"/>
      <c r="L115" s="75"/>
      <c r="M115" s="75"/>
      <c r="N115" s="75"/>
      <c r="O115" s="96"/>
      <c r="P115" s="105"/>
      <c r="Q115" s="105"/>
      <c r="R115" s="96"/>
      <c r="S115" s="104"/>
      <c r="T115" s="110"/>
      <c r="U115" s="110"/>
      <c r="V115" s="100"/>
      <c r="W115" s="100"/>
      <c r="X115" s="100"/>
      <c r="Y115" s="110"/>
      <c r="Z115" s="110"/>
      <c r="AA115" s="100"/>
      <c r="AB115" s="109"/>
      <c r="AC115" s="109"/>
      <c r="AD115" s="109"/>
      <c r="AE115" s="109"/>
      <c r="AF115" s="108"/>
      <c r="AG115" s="109"/>
      <c r="AH115" s="100"/>
      <c r="AI115" s="100"/>
      <c r="AJ115" s="110"/>
      <c r="AK115" s="416"/>
      <c r="AL115" s="100"/>
      <c r="AM115" s="100"/>
      <c r="AN115" s="111"/>
      <c r="AO115" s="100"/>
      <c r="AP115" s="100"/>
      <c r="AQ115" s="111"/>
      <c r="AR115" s="100"/>
      <c r="AS115" s="100"/>
      <c r="AT115" s="100"/>
    </row>
    <row r="116" spans="1:46" ht="16.3">
      <c r="A116" s="246" t="s">
        <v>362</v>
      </c>
      <c r="B116" s="509">
        <f>SUM(J116+K116+L116+M116+N116+S116+V116+W116+X116+AA116+AI116+AJ116+AI116+AM116+AP116+AQ116+AS116+AT116+AU116+AV116)</f>
        <v>0</v>
      </c>
      <c r="C116" s="215">
        <f>SUM(J116+K116+L116+M116+N116+S116+W116+X116+V116+AA116+AJ116+AI116+AJ116+AN116+AQ116+AM116+AT116+AU116+AV116+AW116+AP116+AS116)+1</f>
        <v>1</v>
      </c>
      <c r="D116" s="596">
        <f t="shared" ref="D116:D117" si="54">SUM(T116+U116+Y116+Z116+AK116+AL116+AO116+AR116)</f>
        <v>0</v>
      </c>
      <c r="E116" s="604">
        <f>SUM(U116+T116+Z116+Y116+AL116+AK116+AO116+AR116)</f>
        <v>0</v>
      </c>
      <c r="F116" s="626">
        <v>0</v>
      </c>
      <c r="G116" s="627">
        <v>0</v>
      </c>
      <c r="H116" s="96"/>
      <c r="I116" s="96"/>
      <c r="J116" s="104"/>
      <c r="K116" s="75"/>
      <c r="L116" s="75"/>
      <c r="M116" s="75"/>
      <c r="N116" s="75"/>
      <c r="O116" s="96"/>
      <c r="P116" s="105"/>
      <c r="Q116" s="105"/>
      <c r="R116" s="96"/>
      <c r="S116" s="104"/>
      <c r="T116" s="110"/>
      <c r="U116" s="110"/>
      <c r="V116" s="100"/>
      <c r="W116" s="100"/>
      <c r="X116" s="100"/>
      <c r="Y116" s="110"/>
      <c r="Z116" s="110"/>
      <c r="AA116" s="100"/>
      <c r="AB116" s="109"/>
      <c r="AC116" s="109"/>
      <c r="AD116" s="109"/>
      <c r="AE116" s="109"/>
      <c r="AF116" s="108"/>
      <c r="AG116" s="109"/>
      <c r="AH116" s="100"/>
      <c r="AI116" s="100"/>
      <c r="AJ116" s="110"/>
      <c r="AK116" s="416"/>
      <c r="AL116" s="100"/>
      <c r="AM116" s="100"/>
      <c r="AN116" s="111"/>
      <c r="AO116" s="100"/>
      <c r="AP116" s="100"/>
      <c r="AQ116" s="111"/>
      <c r="AR116" s="100"/>
      <c r="AS116" s="100"/>
      <c r="AT116" s="100"/>
    </row>
    <row r="117" spans="1:46" ht="16.3">
      <c r="A117" s="246" t="s">
        <v>5</v>
      </c>
      <c r="B117" s="509">
        <f>SUM(J117+K117+L117+M117+N117+S117+V117+W117+X117+AA117+AI117+AJ117+AI117+AM117+AP117+AQ117+AS117+AT117+AU117+AV117+AN117)</f>
        <v>7</v>
      </c>
      <c r="C117" s="215">
        <f>SUM(J117+K117+L117+M117+N117+S117+W117+X117+V117+AA117+AJ117+AI117+AJ117+AN117+AQ117+AM117+AT117+AU117+AV117+AW117+AP117+AS117)+36</f>
        <v>43</v>
      </c>
      <c r="D117" s="596">
        <f t="shared" si="54"/>
        <v>0</v>
      </c>
      <c r="E117" s="604">
        <f>SUM(U117+T117+Z117+Y117+AL117+AK117+AO117+AR117)+3</f>
        <v>3</v>
      </c>
      <c r="F117" s="626">
        <v>0</v>
      </c>
      <c r="G117" s="627">
        <v>0</v>
      </c>
      <c r="H117" s="96"/>
      <c r="I117" s="96"/>
      <c r="J117" s="104"/>
      <c r="K117" s="75"/>
      <c r="L117" s="75">
        <v>1</v>
      </c>
      <c r="M117" s="75">
        <v>2</v>
      </c>
      <c r="N117" s="75">
        <v>4</v>
      </c>
      <c r="O117" s="96"/>
      <c r="P117" s="105"/>
      <c r="Q117" s="105"/>
      <c r="R117" s="96"/>
      <c r="S117" s="104"/>
      <c r="T117" s="110"/>
      <c r="U117" s="110"/>
      <c r="V117" s="100"/>
      <c r="W117" s="100"/>
      <c r="X117" s="100"/>
      <c r="Y117" s="110"/>
      <c r="Z117" s="110"/>
      <c r="AA117" s="100">
        <v>0</v>
      </c>
      <c r="AB117" s="109">
        <v>1</v>
      </c>
      <c r="AC117" s="109">
        <v>4</v>
      </c>
      <c r="AD117" s="109"/>
      <c r="AE117" s="109"/>
      <c r="AF117" s="108"/>
      <c r="AG117" s="109"/>
      <c r="AH117" s="100"/>
      <c r="AI117" s="100"/>
      <c r="AJ117" s="110"/>
      <c r="AK117" s="416"/>
      <c r="AL117" s="100"/>
      <c r="AM117" s="100"/>
      <c r="AN117" s="111"/>
      <c r="AO117" s="100"/>
      <c r="AP117" s="100"/>
      <c r="AQ117" s="111"/>
      <c r="AR117" s="100"/>
      <c r="AS117" s="100"/>
      <c r="AT117" s="100"/>
    </row>
    <row r="118" spans="1:46" ht="16.3">
      <c r="A118" s="246" t="s">
        <v>6</v>
      </c>
      <c r="B118" s="509">
        <f>SUM(J118+K118+L118+M118+N118+S118+V118+W118+X118+AA118+AI118+AJ118+AI118+AM118+AP118+AQ118+AS118+AT118+AU118+AV118)</f>
        <v>11</v>
      </c>
      <c r="C118" s="215">
        <f>SUM(J118+K118+L118+M118+N118+S118+W118+X118+V118+AA118+AJ118+AI118+AJ118+AN118+AQ118+AM118+AT118+AU118+AV118+AW118+AP118+AS118)+55</f>
        <v>66</v>
      </c>
      <c r="D118" s="596">
        <f t="shared" ref="D118:D119" si="55">SUM(D116+D117)</f>
        <v>0</v>
      </c>
      <c r="E118" s="604">
        <f>SUM(U118+T118+Z118+Y118+AL118+AK118+AO118+AR118)+7</f>
        <v>7</v>
      </c>
      <c r="F118" s="626">
        <v>0</v>
      </c>
      <c r="G118" s="627">
        <v>0</v>
      </c>
      <c r="H118" s="96"/>
      <c r="I118" s="96"/>
      <c r="J118" s="104"/>
      <c r="K118" s="75"/>
      <c r="L118" s="75">
        <v>1</v>
      </c>
      <c r="M118" s="75">
        <v>3</v>
      </c>
      <c r="N118" s="75">
        <v>5</v>
      </c>
      <c r="O118" s="96"/>
      <c r="P118" s="105"/>
      <c r="Q118" s="105"/>
      <c r="R118" s="96"/>
      <c r="S118" s="104"/>
      <c r="T118" s="110"/>
      <c r="U118" s="110"/>
      <c r="V118" s="100"/>
      <c r="W118" s="100"/>
      <c r="X118" s="100"/>
      <c r="Y118" s="110"/>
      <c r="Z118" s="110"/>
      <c r="AA118" s="100">
        <v>2</v>
      </c>
      <c r="AB118" s="109">
        <v>4</v>
      </c>
      <c r="AC118" s="109">
        <v>4</v>
      </c>
      <c r="AD118" s="109"/>
      <c r="AE118" s="109"/>
      <c r="AF118" s="108"/>
      <c r="AG118" s="109"/>
      <c r="AH118" s="100"/>
      <c r="AI118" s="100"/>
      <c r="AJ118" s="110"/>
      <c r="AK118" s="416"/>
      <c r="AL118" s="100"/>
      <c r="AM118" s="100"/>
      <c r="AN118" s="111"/>
      <c r="AO118" s="100"/>
      <c r="AP118" s="100"/>
      <c r="AQ118" s="111"/>
      <c r="AR118" s="100"/>
      <c r="AS118" s="100"/>
      <c r="AT118" s="100"/>
    </row>
    <row r="119" spans="1:46" ht="16.3">
      <c r="A119" s="246" t="s">
        <v>368</v>
      </c>
      <c r="B119" s="511">
        <f>SUM(B117/B118)*100</f>
        <v>63.636363636363633</v>
      </c>
      <c r="C119" s="216">
        <f>SUM(C117/C118)*100</f>
        <v>65.151515151515156</v>
      </c>
      <c r="D119" s="596">
        <f t="shared" si="55"/>
        <v>0</v>
      </c>
      <c r="E119" s="625">
        <f>SUM(E117/E118)*100</f>
        <v>42.857142857142854</v>
      </c>
      <c r="F119" s="626">
        <v>0</v>
      </c>
      <c r="G119" s="627">
        <v>0</v>
      </c>
      <c r="H119" s="96"/>
      <c r="I119" s="96"/>
      <c r="J119" s="104"/>
      <c r="K119" s="75"/>
      <c r="L119" s="75">
        <v>100</v>
      </c>
      <c r="M119" s="75">
        <v>67</v>
      </c>
      <c r="N119" s="75">
        <v>80</v>
      </c>
      <c r="O119" s="96"/>
      <c r="P119" s="105"/>
      <c r="Q119" s="105"/>
      <c r="R119" s="96"/>
      <c r="S119" s="104"/>
      <c r="T119" s="110"/>
      <c r="U119" s="110"/>
      <c r="V119" s="100"/>
      <c r="W119" s="100"/>
      <c r="X119" s="100"/>
      <c r="Y119" s="110"/>
      <c r="Z119" s="110"/>
      <c r="AA119" s="100">
        <v>0</v>
      </c>
      <c r="AB119" s="109">
        <v>25</v>
      </c>
      <c r="AC119" s="109">
        <v>100</v>
      </c>
      <c r="AD119" s="109"/>
      <c r="AE119" s="109"/>
      <c r="AF119" s="108"/>
      <c r="AG119" s="109"/>
      <c r="AH119" s="100"/>
      <c r="AI119" s="100"/>
      <c r="AJ119" s="110"/>
      <c r="AK119" s="416"/>
      <c r="AL119" s="100"/>
      <c r="AM119" s="100"/>
      <c r="AN119" s="111"/>
      <c r="AO119" s="100"/>
      <c r="AP119" s="100"/>
      <c r="AQ119" s="111"/>
      <c r="AR119" s="100"/>
      <c r="AS119" s="100"/>
      <c r="AT119" s="100"/>
    </row>
    <row r="120" spans="1:46" ht="16.3">
      <c r="A120" s="83" t="s">
        <v>3</v>
      </c>
      <c r="B120" s="508">
        <f t="shared" ref="B120:B121" si="56">SUM(J120+K120+L120+M120+N120+S120+V120+W120+X120+AA120+AI120+AJ120+AI120+AM120+AP120+AQ120+AS120+AT120+AU120+AV120)</f>
        <v>0</v>
      </c>
      <c r="C120" s="214">
        <f t="shared" ref="C120" si="57">SUM(J120+K120+L120+M120+N120+S120+W120+X120+V120+AA120+AJ120+AI120+AJ120+AN120+AQ120+AM120+AT120+AU120+AV120+AW120+AP120+AS120)+4</f>
        <v>4</v>
      </c>
      <c r="D120" s="595">
        <f t="shared" ref="D120:D121" si="58">SUM(T120+U120+Y120+Z120+AK120+AL120+AO120+AR120)</f>
        <v>0</v>
      </c>
      <c r="E120" s="602">
        <f>SUM(U120+T120+Z120+Y120+AL120+AK120+AO120+AR120)</f>
        <v>0</v>
      </c>
      <c r="F120" s="617">
        <v>0</v>
      </c>
      <c r="G120" s="621">
        <v>0</v>
      </c>
      <c r="H120" s="96"/>
      <c r="I120" s="96"/>
      <c r="J120" s="104"/>
      <c r="K120" s="75"/>
      <c r="L120" s="75"/>
      <c r="M120" s="75"/>
      <c r="N120" s="75"/>
      <c r="O120" s="96"/>
      <c r="P120" s="105"/>
      <c r="Q120" s="105"/>
      <c r="R120" s="96"/>
      <c r="S120" s="104"/>
      <c r="T120" s="110"/>
      <c r="U120" s="110"/>
      <c r="V120" s="100"/>
      <c r="W120" s="100"/>
      <c r="X120" s="100"/>
      <c r="Y120" s="110"/>
      <c r="Z120" s="110"/>
      <c r="AA120" s="100"/>
      <c r="AB120" s="109"/>
      <c r="AC120" s="109"/>
      <c r="AD120" s="109"/>
      <c r="AE120" s="109"/>
      <c r="AF120" s="108"/>
      <c r="AG120" s="109"/>
      <c r="AH120" s="100"/>
      <c r="AI120" s="100"/>
      <c r="AJ120" s="110"/>
      <c r="AK120" s="416"/>
      <c r="AL120" s="100"/>
      <c r="AM120" s="100"/>
      <c r="AN120" s="111"/>
      <c r="AO120" s="100"/>
      <c r="AP120" s="100"/>
      <c r="AQ120" s="111"/>
      <c r="AR120" s="100"/>
      <c r="AS120" s="100"/>
      <c r="AT120" s="100"/>
    </row>
    <row r="121" spans="1:46" ht="17" thickBot="1">
      <c r="A121" s="85" t="s">
        <v>4</v>
      </c>
      <c r="B121" s="510">
        <f t="shared" si="56"/>
        <v>16</v>
      </c>
      <c r="C121" s="217">
        <f>SUM(J121+K121+L121+M121+N121+S121+W121+X121+V121+AA121+AJ121+AI121+AJ121+AN121+AQ121+AM121+AT121+AU121+AV121+AW121+AP121+AS121)+115</f>
        <v>131</v>
      </c>
      <c r="D121" s="597">
        <f t="shared" si="58"/>
        <v>0</v>
      </c>
      <c r="E121" s="603">
        <f>SUM(U121+T121+Z121+Y121+AL121+AK121+AO121+AR121)+9</f>
        <v>9</v>
      </c>
      <c r="F121" s="618">
        <v>0</v>
      </c>
      <c r="G121" s="622">
        <v>0</v>
      </c>
      <c r="H121" s="114"/>
      <c r="I121" s="114"/>
      <c r="J121" s="113"/>
      <c r="K121" s="112"/>
      <c r="L121" s="112">
        <v>3</v>
      </c>
      <c r="M121" s="112">
        <v>4</v>
      </c>
      <c r="N121" s="112">
        <v>9</v>
      </c>
      <c r="O121" s="114"/>
      <c r="P121" s="127"/>
      <c r="Q121" s="127"/>
      <c r="R121" s="114"/>
      <c r="S121" s="113"/>
      <c r="T121" s="120"/>
      <c r="U121" s="119"/>
      <c r="V121" s="116"/>
      <c r="W121" s="116"/>
      <c r="X121" s="116"/>
      <c r="Y121" s="120"/>
      <c r="Z121" s="120"/>
      <c r="AA121" s="116">
        <v>0</v>
      </c>
      <c r="AB121" s="118">
        <v>2</v>
      </c>
      <c r="AC121" s="118">
        <v>8</v>
      </c>
      <c r="AD121" s="118"/>
      <c r="AE121" s="118"/>
      <c r="AF121" s="117"/>
      <c r="AG121" s="118"/>
      <c r="AH121" s="116"/>
      <c r="AI121" s="116"/>
      <c r="AJ121" s="120"/>
      <c r="AK121" s="417"/>
      <c r="AL121" s="116"/>
      <c r="AM121" s="116"/>
      <c r="AN121" s="121"/>
      <c r="AO121" s="116"/>
      <c r="AP121" s="116"/>
      <c r="AQ121" s="121"/>
      <c r="AR121" s="116"/>
      <c r="AS121" s="116"/>
      <c r="AT121" s="116"/>
    </row>
    <row r="122" spans="1:46" ht="21.1">
      <c r="A122" s="82" t="s">
        <v>599</v>
      </c>
      <c r="B122" s="508"/>
      <c r="C122" s="214"/>
      <c r="D122" s="595"/>
      <c r="E122" s="602"/>
      <c r="F122" s="617"/>
      <c r="G122" s="621"/>
      <c r="H122" s="96" t="s">
        <v>452</v>
      </c>
      <c r="I122" s="96"/>
      <c r="J122" s="104" t="s">
        <v>384</v>
      </c>
      <c r="K122" s="75" t="s">
        <v>339</v>
      </c>
      <c r="L122" s="75" t="s">
        <v>375</v>
      </c>
      <c r="M122" s="75"/>
      <c r="N122" s="75" t="s">
        <v>375</v>
      </c>
      <c r="O122" s="96">
        <v>10</v>
      </c>
      <c r="P122" s="105"/>
      <c r="Q122" s="105"/>
      <c r="R122" s="96">
        <v>15</v>
      </c>
      <c r="S122" s="104">
        <v>12</v>
      </c>
      <c r="T122" s="110"/>
      <c r="U122" s="110" t="s">
        <v>375</v>
      </c>
      <c r="V122" s="100" t="s">
        <v>375</v>
      </c>
      <c r="W122" s="100" t="s">
        <v>375</v>
      </c>
      <c r="X122" s="100">
        <v>12</v>
      </c>
      <c r="Y122" s="110" t="s">
        <v>381</v>
      </c>
      <c r="Z122" s="110" t="s">
        <v>375</v>
      </c>
      <c r="AA122" s="100">
        <v>12</v>
      </c>
      <c r="AB122" s="109">
        <v>15</v>
      </c>
      <c r="AC122" s="109" t="s">
        <v>816</v>
      </c>
      <c r="AD122" s="109">
        <v>12</v>
      </c>
      <c r="AE122" s="109" t="s">
        <v>384</v>
      </c>
      <c r="AF122" s="108"/>
      <c r="AG122" s="109" t="s">
        <v>381</v>
      </c>
      <c r="AH122" s="100"/>
      <c r="AI122" s="100"/>
      <c r="AJ122" s="110"/>
      <c r="AK122" s="416"/>
      <c r="AL122" s="100"/>
      <c r="AM122" s="100"/>
      <c r="AN122" s="111"/>
      <c r="AO122" s="100"/>
      <c r="AP122" s="100"/>
      <c r="AQ122" s="111"/>
      <c r="AR122" s="100"/>
      <c r="AS122" s="100"/>
      <c r="AT122" s="100"/>
    </row>
    <row r="123" spans="1:46" ht="16.3">
      <c r="A123" s="246" t="s">
        <v>1</v>
      </c>
      <c r="B123" s="509">
        <f>SUM(J123+K123+L123+M123+N123+S123+V123+W123+X123+AA123+AI123+AJ123+AI123+AM123+AP123+AQ123+AS123+AT123+AU123+AV123+AN123)</f>
        <v>4</v>
      </c>
      <c r="C123" s="215">
        <f>SUM(J123+K123+L123+M123+N123+S123+W123+X123+V123+AA123+AJ123+AI123+AJ123+AN123+AQ123+AM123+AT123+AU123+AV123+AW123+AP123+AS123)+38</f>
        <v>42</v>
      </c>
      <c r="D123" s="596">
        <f>SUM(T123+U123+Y123+Z123+AK123+AL123+AO123+AR123)</f>
        <v>1</v>
      </c>
      <c r="E123" s="604">
        <f>SUM(U123+T123+Z123+Y123+AL123+AK123+AO123+AR123)+3</f>
        <v>4</v>
      </c>
      <c r="F123" s="626">
        <v>0</v>
      </c>
      <c r="G123" s="627">
        <v>3</v>
      </c>
      <c r="H123" s="96">
        <v>1</v>
      </c>
      <c r="I123" s="96"/>
      <c r="J123" s="104">
        <v>1</v>
      </c>
      <c r="K123" s="75"/>
      <c r="L123" s="75"/>
      <c r="M123" s="75"/>
      <c r="N123" s="75"/>
      <c r="O123" s="96">
        <v>1</v>
      </c>
      <c r="P123" s="105"/>
      <c r="Q123" s="105"/>
      <c r="R123" s="96">
        <v>1</v>
      </c>
      <c r="S123" s="104">
        <v>1</v>
      </c>
      <c r="T123" s="110"/>
      <c r="U123" s="110"/>
      <c r="V123" s="100"/>
      <c r="W123" s="100"/>
      <c r="X123" s="100">
        <v>1</v>
      </c>
      <c r="Y123" s="110">
        <v>1</v>
      </c>
      <c r="Z123" s="110"/>
      <c r="AA123" s="100">
        <v>1</v>
      </c>
      <c r="AB123" s="109">
        <v>1</v>
      </c>
      <c r="AC123" s="109"/>
      <c r="AD123" s="109">
        <v>1</v>
      </c>
      <c r="AE123" s="109">
        <v>1</v>
      </c>
      <c r="AF123" s="108"/>
      <c r="AG123" s="109">
        <v>1</v>
      </c>
      <c r="AH123" s="100"/>
      <c r="AI123" s="100"/>
      <c r="AJ123" s="110"/>
      <c r="AK123" s="416"/>
      <c r="AL123" s="100"/>
      <c r="AM123" s="100"/>
      <c r="AN123" s="111"/>
      <c r="AO123" s="100"/>
      <c r="AP123" s="100"/>
      <c r="AQ123" s="111"/>
      <c r="AR123" s="100"/>
      <c r="AS123" s="100"/>
      <c r="AT123" s="100"/>
    </row>
    <row r="124" spans="1:46" ht="16.3">
      <c r="A124" s="246" t="s">
        <v>2</v>
      </c>
      <c r="B124" s="509">
        <f>SUM(J124+K124+L124+M124+N124+S124+V124+W124+X124+AA124+AI124+AJ124+AI124+AM124+AP124+AQ124+AS124+AT124+AU124+AV124)</f>
        <v>4</v>
      </c>
      <c r="C124" s="215">
        <f>SUM(J124+K124+L124+M124+N124+S124+W124+X124+V124+AA124+AJ124+AI124+AJ124+AN124+AQ124+AM124+AT124+AU124+AV124+AW124+AP124+AS124)+34</f>
        <v>38</v>
      </c>
      <c r="D124" s="596">
        <f>SUM(T124+U124+Y124+Z124+AK124+AL124+AO124+AR124)</f>
        <v>2</v>
      </c>
      <c r="E124" s="604">
        <f>SUM(U124+V124+Z124+AA124+AL124+AM124+AP124+AS124)+6</f>
        <v>9</v>
      </c>
      <c r="F124" s="626">
        <v>0</v>
      </c>
      <c r="G124" s="627">
        <v>6</v>
      </c>
      <c r="H124" s="96"/>
      <c r="I124" s="96"/>
      <c r="J124" s="104"/>
      <c r="K124" s="75"/>
      <c r="L124" s="75">
        <v>1</v>
      </c>
      <c r="M124" s="75"/>
      <c r="N124" s="75">
        <v>1</v>
      </c>
      <c r="O124" s="96"/>
      <c r="P124" s="105"/>
      <c r="Q124" s="105"/>
      <c r="R124" s="96"/>
      <c r="S124" s="104"/>
      <c r="T124" s="110"/>
      <c r="U124" s="110">
        <v>1</v>
      </c>
      <c r="V124" s="100">
        <v>1</v>
      </c>
      <c r="W124" s="100">
        <v>1</v>
      </c>
      <c r="X124" s="100"/>
      <c r="Y124" s="110"/>
      <c r="Z124" s="110">
        <v>1</v>
      </c>
      <c r="AA124" s="100"/>
      <c r="AB124" s="109"/>
      <c r="AC124" s="109"/>
      <c r="AD124" s="109"/>
      <c r="AE124" s="109"/>
      <c r="AF124" s="108"/>
      <c r="AG124" s="109"/>
      <c r="AH124" s="100"/>
      <c r="AI124" s="100"/>
      <c r="AJ124" s="110"/>
      <c r="AK124" s="416"/>
      <c r="AL124" s="100"/>
      <c r="AM124" s="100"/>
      <c r="AN124" s="111"/>
      <c r="AO124" s="100"/>
      <c r="AP124" s="100"/>
      <c r="AQ124" s="111"/>
      <c r="AR124" s="100"/>
      <c r="AS124" s="100"/>
      <c r="AT124" s="100"/>
    </row>
    <row r="125" spans="1:46" ht="16.3">
      <c r="A125" s="83" t="s">
        <v>363</v>
      </c>
      <c r="B125" s="508">
        <f>SUM(B123+B124)</f>
        <v>8</v>
      </c>
      <c r="C125" s="214">
        <f>SUM(C123+C124)</f>
        <v>80</v>
      </c>
      <c r="D125" s="595">
        <f>SUM(D123+D124)</f>
        <v>3</v>
      </c>
      <c r="E125" s="602">
        <f>SUM(E123+E124)</f>
        <v>13</v>
      </c>
      <c r="F125" s="617">
        <v>0</v>
      </c>
      <c r="G125" s="621">
        <f>SUM(G123+G124)</f>
        <v>9</v>
      </c>
      <c r="H125" s="96"/>
      <c r="I125" s="96"/>
      <c r="J125" s="104"/>
      <c r="K125" s="75"/>
      <c r="L125" s="75"/>
      <c r="M125" s="75"/>
      <c r="N125" s="75"/>
      <c r="O125" s="96"/>
      <c r="P125" s="105"/>
      <c r="Q125" s="105"/>
      <c r="R125" s="96"/>
      <c r="S125" s="104"/>
      <c r="T125" s="110"/>
      <c r="U125" s="110"/>
      <c r="V125" s="100"/>
      <c r="W125" s="100"/>
      <c r="X125" s="100"/>
      <c r="Y125" s="110"/>
      <c r="Z125" s="110"/>
      <c r="AA125" s="100"/>
      <c r="AB125" s="109"/>
      <c r="AC125" s="109"/>
      <c r="AD125" s="109"/>
      <c r="AE125" s="109"/>
      <c r="AF125" s="108"/>
      <c r="AG125" s="109"/>
      <c r="AH125" s="100"/>
      <c r="AI125" s="100"/>
      <c r="AJ125" s="110"/>
      <c r="AK125" s="416"/>
      <c r="AL125" s="100"/>
      <c r="AM125" s="100"/>
      <c r="AN125" s="111"/>
      <c r="AO125" s="100"/>
      <c r="AP125" s="100"/>
      <c r="AQ125" s="111"/>
      <c r="AR125" s="100"/>
      <c r="AS125" s="100"/>
      <c r="AT125" s="100"/>
    </row>
    <row r="126" spans="1:46" ht="16.3">
      <c r="A126" s="246" t="s">
        <v>5</v>
      </c>
      <c r="B126" s="509">
        <f>SUM(J126+K126+L126+M126+N126+S126+V126+W126+X126+AA126+AI126+AJ126+AI126+AM126+AP126+AQ126+AS126+AT126+AU126+AV126)</f>
        <v>4</v>
      </c>
      <c r="C126" s="215">
        <f>SUM(J126+K126+L126+M126+N126+S126+W126+X126+V126+AA126+AJ126+AI126+AJ126+AN126+AQ126+AM126+AT126+AU126+AV126+AW126+AP126+AS126)+78</f>
        <v>82</v>
      </c>
      <c r="D126" s="596">
        <f t="shared" ref="D126:D127" si="59">SUM(T126+U126+Y126+Z126+AK126+AL126+AO126+AR126)</f>
        <v>0</v>
      </c>
      <c r="E126" s="604">
        <f>SUM(U126+T126+Z126+Y126+AL126+AK126+AO126+AR126)+9</f>
        <v>9</v>
      </c>
      <c r="F126" s="626">
        <v>0</v>
      </c>
      <c r="G126" s="627">
        <v>3</v>
      </c>
      <c r="H126" s="96">
        <v>0</v>
      </c>
      <c r="I126" s="96"/>
      <c r="J126" s="104">
        <v>2</v>
      </c>
      <c r="K126" s="75"/>
      <c r="L126" s="75"/>
      <c r="M126" s="75"/>
      <c r="N126" s="75"/>
      <c r="O126" s="96">
        <v>2</v>
      </c>
      <c r="P126" s="105"/>
      <c r="Q126" s="105"/>
      <c r="R126" s="96"/>
      <c r="S126" s="104">
        <v>1</v>
      </c>
      <c r="T126" s="110"/>
      <c r="U126" s="110"/>
      <c r="V126" s="100">
        <v>1</v>
      </c>
      <c r="W126" s="100"/>
      <c r="X126" s="100">
        <v>0</v>
      </c>
      <c r="Y126" s="110"/>
      <c r="Z126" s="110"/>
      <c r="AA126" s="100"/>
      <c r="AB126" s="109"/>
      <c r="AC126" s="109"/>
      <c r="AD126" s="109">
        <v>2</v>
      </c>
      <c r="AE126" s="109">
        <v>3</v>
      </c>
      <c r="AF126" s="108"/>
      <c r="AG126" s="109"/>
      <c r="AH126" s="100"/>
      <c r="AI126" s="100"/>
      <c r="AJ126" s="110"/>
      <c r="AK126" s="416"/>
      <c r="AL126" s="100"/>
      <c r="AM126" s="100"/>
      <c r="AN126" s="111"/>
      <c r="AO126" s="100"/>
      <c r="AP126" s="100"/>
      <c r="AQ126" s="111"/>
      <c r="AR126" s="100"/>
      <c r="AS126" s="100"/>
      <c r="AT126" s="100"/>
    </row>
    <row r="127" spans="1:46" ht="16.3">
      <c r="A127" s="246" t="s">
        <v>6</v>
      </c>
      <c r="B127" s="509">
        <f>SUM(J127+K127+L127+M127+N127+S127+V127+W127+X127+AA127+AI127+AJ127+AI127+AM127+AP127+AQ127+AS127+AT127+AU127+AV127+AN127)</f>
        <v>8</v>
      </c>
      <c r="C127" s="215">
        <f>SUM(J127+K127+L127+M127+N127+S127+W127+X127+V127+AA127+AJ127+AI127+AJ127+AN127+AQ127+AM127+AT127+AU127+AV127+AW127+AP127+AS127)+105</f>
        <v>113</v>
      </c>
      <c r="D127" s="596">
        <f t="shared" si="59"/>
        <v>0</v>
      </c>
      <c r="E127" s="604">
        <f>SUM(U127+T127+Z127+Y127+AL127+AK127+AO127+AR127)+10</f>
        <v>10</v>
      </c>
      <c r="F127" s="626">
        <v>0</v>
      </c>
      <c r="G127" s="627">
        <v>9</v>
      </c>
      <c r="H127" s="96">
        <v>3</v>
      </c>
      <c r="I127" s="96"/>
      <c r="J127" s="104">
        <v>4</v>
      </c>
      <c r="K127" s="75"/>
      <c r="L127" s="75"/>
      <c r="M127" s="75"/>
      <c r="N127" s="75"/>
      <c r="O127" s="96">
        <v>2</v>
      </c>
      <c r="P127" s="105"/>
      <c r="Q127" s="105"/>
      <c r="R127" s="96"/>
      <c r="S127" s="104">
        <v>2</v>
      </c>
      <c r="T127" s="110"/>
      <c r="U127" s="110"/>
      <c r="V127" s="100">
        <v>1</v>
      </c>
      <c r="W127" s="100"/>
      <c r="X127" s="100">
        <v>1</v>
      </c>
      <c r="Y127" s="110"/>
      <c r="Z127" s="110"/>
      <c r="AA127" s="100"/>
      <c r="AB127" s="109"/>
      <c r="AC127" s="109"/>
      <c r="AD127" s="109">
        <v>4</v>
      </c>
      <c r="AE127" s="109">
        <v>4</v>
      </c>
      <c r="AF127" s="108"/>
      <c r="AG127" s="109"/>
      <c r="AH127" s="100"/>
      <c r="AI127" s="100"/>
      <c r="AJ127" s="110"/>
      <c r="AK127" s="416"/>
      <c r="AL127" s="100"/>
      <c r="AM127" s="100"/>
      <c r="AN127" s="111"/>
      <c r="AO127" s="100"/>
      <c r="AP127" s="100"/>
      <c r="AQ127" s="111"/>
      <c r="AR127" s="100"/>
      <c r="AS127" s="100"/>
      <c r="AT127" s="100"/>
    </row>
    <row r="128" spans="1:46" ht="16.3">
      <c r="A128" s="246" t="s">
        <v>368</v>
      </c>
      <c r="B128" s="511">
        <f>SUM(B126/B127)*100</f>
        <v>50</v>
      </c>
      <c r="C128" s="216">
        <f>SUM(C126/C127)*100</f>
        <v>72.56637168141593</v>
      </c>
      <c r="D128" s="596">
        <f t="shared" ref="D128" si="60">SUM(D126+D127)</f>
        <v>0</v>
      </c>
      <c r="E128" s="604">
        <f>SUM(E126/E127)*100</f>
        <v>90</v>
      </c>
      <c r="F128" s="626">
        <v>0</v>
      </c>
      <c r="G128" s="628">
        <f>SUM(G126/G127)*100</f>
        <v>33.333333333333329</v>
      </c>
      <c r="H128" s="96">
        <v>0</v>
      </c>
      <c r="I128" s="96"/>
      <c r="J128" s="104">
        <v>50</v>
      </c>
      <c r="K128" s="75"/>
      <c r="L128" s="75"/>
      <c r="M128" s="75"/>
      <c r="N128" s="75"/>
      <c r="O128" s="96">
        <v>100</v>
      </c>
      <c r="P128" s="105"/>
      <c r="Q128" s="105"/>
      <c r="R128" s="96"/>
      <c r="S128" s="104">
        <v>50</v>
      </c>
      <c r="T128" s="110"/>
      <c r="U128" s="110"/>
      <c r="V128" s="100">
        <v>100</v>
      </c>
      <c r="W128" s="100"/>
      <c r="X128" s="100">
        <v>0</v>
      </c>
      <c r="Y128" s="110"/>
      <c r="Z128" s="110"/>
      <c r="AA128" s="100"/>
      <c r="AB128" s="109"/>
      <c r="AC128" s="109"/>
      <c r="AD128" s="109">
        <v>50</v>
      </c>
      <c r="AE128" s="109">
        <v>75</v>
      </c>
      <c r="AF128" s="108"/>
      <c r="AG128" s="109"/>
      <c r="AH128" s="100"/>
      <c r="AI128" s="100"/>
      <c r="AJ128" s="110"/>
      <c r="AK128" s="416"/>
      <c r="AL128" s="100"/>
      <c r="AM128" s="100"/>
      <c r="AN128" s="111"/>
      <c r="AO128" s="100"/>
      <c r="AP128" s="100"/>
      <c r="AQ128" s="111"/>
      <c r="AR128" s="100"/>
      <c r="AS128" s="100"/>
      <c r="AT128" s="100"/>
    </row>
    <row r="129" spans="1:48" ht="16.3">
      <c r="A129" s="83" t="s">
        <v>3</v>
      </c>
      <c r="B129" s="508">
        <f>SUM(J129+K129+L129+M129+N129+S129+V129+W129+X129+AA129+AI129+AJ129+AI129+AM129+AP129+AQ129+AS129+AT129+AU129+AV129+AN129)</f>
        <v>1</v>
      </c>
      <c r="C129" s="214">
        <f>SUM(J129+K129+L129+M129+N129+S129+W129+X129+V129+AA129+AJ129+AI129+AJ129+AN129+AQ129+AM129+AT129+AU129+AV129+AW129+AP129+AS129)+2</f>
        <v>3</v>
      </c>
      <c r="D129" s="595">
        <f t="shared" ref="D129:D130" si="61">SUM(T129+U129+Y129+Z129+AK129+AL129+AO129+AR129)</f>
        <v>0</v>
      </c>
      <c r="E129" s="602">
        <f>SUM(U129+T129+Z129+Y129+AL129+AK129+AO129+AR129)</f>
        <v>0</v>
      </c>
      <c r="F129" s="617">
        <v>0</v>
      </c>
      <c r="G129" s="621">
        <v>0</v>
      </c>
      <c r="H129" s="96"/>
      <c r="I129" s="96"/>
      <c r="J129" s="104">
        <v>1</v>
      </c>
      <c r="K129" s="75"/>
      <c r="L129" s="75"/>
      <c r="M129" s="75"/>
      <c r="N129" s="75"/>
      <c r="O129" s="96"/>
      <c r="P129" s="105"/>
      <c r="Q129" s="105"/>
      <c r="R129" s="96"/>
      <c r="S129" s="104"/>
      <c r="T129" s="110"/>
      <c r="U129" s="110"/>
      <c r="V129" s="100"/>
      <c r="W129" s="100"/>
      <c r="X129" s="100"/>
      <c r="Y129" s="110"/>
      <c r="Z129" s="110"/>
      <c r="AA129" s="100"/>
      <c r="AB129" s="109"/>
      <c r="AC129" s="109"/>
      <c r="AD129" s="109"/>
      <c r="AE129" s="109"/>
      <c r="AF129" s="108"/>
      <c r="AG129" s="109">
        <v>1</v>
      </c>
      <c r="AH129" s="100"/>
      <c r="AI129" s="100"/>
      <c r="AJ129" s="110"/>
      <c r="AK129" s="416"/>
      <c r="AL129" s="100"/>
      <c r="AM129" s="100"/>
      <c r="AN129" s="111"/>
      <c r="AO129" s="100"/>
      <c r="AP129" s="100"/>
      <c r="AQ129" s="111"/>
      <c r="AR129" s="100"/>
      <c r="AS129" s="100"/>
      <c r="AT129" s="100"/>
    </row>
    <row r="130" spans="1:48" ht="17" thickBot="1">
      <c r="A130" s="85" t="s">
        <v>4</v>
      </c>
      <c r="B130" s="508">
        <f>SUM(J130+K130+L130+M130+N130+S130+V130+W130+X130+AA130+AI130+AJ130+AI130+AM130+AP130+AQ130+AS130+AT130+AU130+AV130)</f>
        <v>13</v>
      </c>
      <c r="C130" s="214">
        <f>SUM(J130+K130+L130+M130+N130+S130+W130+X130+V130+AA130+AJ130+AI130+AJ130+AN130+AQ130+AM130+AT130+AU130+AV130+AW130+AP130+AS130)+195</f>
        <v>208</v>
      </c>
      <c r="D130" s="595">
        <f t="shared" si="61"/>
        <v>0</v>
      </c>
      <c r="E130" s="602">
        <f>SUM(U130+T130+Z130+Y130+AL130+AK130+AO130+AR130)+10</f>
        <v>10</v>
      </c>
      <c r="F130" s="617">
        <v>0</v>
      </c>
      <c r="G130" s="621">
        <v>8</v>
      </c>
      <c r="H130" s="114">
        <v>0</v>
      </c>
      <c r="I130" s="114"/>
      <c r="J130" s="113">
        <v>9</v>
      </c>
      <c r="K130" s="112"/>
      <c r="L130" s="112"/>
      <c r="M130" s="112"/>
      <c r="N130" s="112"/>
      <c r="O130" s="114">
        <v>5</v>
      </c>
      <c r="P130" s="127"/>
      <c r="Q130" s="127"/>
      <c r="R130" s="114"/>
      <c r="S130" s="113">
        <v>2</v>
      </c>
      <c r="T130" s="120"/>
      <c r="U130" s="119"/>
      <c r="V130" s="112">
        <v>2</v>
      </c>
      <c r="W130" s="116"/>
      <c r="X130" s="116">
        <v>0</v>
      </c>
      <c r="Y130" s="120"/>
      <c r="Z130" s="120"/>
      <c r="AA130" s="116"/>
      <c r="AB130" s="118"/>
      <c r="AC130" s="176"/>
      <c r="AD130" s="118">
        <v>4</v>
      </c>
      <c r="AE130" s="118">
        <v>6</v>
      </c>
      <c r="AF130" s="117"/>
      <c r="AG130" s="118">
        <v>5</v>
      </c>
      <c r="AH130" s="116"/>
      <c r="AI130" s="116"/>
      <c r="AJ130" s="120"/>
      <c r="AK130" s="417"/>
      <c r="AL130" s="116"/>
      <c r="AM130" s="116"/>
      <c r="AN130" s="121"/>
      <c r="AO130" s="116"/>
      <c r="AP130" s="116"/>
      <c r="AQ130" s="121"/>
      <c r="AR130" s="116"/>
      <c r="AS130" s="116"/>
      <c r="AT130" s="116"/>
    </row>
    <row r="131" spans="1:48" ht="21.1">
      <c r="A131" s="82" t="s">
        <v>663</v>
      </c>
      <c r="B131" s="512"/>
      <c r="C131" s="218"/>
      <c r="D131" s="598"/>
      <c r="E131" s="605"/>
      <c r="F131" s="619"/>
      <c r="G131" s="623"/>
      <c r="H131" s="96"/>
      <c r="I131" s="96" t="s">
        <v>432</v>
      </c>
      <c r="J131" s="104" t="s">
        <v>375</v>
      </c>
      <c r="K131" s="75" t="s">
        <v>682</v>
      </c>
      <c r="L131" s="75" t="s">
        <v>384</v>
      </c>
      <c r="M131" s="75" t="s">
        <v>375</v>
      </c>
      <c r="N131" s="75" t="s">
        <v>375</v>
      </c>
      <c r="O131" s="96"/>
      <c r="P131" s="105"/>
      <c r="Q131" s="105"/>
      <c r="R131" s="96">
        <v>10</v>
      </c>
      <c r="S131" s="104" t="s">
        <v>384</v>
      </c>
      <c r="T131" s="110" t="s">
        <v>384</v>
      </c>
      <c r="U131" s="110">
        <v>10</v>
      </c>
      <c r="V131" s="100" t="s">
        <v>384</v>
      </c>
      <c r="W131" s="100" t="s">
        <v>901</v>
      </c>
      <c r="X131" s="100" t="s">
        <v>926</v>
      </c>
      <c r="Y131" s="110" t="s">
        <v>938</v>
      </c>
      <c r="Z131" s="110">
        <v>10</v>
      </c>
      <c r="AA131" s="100" t="s">
        <v>384</v>
      </c>
      <c r="AB131" s="109" t="s">
        <v>816</v>
      </c>
      <c r="AC131" s="109" t="s">
        <v>816</v>
      </c>
      <c r="AD131" s="109"/>
      <c r="AE131" s="109"/>
      <c r="AF131" s="108"/>
      <c r="AG131" s="109" t="s">
        <v>384</v>
      </c>
      <c r="AH131" s="100"/>
      <c r="AI131" s="100"/>
      <c r="AJ131" s="110"/>
      <c r="AK131" s="416"/>
      <c r="AL131" s="100"/>
      <c r="AM131" s="100"/>
      <c r="AN131" s="111"/>
      <c r="AO131" s="100"/>
      <c r="AP131" s="100"/>
      <c r="AQ131" s="111"/>
      <c r="AR131" s="100"/>
      <c r="AS131" s="100"/>
      <c r="AT131" s="100"/>
    </row>
    <row r="132" spans="1:48" ht="16.3">
      <c r="A132" s="246" t="s">
        <v>1</v>
      </c>
      <c r="B132" s="509">
        <f>SUM(J132+K132+L132+M132+N132+S132+V132+W132+X132+AA132+AI132+AJ132+AI132+AM132+AP132+AQ132+AS132+AT132+AU132+AV132+AN132)</f>
        <v>7</v>
      </c>
      <c r="C132" s="215">
        <f>SUM(J132+K132+L132+M132+N132+S132+W132+X132+V132+AA132+AJ132+AI132+AJ132+AN132+AQ132+AM132+AT132+AU132+AV132+AW132+AP132+AS132)+36</f>
        <v>43</v>
      </c>
      <c r="D132" s="596">
        <f>SUM(T132+U132+Y132+Z132+AK132+AL132+AO132+AR132)</f>
        <v>4</v>
      </c>
      <c r="E132" s="604">
        <f>SUM(U132+T132+Z132+Y132+AL132+AK132+AO132+AR132)+1</f>
        <v>5</v>
      </c>
      <c r="F132" s="626">
        <v>0</v>
      </c>
      <c r="G132" s="627">
        <v>7</v>
      </c>
      <c r="H132" s="96"/>
      <c r="I132" s="96"/>
      <c r="J132" s="104"/>
      <c r="K132" s="75">
        <v>1</v>
      </c>
      <c r="L132" s="75">
        <v>1</v>
      </c>
      <c r="M132" s="75"/>
      <c r="N132" s="75"/>
      <c r="O132" s="96"/>
      <c r="P132" s="105"/>
      <c r="Q132" s="105"/>
      <c r="R132" s="96">
        <v>1</v>
      </c>
      <c r="S132" s="104">
        <v>1</v>
      </c>
      <c r="T132" s="110">
        <v>1</v>
      </c>
      <c r="U132" s="110">
        <v>1</v>
      </c>
      <c r="V132" s="100">
        <v>1</v>
      </c>
      <c r="W132" s="100">
        <v>1</v>
      </c>
      <c r="X132" s="100">
        <v>1</v>
      </c>
      <c r="Y132" s="110">
        <v>1</v>
      </c>
      <c r="Z132" s="110">
        <v>1</v>
      </c>
      <c r="AA132" s="100">
        <v>1</v>
      </c>
      <c r="AB132" s="109"/>
      <c r="AC132" s="109"/>
      <c r="AD132" s="109"/>
      <c r="AE132" s="109"/>
      <c r="AF132" s="108"/>
      <c r="AG132" s="109">
        <v>1</v>
      </c>
      <c r="AH132" s="100"/>
      <c r="AI132" s="100"/>
      <c r="AJ132" s="110"/>
      <c r="AK132" s="416"/>
      <c r="AL132" s="100"/>
      <c r="AM132" s="100"/>
      <c r="AN132" s="111"/>
      <c r="AO132" s="100"/>
      <c r="AP132" s="100"/>
      <c r="AQ132" s="111"/>
      <c r="AR132" s="100"/>
      <c r="AS132" s="100"/>
      <c r="AT132" s="100"/>
    </row>
    <row r="133" spans="1:48" ht="16.3">
      <c r="A133" s="246" t="s">
        <v>2</v>
      </c>
      <c r="B133" s="509">
        <f>SUM(J133+K133+L133+M133+N133+S133+V133+W133+X133+AA133+AI133+AJ133+AI133+AM133+AP133+AQ133+AS133+AT133+AU133+AV133)</f>
        <v>3</v>
      </c>
      <c r="C133" s="215">
        <f>SUM(J133+K133+L133+M133+N133+S133+W133+X133+V133+AA133+AJ133+AI133+AJ133+AN133+AQ133+AM133+AT133+AU133+AV133+AW133+AP133+AS133)+24</f>
        <v>27</v>
      </c>
      <c r="D133" s="596">
        <f>SUM(T133+U133+Y133+Z133+AK133+AL133+AO133+AR133)</f>
        <v>0</v>
      </c>
      <c r="E133" s="604">
        <f>SUM(U133+T133+Z133+Y133+AL133+AK133+AO133+AR133)+3</f>
        <v>3</v>
      </c>
      <c r="F133" s="626">
        <v>0</v>
      </c>
      <c r="G133" s="627">
        <v>5</v>
      </c>
      <c r="H133" s="96"/>
      <c r="I133" s="96">
        <v>1</v>
      </c>
      <c r="J133" s="104">
        <v>1</v>
      </c>
      <c r="K133" s="75"/>
      <c r="L133" s="75"/>
      <c r="M133" s="75">
        <v>1</v>
      </c>
      <c r="N133" s="75">
        <v>1</v>
      </c>
      <c r="O133" s="96"/>
      <c r="P133" s="105"/>
      <c r="Q133" s="105"/>
      <c r="R133" s="96"/>
      <c r="S133" s="104"/>
      <c r="T133" s="110"/>
      <c r="U133" s="110"/>
      <c r="V133" s="100"/>
      <c r="W133" s="100"/>
      <c r="X133" s="100"/>
      <c r="Y133" s="110"/>
      <c r="Z133" s="110"/>
      <c r="AA133" s="100"/>
      <c r="AB133" s="109"/>
      <c r="AC133" s="109"/>
      <c r="AD133" s="109"/>
      <c r="AE133" s="109"/>
      <c r="AF133" s="108"/>
      <c r="AG133" s="109"/>
      <c r="AH133" s="100"/>
      <c r="AI133" s="100"/>
      <c r="AJ133" s="110"/>
      <c r="AK133" s="416"/>
      <c r="AL133" s="100"/>
      <c r="AM133" s="100"/>
      <c r="AN133" s="111"/>
      <c r="AO133" s="100"/>
      <c r="AP133" s="100"/>
      <c r="AQ133" s="111"/>
      <c r="AR133" s="100"/>
      <c r="AS133" s="100"/>
      <c r="AT133" s="100"/>
    </row>
    <row r="134" spans="1:48" ht="16.3">
      <c r="A134" s="83" t="s">
        <v>363</v>
      </c>
      <c r="B134" s="508">
        <f>SUM(B132+B133)</f>
        <v>10</v>
      </c>
      <c r="C134" s="214">
        <f>SUM(C132+C133)</f>
        <v>70</v>
      </c>
      <c r="D134" s="595">
        <f>SUM(D132+D133)</f>
        <v>4</v>
      </c>
      <c r="E134" s="602">
        <f>SUM(E132+E133)</f>
        <v>8</v>
      </c>
      <c r="F134" s="617">
        <v>0</v>
      </c>
      <c r="G134" s="621">
        <f>SUM(G132+G133)</f>
        <v>12</v>
      </c>
      <c r="H134" s="96"/>
      <c r="I134" s="96"/>
      <c r="J134" s="104"/>
      <c r="K134" s="75"/>
      <c r="L134" s="75"/>
      <c r="M134" s="75"/>
      <c r="N134" s="75"/>
      <c r="O134" s="96"/>
      <c r="P134" s="105"/>
      <c r="Q134" s="105"/>
      <c r="R134" s="96"/>
      <c r="S134" s="104"/>
      <c r="T134" s="110"/>
      <c r="U134" s="110"/>
      <c r="V134" s="100"/>
      <c r="W134" s="100"/>
      <c r="X134" s="100"/>
      <c r="Y134" s="110"/>
      <c r="Z134" s="110"/>
      <c r="AA134" s="100"/>
      <c r="AB134" s="109"/>
      <c r="AC134" s="109"/>
      <c r="AD134" s="109"/>
      <c r="AE134" s="109"/>
      <c r="AF134" s="108"/>
      <c r="AG134" s="109"/>
      <c r="AH134" s="100"/>
      <c r="AI134" s="100"/>
      <c r="AJ134" s="110"/>
      <c r="AK134" s="416"/>
      <c r="AL134" s="100"/>
      <c r="AM134" s="100"/>
      <c r="AN134" s="111"/>
      <c r="AO134" s="100"/>
      <c r="AP134" s="100"/>
      <c r="AQ134" s="111"/>
      <c r="AR134" s="100"/>
      <c r="AS134" s="100"/>
      <c r="AT134" s="100"/>
    </row>
    <row r="135" spans="1:48" ht="16.3">
      <c r="A135" s="246" t="s">
        <v>362</v>
      </c>
      <c r="B135" s="509">
        <f>SUM(J135+K135+L135+M135+N135+S135+V135+W135+X135+AA135+AI135+AJ135+AI135+AM135+AP135+AQ135+AS135+AT135+AU135+AV135)</f>
        <v>2</v>
      </c>
      <c r="C135" s="215">
        <f>SUM(J135+K135+L135+M135+N135+S135+W135+X135+V135+AA135+AJ135+AI135+AJ135+AN135+AQ135+AM135+AT135+AU135+AV135+AW135+AP135+AS135)+1</f>
        <v>3</v>
      </c>
      <c r="D135" s="596">
        <f t="shared" ref="D135" si="62">SUM(T135+U135+Y135+Z135+AK135+AL135+AO135+AR135)</f>
        <v>0</v>
      </c>
      <c r="E135" s="604">
        <f>SUM(U135+T135+Z135+Y135+AL135+AK135+AO135+AR135)</f>
        <v>0</v>
      </c>
      <c r="F135" s="626">
        <v>0</v>
      </c>
      <c r="G135" s="627">
        <v>0</v>
      </c>
      <c r="H135" s="96"/>
      <c r="I135" s="96"/>
      <c r="J135" s="104"/>
      <c r="K135" s="75"/>
      <c r="L135" s="75"/>
      <c r="M135" s="75"/>
      <c r="N135" s="75"/>
      <c r="O135" s="96"/>
      <c r="P135" s="105"/>
      <c r="Q135" s="105"/>
      <c r="R135" s="96"/>
      <c r="S135" s="104"/>
      <c r="T135" s="110"/>
      <c r="U135" s="110"/>
      <c r="V135" s="100"/>
      <c r="W135" s="100">
        <v>1</v>
      </c>
      <c r="X135" s="100">
        <v>1</v>
      </c>
      <c r="Y135" s="110"/>
      <c r="Z135" s="110"/>
      <c r="AA135" s="100"/>
      <c r="AB135" s="109"/>
      <c r="AC135" s="109"/>
      <c r="AD135" s="109"/>
      <c r="AE135" s="109"/>
      <c r="AF135" s="108"/>
      <c r="AG135" s="109"/>
      <c r="AH135" s="100"/>
      <c r="AI135" s="100"/>
      <c r="AJ135" s="110"/>
      <c r="AK135" s="416"/>
      <c r="AL135" s="100"/>
      <c r="AM135" s="100"/>
      <c r="AN135" s="111"/>
      <c r="AO135" s="100"/>
      <c r="AP135" s="100"/>
      <c r="AQ135" s="111"/>
      <c r="AR135" s="100"/>
      <c r="AS135" s="100"/>
      <c r="AT135" s="100"/>
    </row>
    <row r="136" spans="1:48" ht="16.3">
      <c r="A136" s="246" t="s">
        <v>5</v>
      </c>
      <c r="B136" s="509">
        <f>SUM(J136+K136+L136+M136+N136+S136+V136+W136+X136+AA136+AI136+AJ136+AI136+AM136+AP136+AQ136+AS136+AT136+AU136+AV136+AN136)</f>
        <v>30</v>
      </c>
      <c r="C136" s="215">
        <f>SUM(J136+K136+L136+M136+N136+S136+W136+X136+V136+AA136+AJ136+AI136+AJ136+AN136+AQ136+AM136+AT136+AU136+AV136+AW136+AP136+AS136)+83</f>
        <v>113</v>
      </c>
      <c r="D136" s="596">
        <f>SUM(T136+U136+Y136+Z136+AK136+AL136+AO136+AR136)</f>
        <v>13</v>
      </c>
      <c r="E136" s="604">
        <f>SUM(U136+T136+Z136+Y136+AL136+AK136+AO136+AR136)+15</f>
        <v>28</v>
      </c>
      <c r="F136" s="626">
        <v>0</v>
      </c>
      <c r="G136" s="627">
        <v>23</v>
      </c>
      <c r="H136" s="96"/>
      <c r="I136" s="96"/>
      <c r="J136" s="104"/>
      <c r="K136" s="75">
        <v>4</v>
      </c>
      <c r="L136" s="75">
        <v>5</v>
      </c>
      <c r="M136" s="75">
        <v>1</v>
      </c>
      <c r="N136" s="75">
        <v>1</v>
      </c>
      <c r="O136" s="96"/>
      <c r="P136" s="105"/>
      <c r="Q136" s="105"/>
      <c r="R136" s="96">
        <v>4</v>
      </c>
      <c r="S136" s="104">
        <v>5</v>
      </c>
      <c r="T136" s="110">
        <v>3</v>
      </c>
      <c r="U136" s="110">
        <v>2</v>
      </c>
      <c r="V136" s="100">
        <v>3</v>
      </c>
      <c r="W136" s="100">
        <v>2</v>
      </c>
      <c r="X136" s="100">
        <v>5</v>
      </c>
      <c r="Y136" s="110">
        <v>5</v>
      </c>
      <c r="Z136" s="110">
        <v>3</v>
      </c>
      <c r="AA136" s="100">
        <v>4</v>
      </c>
      <c r="AB136" s="109"/>
      <c r="AC136" s="109"/>
      <c r="AD136" s="109"/>
      <c r="AE136" s="109"/>
      <c r="AF136" s="108"/>
      <c r="AG136" s="109">
        <v>2</v>
      </c>
      <c r="AH136" s="100"/>
      <c r="AI136" s="100"/>
      <c r="AJ136" s="110"/>
      <c r="AK136" s="416"/>
      <c r="AL136" s="100"/>
      <c r="AM136" s="100"/>
      <c r="AN136" s="111"/>
      <c r="AO136" s="100"/>
      <c r="AP136" s="100"/>
      <c r="AQ136" s="111"/>
      <c r="AR136" s="100"/>
      <c r="AS136" s="100"/>
      <c r="AT136" s="100"/>
    </row>
    <row r="137" spans="1:48" ht="16.3">
      <c r="A137" s="246" t="s">
        <v>6</v>
      </c>
      <c r="B137" s="509">
        <f>SUM(J137+K137+L137+M137+N137+S137+V137+W137+X137+AA137+AI137+AJ137+AI137+AM137+AP137+AQ137+AS137+AT137+AU137+AV137)</f>
        <v>33</v>
      </c>
      <c r="C137" s="215">
        <f>SUM(J137+K137+L137+M137+N137+S137+W137+X137+V137+AA137+AJ137+AI137+AJ137+AN137+AQ137+AM137+AT137+AU137+AV137+AW137+AP137+AS137)+114</f>
        <v>147</v>
      </c>
      <c r="D137" s="596">
        <f>SUM(T137+U137+Y137+Z137+AK137+AL137+AO137+AR137)</f>
        <v>20</v>
      </c>
      <c r="E137" s="604">
        <f>SUM(U137+T137+Z137+Y137+AL137+AK137+AO137+AR137)+23</f>
        <v>43</v>
      </c>
      <c r="F137" s="626">
        <v>0</v>
      </c>
      <c r="G137" s="627">
        <v>33</v>
      </c>
      <c r="H137" s="96"/>
      <c r="I137" s="96"/>
      <c r="J137" s="104"/>
      <c r="K137" s="75">
        <v>5</v>
      </c>
      <c r="L137" s="75">
        <v>5</v>
      </c>
      <c r="M137" s="75">
        <v>1</v>
      </c>
      <c r="N137" s="75">
        <v>1</v>
      </c>
      <c r="O137" s="96"/>
      <c r="P137" s="105"/>
      <c r="Q137" s="105"/>
      <c r="R137" s="96">
        <v>6</v>
      </c>
      <c r="S137" s="104">
        <v>5</v>
      </c>
      <c r="T137" s="110">
        <v>3</v>
      </c>
      <c r="U137" s="110">
        <v>4</v>
      </c>
      <c r="V137" s="100">
        <v>5</v>
      </c>
      <c r="W137" s="100">
        <v>2</v>
      </c>
      <c r="X137" s="100">
        <v>5</v>
      </c>
      <c r="Y137" s="110">
        <v>8</v>
      </c>
      <c r="Z137" s="110">
        <v>5</v>
      </c>
      <c r="AA137" s="100">
        <v>4</v>
      </c>
      <c r="AB137" s="109"/>
      <c r="AC137" s="109"/>
      <c r="AD137" s="109"/>
      <c r="AE137" s="109"/>
      <c r="AF137" s="108"/>
      <c r="AG137" s="109">
        <v>6</v>
      </c>
      <c r="AH137" s="100"/>
      <c r="AI137" s="100"/>
      <c r="AJ137" s="110"/>
      <c r="AK137" s="416"/>
      <c r="AL137" s="100"/>
      <c r="AM137" s="100"/>
      <c r="AN137" s="111"/>
      <c r="AO137" s="100"/>
      <c r="AP137" s="100"/>
      <c r="AQ137" s="111"/>
      <c r="AR137" s="100"/>
      <c r="AS137" s="100"/>
      <c r="AT137" s="100"/>
    </row>
    <row r="138" spans="1:48" ht="16.3">
      <c r="A138" s="246" t="s">
        <v>368</v>
      </c>
      <c r="B138" s="511">
        <f>SUM(B136/B137)*100</f>
        <v>90.909090909090907</v>
      </c>
      <c r="C138" s="216">
        <f>SUM(C136/C137)*100</f>
        <v>76.870748299319729</v>
      </c>
      <c r="D138" s="596">
        <f>SUM(D136/D137)*100</f>
        <v>65</v>
      </c>
      <c r="E138" s="625">
        <f>SUM(E136/E137)*100</f>
        <v>65.116279069767444</v>
      </c>
      <c r="F138" s="626">
        <v>0</v>
      </c>
      <c r="G138" s="628">
        <f>SUM(G136/G137)*100</f>
        <v>69.696969696969703</v>
      </c>
      <c r="H138" s="96"/>
      <c r="I138" s="96"/>
      <c r="J138" s="104"/>
      <c r="K138" s="75">
        <v>80</v>
      </c>
      <c r="L138" s="75">
        <v>100</v>
      </c>
      <c r="M138" s="75">
        <v>100</v>
      </c>
      <c r="N138" s="75">
        <v>100</v>
      </c>
      <c r="O138" s="96"/>
      <c r="P138" s="105"/>
      <c r="Q138" s="105"/>
      <c r="R138" s="96">
        <v>67</v>
      </c>
      <c r="S138" s="104">
        <v>100</v>
      </c>
      <c r="T138" s="110">
        <v>100</v>
      </c>
      <c r="U138" s="110">
        <v>50</v>
      </c>
      <c r="V138" s="100">
        <v>60</v>
      </c>
      <c r="W138" s="100">
        <v>100</v>
      </c>
      <c r="X138" s="100">
        <v>100</v>
      </c>
      <c r="Y138" s="110">
        <v>63</v>
      </c>
      <c r="Z138" s="110">
        <v>60</v>
      </c>
      <c r="AA138" s="100">
        <v>100</v>
      </c>
      <c r="AB138" s="109"/>
      <c r="AC138" s="109"/>
      <c r="AD138" s="109"/>
      <c r="AE138" s="109"/>
      <c r="AF138" s="108"/>
      <c r="AG138" s="109">
        <v>33</v>
      </c>
      <c r="AH138" s="100"/>
      <c r="AI138" s="100"/>
      <c r="AJ138" s="110"/>
      <c r="AK138" s="416"/>
      <c r="AL138" s="100"/>
      <c r="AM138" s="100"/>
      <c r="AN138" s="111"/>
      <c r="AO138" s="100"/>
      <c r="AP138" s="100"/>
      <c r="AQ138" s="111"/>
      <c r="AR138" s="100"/>
      <c r="AS138" s="100"/>
      <c r="AT138" s="100"/>
    </row>
    <row r="139" spans="1:48" ht="16.3">
      <c r="A139" s="246" t="s">
        <v>746</v>
      </c>
      <c r="B139" s="511">
        <f>SUM(J139+K139+L139+M139+N139+S139+V139+W139+X139+AA139+AI139+AJ139+AI139+AM139+AP139+AQ139+AS139+AT139+AU139+AV139)</f>
        <v>0</v>
      </c>
      <c r="C139" s="216">
        <f>SUM(J139+K139+L139+M139+N139+S139+W139+X139+V139+AA139+AJ139+AI139+AJ139+AN139+AQ139+AM139+AT139+AU139+AV139+AW139+AP139+AS139)</f>
        <v>0</v>
      </c>
      <c r="D139" s="596">
        <f t="shared" ref="D139" si="63">SUM(T139+U139+Y139+Z139+AK139+AL139+AO139+AR139)</f>
        <v>1</v>
      </c>
      <c r="E139" s="625">
        <f>SUM(U139+T139+Z139+Y139+AL139+AK139+AO139+AR139)</f>
        <v>1</v>
      </c>
      <c r="F139" s="626">
        <v>0</v>
      </c>
      <c r="G139" s="628">
        <v>0</v>
      </c>
      <c r="H139" s="96"/>
      <c r="I139" s="96"/>
      <c r="J139" s="104"/>
      <c r="K139" s="75"/>
      <c r="L139" s="75"/>
      <c r="M139" s="75"/>
      <c r="N139" s="75"/>
      <c r="O139" s="96"/>
      <c r="P139" s="105"/>
      <c r="Q139" s="105"/>
      <c r="R139" s="96"/>
      <c r="S139" s="104"/>
      <c r="T139" s="110"/>
      <c r="U139" s="110"/>
      <c r="V139" s="100"/>
      <c r="W139" s="100"/>
      <c r="X139" s="100"/>
      <c r="Y139" s="110">
        <v>1</v>
      </c>
      <c r="Z139" s="110"/>
      <c r="AA139" s="100"/>
      <c r="AB139" s="109"/>
      <c r="AC139" s="109"/>
      <c r="AD139" s="109"/>
      <c r="AE139" s="109"/>
      <c r="AF139" s="108"/>
      <c r="AG139" s="109"/>
      <c r="AH139" s="100"/>
      <c r="AI139" s="100"/>
      <c r="AJ139" s="110"/>
      <c r="AK139" s="416"/>
      <c r="AL139" s="100"/>
      <c r="AM139" s="100"/>
      <c r="AN139" s="111"/>
      <c r="AO139" s="100"/>
      <c r="AP139" s="100"/>
      <c r="AQ139" s="111"/>
      <c r="AR139" s="100"/>
      <c r="AS139" s="100"/>
      <c r="AT139" s="100"/>
    </row>
    <row r="140" spans="1:48" ht="16.3">
      <c r="A140" s="83" t="s">
        <v>3</v>
      </c>
      <c r="B140" s="508">
        <f t="shared" ref="B140:B141" si="64">SUM(J140+K140+L140+M140+N140+S140+V140+W140+X140+AA140+AI140+AJ140+AI140+AM140+AP140+AQ140+AS140+AT140+AU140+AV140)</f>
        <v>1</v>
      </c>
      <c r="C140" s="214">
        <f>SUM(J140+K140+L140+M140+N140+S140+W140+X140+V140+AA140+AJ140+AI140+AJ140+AN140+AQ140+AM140+AT140+AU140+AV140+AW140+AP140+AS140)+3</f>
        <v>4</v>
      </c>
      <c r="D140" s="595">
        <f t="shared" ref="D140:D141" si="65">SUM(T140+U140+Y140+Z140+AK140+AL140+AO140+AR140)</f>
        <v>3</v>
      </c>
      <c r="E140" s="602">
        <f>SUM(U140+T140+Z140+Y140+AL140+AK140+AO140+AR140)</f>
        <v>3</v>
      </c>
      <c r="F140" s="617">
        <v>0</v>
      </c>
      <c r="G140" s="621">
        <v>0</v>
      </c>
      <c r="H140" s="96"/>
      <c r="I140" s="96"/>
      <c r="J140" s="104"/>
      <c r="K140" s="75"/>
      <c r="L140" s="75"/>
      <c r="M140" s="75"/>
      <c r="N140" s="75"/>
      <c r="O140" s="96"/>
      <c r="P140" s="105"/>
      <c r="Q140" s="105"/>
      <c r="R140" s="96"/>
      <c r="S140" s="104"/>
      <c r="T140" s="110"/>
      <c r="U140" s="110"/>
      <c r="V140" s="100">
        <v>1</v>
      </c>
      <c r="W140" s="100"/>
      <c r="X140" s="100"/>
      <c r="Y140" s="150">
        <v>3</v>
      </c>
      <c r="Z140" s="110"/>
      <c r="AA140" s="100"/>
      <c r="AB140" s="109"/>
      <c r="AC140" s="109"/>
      <c r="AD140" s="109"/>
      <c r="AE140" s="109"/>
      <c r="AF140" s="108"/>
      <c r="AG140" s="109">
        <v>1</v>
      </c>
      <c r="AH140" s="100"/>
      <c r="AI140" s="100"/>
      <c r="AJ140" s="110"/>
      <c r="AK140" s="416"/>
      <c r="AL140" s="100"/>
      <c r="AM140" s="100"/>
      <c r="AN140" s="111"/>
      <c r="AO140" s="100"/>
      <c r="AP140" s="100"/>
      <c r="AQ140" s="111"/>
      <c r="AR140" s="100"/>
      <c r="AS140" s="100"/>
      <c r="AT140" s="100"/>
    </row>
    <row r="141" spans="1:48" ht="17" thickBot="1">
      <c r="A141" s="85" t="s">
        <v>4</v>
      </c>
      <c r="B141" s="510">
        <f t="shared" si="64"/>
        <v>75</v>
      </c>
      <c r="C141" s="217">
        <f>SUM(J141+K141+L141+M141+N141+S141+W141+X141+V141+AA141+AJ141+AI141+AJ141+AN141+AQ141+AM141+AT141+AU141+AV141+AW141+AP141+AS141)+221</f>
        <v>296</v>
      </c>
      <c r="D141" s="597">
        <f t="shared" si="65"/>
        <v>44</v>
      </c>
      <c r="E141" s="603">
        <f>SUM(U141+T141+Z141+Y141+AL141+AK141+AO141+AR141)+12</f>
        <v>56</v>
      </c>
      <c r="F141" s="618">
        <v>0</v>
      </c>
      <c r="G141" s="622">
        <v>18</v>
      </c>
      <c r="H141" s="114"/>
      <c r="I141" s="114"/>
      <c r="J141" s="113"/>
      <c r="K141" s="112">
        <v>9</v>
      </c>
      <c r="L141" s="112">
        <v>13</v>
      </c>
      <c r="M141" s="112">
        <v>3</v>
      </c>
      <c r="N141" s="112">
        <v>2</v>
      </c>
      <c r="O141" s="114"/>
      <c r="P141" s="127"/>
      <c r="Q141" s="127"/>
      <c r="R141" s="114">
        <v>9</v>
      </c>
      <c r="S141" s="113">
        <v>12</v>
      </c>
      <c r="T141" s="120">
        <v>8</v>
      </c>
      <c r="U141" s="120">
        <v>5</v>
      </c>
      <c r="V141" s="116">
        <v>11</v>
      </c>
      <c r="W141" s="112">
        <v>5</v>
      </c>
      <c r="X141" s="100">
        <v>11</v>
      </c>
      <c r="Y141" s="110">
        <v>25</v>
      </c>
      <c r="Z141" s="110">
        <v>6</v>
      </c>
      <c r="AA141" s="100">
        <v>9</v>
      </c>
      <c r="AB141" s="109"/>
      <c r="AC141" s="109"/>
      <c r="AD141" s="109"/>
      <c r="AE141" s="109"/>
      <c r="AF141" s="108"/>
      <c r="AG141" s="109">
        <v>9</v>
      </c>
      <c r="AH141" s="100"/>
      <c r="AI141" s="100"/>
      <c r="AJ141" s="110"/>
      <c r="AK141" s="416"/>
      <c r="AL141" s="100"/>
      <c r="AM141" s="100"/>
      <c r="AN141" s="111"/>
      <c r="AO141" s="100"/>
      <c r="AP141" s="100"/>
      <c r="AQ141" s="111"/>
      <c r="AR141" s="100"/>
      <c r="AS141" s="100"/>
      <c r="AT141" s="100"/>
    </row>
    <row r="142" spans="1:48" ht="21.1">
      <c r="A142" s="82" t="s">
        <v>605</v>
      </c>
      <c r="B142" s="508"/>
      <c r="C142" s="214"/>
      <c r="D142" s="595"/>
      <c r="E142" s="602"/>
      <c r="F142" s="617"/>
      <c r="G142" s="621"/>
      <c r="H142" s="96" t="s">
        <v>432</v>
      </c>
      <c r="I142" s="96" t="s">
        <v>384</v>
      </c>
      <c r="J142" s="104"/>
      <c r="K142" s="75" t="s">
        <v>393</v>
      </c>
      <c r="L142" s="75"/>
      <c r="M142" s="75"/>
      <c r="N142" s="75"/>
      <c r="O142" s="96" t="s">
        <v>379</v>
      </c>
      <c r="P142" s="105"/>
      <c r="Q142" s="105"/>
      <c r="R142" s="96" t="s">
        <v>375</v>
      </c>
      <c r="S142" s="104"/>
      <c r="T142" s="110" t="s">
        <v>375</v>
      </c>
      <c r="U142" s="110"/>
      <c r="V142" s="100" t="s">
        <v>892</v>
      </c>
      <c r="W142" s="100" t="s">
        <v>892</v>
      </c>
      <c r="X142" s="102" t="s">
        <v>892</v>
      </c>
      <c r="Y142" s="101" t="s">
        <v>892</v>
      </c>
      <c r="Z142" s="101" t="s">
        <v>892</v>
      </c>
      <c r="AA142" s="102" t="s">
        <v>892</v>
      </c>
      <c r="AB142" s="99" t="s">
        <v>892</v>
      </c>
      <c r="AC142" s="99" t="s">
        <v>892</v>
      </c>
      <c r="AD142" s="99" t="s">
        <v>892</v>
      </c>
      <c r="AE142" s="99" t="s">
        <v>892</v>
      </c>
      <c r="AF142" s="98"/>
      <c r="AG142" s="99" t="s">
        <v>892</v>
      </c>
      <c r="AH142" s="102" t="s">
        <v>892</v>
      </c>
      <c r="AI142" s="102" t="s">
        <v>892</v>
      </c>
      <c r="AJ142" s="101" t="s">
        <v>892</v>
      </c>
      <c r="AK142" s="414"/>
      <c r="AL142" s="102" t="s">
        <v>892</v>
      </c>
      <c r="AM142" s="102" t="s">
        <v>892</v>
      </c>
      <c r="AN142" s="103"/>
      <c r="AO142" s="102" t="s">
        <v>892</v>
      </c>
      <c r="AP142" s="102" t="s">
        <v>892</v>
      </c>
      <c r="AQ142" s="103" t="s">
        <v>892</v>
      </c>
      <c r="AR142" s="102" t="s">
        <v>892</v>
      </c>
      <c r="AS142" s="102" t="s">
        <v>892</v>
      </c>
      <c r="AT142" s="102" t="s">
        <v>892</v>
      </c>
      <c r="AU142" s="15" t="s">
        <v>892</v>
      </c>
      <c r="AV142" t="s">
        <v>892</v>
      </c>
    </row>
    <row r="143" spans="1:48" ht="16.3">
      <c r="A143" s="246" t="s">
        <v>1</v>
      </c>
      <c r="B143" s="509">
        <f>SUM(J143+K143+L143+M143+N143+S143+V143+W143+X143+AA143+AI143+AJ143+AI143+AM143+AP143+AQ143+AS143+AT143+AU143+AV143+AN143)</f>
        <v>0</v>
      </c>
      <c r="C143" s="215">
        <f>B143</f>
        <v>0</v>
      </c>
      <c r="D143" s="596">
        <f>SUM(T143+U143+Y143+Z143+AK143+AL143+AO143+AR143)</f>
        <v>0</v>
      </c>
      <c r="E143" s="604">
        <f t="shared" ref="E143:E150" si="66">D143</f>
        <v>0</v>
      </c>
      <c r="F143" s="626">
        <v>0</v>
      </c>
      <c r="G143" s="627">
        <v>0</v>
      </c>
      <c r="H143" s="96"/>
      <c r="I143" s="96">
        <v>1</v>
      </c>
      <c r="J143" s="104"/>
      <c r="K143" s="75"/>
      <c r="L143" s="75"/>
      <c r="M143" s="75"/>
      <c r="N143" s="75"/>
      <c r="O143" s="96">
        <v>1</v>
      </c>
      <c r="P143" s="105"/>
      <c r="Q143" s="105"/>
      <c r="R143" s="96"/>
      <c r="S143" s="128"/>
      <c r="T143" s="106"/>
      <c r="U143" s="106"/>
      <c r="V143" s="75"/>
      <c r="W143" s="75"/>
      <c r="X143" s="75"/>
      <c r="Y143" s="106"/>
      <c r="Z143" s="106"/>
      <c r="AA143" s="75"/>
      <c r="AB143" s="96"/>
      <c r="AC143" s="96"/>
      <c r="AD143" s="96"/>
      <c r="AE143" s="96"/>
      <c r="AF143" s="105"/>
      <c r="AG143" s="96"/>
      <c r="AH143" s="75"/>
      <c r="AI143" s="75"/>
      <c r="AJ143" s="106"/>
      <c r="AK143" s="415"/>
      <c r="AL143" s="75"/>
      <c r="AM143" s="75"/>
      <c r="AN143" s="107"/>
      <c r="AO143" s="75"/>
      <c r="AP143" s="75"/>
      <c r="AQ143" s="107"/>
      <c r="AR143" s="75"/>
      <c r="AS143" s="75"/>
      <c r="AT143" s="75"/>
    </row>
    <row r="144" spans="1:48" ht="16.3">
      <c r="A144" s="246" t="s">
        <v>2</v>
      </c>
      <c r="B144" s="509">
        <f>SUM(J144+K144+L144+M144+N144+S144+V144+W144+X144+AA144+AI144+AJ144+AI144+AM144+AP144+AQ144+AS144+AT144+AU144+AV144)</f>
        <v>0</v>
      </c>
      <c r="C144" s="215">
        <f t="shared" ref="C144:C147" si="67">B144</f>
        <v>0</v>
      </c>
      <c r="D144" s="596">
        <f>SUM(T144+U144+Y144+Z144+AK144+AL144+AO144+AR144)</f>
        <v>1</v>
      </c>
      <c r="E144" s="604">
        <f t="shared" si="66"/>
        <v>1</v>
      </c>
      <c r="F144" s="626">
        <v>0</v>
      </c>
      <c r="G144" s="627">
        <v>5</v>
      </c>
      <c r="H144" s="96">
        <v>1</v>
      </c>
      <c r="I144" s="96"/>
      <c r="J144" s="104"/>
      <c r="K144" s="75"/>
      <c r="L144" s="75"/>
      <c r="M144" s="75"/>
      <c r="N144" s="75"/>
      <c r="O144" s="96"/>
      <c r="P144" s="105"/>
      <c r="Q144" s="105"/>
      <c r="R144" s="96">
        <v>1</v>
      </c>
      <c r="S144" s="104"/>
      <c r="T144" s="110">
        <v>1</v>
      </c>
      <c r="U144" s="110"/>
      <c r="V144" s="100"/>
      <c r="W144" s="100"/>
      <c r="X144" s="100"/>
      <c r="Y144" s="110"/>
      <c r="Z144" s="110"/>
      <c r="AA144" s="100"/>
      <c r="AB144" s="109"/>
      <c r="AC144" s="109"/>
      <c r="AD144" s="109"/>
      <c r="AE144" s="109"/>
      <c r="AF144" s="108"/>
      <c r="AG144" s="109"/>
      <c r="AH144" s="100"/>
      <c r="AI144" s="100"/>
      <c r="AJ144" s="110"/>
      <c r="AK144" s="416"/>
      <c r="AL144" s="100"/>
      <c r="AM144" s="100"/>
      <c r="AN144" s="111"/>
      <c r="AO144" s="100"/>
      <c r="AP144" s="100"/>
      <c r="AQ144" s="111"/>
      <c r="AR144" s="100"/>
      <c r="AS144" s="100"/>
      <c r="AT144" s="100"/>
    </row>
    <row r="145" spans="1:46" ht="16.3">
      <c r="A145" s="83" t="s">
        <v>363</v>
      </c>
      <c r="B145" s="508">
        <f>SUM(B143+B144)</f>
        <v>0</v>
      </c>
      <c r="C145" s="214">
        <f t="shared" si="67"/>
        <v>0</v>
      </c>
      <c r="D145" s="595">
        <f>SUM(D143+D144)</f>
        <v>1</v>
      </c>
      <c r="E145" s="602">
        <f t="shared" si="66"/>
        <v>1</v>
      </c>
      <c r="F145" s="617">
        <f>SUM(F143+F144)</f>
        <v>0</v>
      </c>
      <c r="G145" s="621">
        <f>SUM(G143+G144)</f>
        <v>5</v>
      </c>
      <c r="H145" s="96"/>
      <c r="I145" s="96"/>
      <c r="J145" s="104"/>
      <c r="K145" s="75"/>
      <c r="L145" s="75"/>
      <c r="M145" s="75"/>
      <c r="N145" s="75"/>
      <c r="O145" s="96"/>
      <c r="P145" s="105"/>
      <c r="Q145" s="105"/>
      <c r="R145" s="96"/>
      <c r="S145" s="104"/>
      <c r="T145" s="110"/>
      <c r="U145" s="110"/>
      <c r="V145" s="100"/>
      <c r="W145" s="100"/>
      <c r="X145" s="100"/>
      <c r="Y145" s="110"/>
      <c r="Z145" s="110"/>
      <c r="AA145" s="100"/>
      <c r="AB145" s="109"/>
      <c r="AC145" s="109"/>
      <c r="AD145" s="109"/>
      <c r="AE145" s="109"/>
      <c r="AF145" s="108"/>
      <c r="AG145" s="109"/>
      <c r="AH145" s="100"/>
      <c r="AI145" s="100"/>
      <c r="AJ145" s="110"/>
      <c r="AK145" s="416"/>
      <c r="AL145" s="100"/>
      <c r="AM145" s="100"/>
      <c r="AN145" s="111"/>
      <c r="AO145" s="100"/>
      <c r="AP145" s="100"/>
      <c r="AQ145" s="111"/>
      <c r="AR145" s="100"/>
      <c r="AS145" s="100"/>
      <c r="AT145" s="100"/>
    </row>
    <row r="146" spans="1:46" ht="16.3">
      <c r="A146" s="246" t="s">
        <v>5</v>
      </c>
      <c r="B146" s="509">
        <f>SUM(J146+K146+L146+M146+N146+S146+V146+W146+X146+AA146+AI146+AJ146+AI146+AM146+AP146+AQ146+AS146+AT146+AU146+AV146)</f>
        <v>0</v>
      </c>
      <c r="C146" s="215">
        <f t="shared" si="67"/>
        <v>0</v>
      </c>
      <c r="D146" s="596">
        <f t="shared" ref="D146:D147" si="68">SUM(T146+U146+Y146+Z146+AK146+AL146+AO146+AR146)</f>
        <v>1</v>
      </c>
      <c r="E146" s="604">
        <f t="shared" si="66"/>
        <v>1</v>
      </c>
      <c r="F146" s="626">
        <v>0</v>
      </c>
      <c r="G146" s="627">
        <v>0</v>
      </c>
      <c r="H146" s="96">
        <v>0</v>
      </c>
      <c r="I146" s="96">
        <v>3</v>
      </c>
      <c r="J146" s="104"/>
      <c r="K146" s="75"/>
      <c r="L146" s="75"/>
      <c r="M146" s="75"/>
      <c r="N146" s="75"/>
      <c r="O146" s="96"/>
      <c r="P146" s="105"/>
      <c r="Q146" s="105"/>
      <c r="R146" s="96"/>
      <c r="S146" s="104"/>
      <c r="T146" s="110">
        <v>1</v>
      </c>
      <c r="U146" s="110"/>
      <c r="V146" s="100"/>
      <c r="W146" s="100"/>
      <c r="X146" s="100"/>
      <c r="Y146" s="110"/>
      <c r="Z146" s="110"/>
      <c r="AA146" s="100"/>
      <c r="AB146" s="109"/>
      <c r="AC146" s="109"/>
      <c r="AD146" s="109"/>
      <c r="AE146" s="109"/>
      <c r="AF146" s="108"/>
      <c r="AG146" s="109"/>
      <c r="AH146" s="100"/>
      <c r="AI146" s="100"/>
      <c r="AJ146" s="110"/>
      <c r="AK146" s="416"/>
      <c r="AL146" s="100"/>
      <c r="AM146" s="100"/>
      <c r="AN146" s="111"/>
      <c r="AO146" s="100"/>
      <c r="AP146" s="100"/>
      <c r="AQ146" s="111"/>
      <c r="AR146" s="100"/>
      <c r="AS146" s="100"/>
      <c r="AT146" s="100"/>
    </row>
    <row r="147" spans="1:46" ht="16.3">
      <c r="A147" s="246" t="s">
        <v>6</v>
      </c>
      <c r="B147" s="509">
        <f>SUM(J147+K147+L147+M147+N147+S147+V147+W147+X147+AA147+AI147+AJ147+AI147+AM147+AP147+AQ147+AS147+AT147+AU147+AV147)</f>
        <v>0</v>
      </c>
      <c r="C147" s="215">
        <f t="shared" si="67"/>
        <v>0</v>
      </c>
      <c r="D147" s="596">
        <f t="shared" si="68"/>
        <v>1</v>
      </c>
      <c r="E147" s="604">
        <f t="shared" si="66"/>
        <v>1</v>
      </c>
      <c r="F147" s="626">
        <v>0</v>
      </c>
      <c r="G147" s="627">
        <v>0</v>
      </c>
      <c r="H147" s="96">
        <v>2</v>
      </c>
      <c r="I147" s="96">
        <v>4</v>
      </c>
      <c r="J147" s="104"/>
      <c r="K147" s="75"/>
      <c r="L147" s="75"/>
      <c r="M147" s="75"/>
      <c r="N147" s="75"/>
      <c r="O147" s="96"/>
      <c r="P147" s="105"/>
      <c r="Q147" s="105"/>
      <c r="R147" s="96"/>
      <c r="S147" s="104"/>
      <c r="T147" s="110">
        <v>1</v>
      </c>
      <c r="U147" s="110"/>
      <c r="V147" s="100"/>
      <c r="W147" s="100"/>
      <c r="X147" s="100"/>
      <c r="Y147" s="110"/>
      <c r="Z147" s="110"/>
      <c r="AA147" s="100"/>
      <c r="AB147" s="109"/>
      <c r="AC147" s="109"/>
      <c r="AD147" s="109"/>
      <c r="AE147" s="109"/>
      <c r="AF147" s="108"/>
      <c r="AG147" s="109"/>
      <c r="AH147" s="100"/>
      <c r="AI147" s="100"/>
      <c r="AJ147" s="110"/>
      <c r="AK147" s="416"/>
      <c r="AL147" s="100"/>
      <c r="AM147" s="100"/>
      <c r="AN147" s="111"/>
      <c r="AO147" s="100"/>
      <c r="AP147" s="100"/>
      <c r="AQ147" s="111"/>
      <c r="AR147" s="100"/>
      <c r="AS147" s="100"/>
      <c r="AT147" s="100"/>
    </row>
    <row r="148" spans="1:46" ht="16.3">
      <c r="A148" s="246" t="s">
        <v>368</v>
      </c>
      <c r="B148" s="511">
        <v>0</v>
      </c>
      <c r="C148" s="216">
        <v>0</v>
      </c>
      <c r="D148" s="596">
        <f>SUM(D146/D147)*100</f>
        <v>100</v>
      </c>
      <c r="E148" s="604">
        <f>SUM(E146/E147)*100</f>
        <v>100</v>
      </c>
      <c r="F148" s="626">
        <v>0</v>
      </c>
      <c r="G148" s="627">
        <v>0</v>
      </c>
      <c r="H148" s="96">
        <v>0</v>
      </c>
      <c r="I148" s="96">
        <v>75</v>
      </c>
      <c r="J148" s="104"/>
      <c r="K148" s="75"/>
      <c r="L148" s="75"/>
      <c r="M148" s="75"/>
      <c r="N148" s="75"/>
      <c r="O148" s="96"/>
      <c r="P148" s="105"/>
      <c r="Q148" s="105"/>
      <c r="R148" s="96"/>
      <c r="S148" s="104"/>
      <c r="T148" s="110">
        <v>100</v>
      </c>
      <c r="U148" s="110"/>
      <c r="V148" s="100"/>
      <c r="W148" s="100"/>
      <c r="X148" s="100"/>
      <c r="Y148" s="110"/>
      <c r="Z148" s="110"/>
      <c r="AA148" s="100"/>
      <c r="AB148" s="109"/>
      <c r="AC148" s="109"/>
      <c r="AD148" s="109"/>
      <c r="AE148" s="109"/>
      <c r="AF148" s="108"/>
      <c r="AG148" s="109"/>
      <c r="AH148" s="100"/>
      <c r="AI148" s="100"/>
      <c r="AJ148" s="110"/>
      <c r="AK148" s="416"/>
      <c r="AL148" s="100"/>
      <c r="AM148" s="100"/>
      <c r="AN148" s="111"/>
      <c r="AO148" s="100"/>
      <c r="AP148" s="100"/>
      <c r="AQ148" s="111"/>
      <c r="AR148" s="100"/>
      <c r="AS148" s="100"/>
      <c r="AT148" s="100"/>
    </row>
    <row r="149" spans="1:46" ht="16.3">
      <c r="A149" s="83" t="s">
        <v>3</v>
      </c>
      <c r="B149" s="508">
        <f>SUM(J149+K149+L149+M149+N149+S149+V149+W149+X149+AA149+AI149+AJ149+AI149+AM149+AP149+AQ149+AS149+AT149+AU149+AV149)</f>
        <v>0</v>
      </c>
      <c r="C149" s="214">
        <f t="shared" ref="C149:C150" si="69">B149</f>
        <v>0</v>
      </c>
      <c r="D149" s="595">
        <f t="shared" ref="D149:D150" si="70">SUM(T149+U149+Y149+Z149+AK149+AL149+AO149+AR149)</f>
        <v>0</v>
      </c>
      <c r="E149" s="602">
        <f t="shared" si="66"/>
        <v>0</v>
      </c>
      <c r="F149" s="617">
        <v>0</v>
      </c>
      <c r="G149" s="621">
        <v>0</v>
      </c>
      <c r="H149" s="96"/>
      <c r="I149" s="96"/>
      <c r="J149" s="104"/>
      <c r="K149" s="75"/>
      <c r="L149" s="75"/>
      <c r="M149" s="75"/>
      <c r="N149" s="75"/>
      <c r="O149" s="96"/>
      <c r="P149" s="105"/>
      <c r="Q149" s="105"/>
      <c r="R149" s="96"/>
      <c r="S149" s="104"/>
      <c r="T149" s="110"/>
      <c r="U149" s="110"/>
      <c r="V149" s="100"/>
      <c r="W149" s="100"/>
      <c r="X149" s="100"/>
      <c r="Y149" s="110"/>
      <c r="Z149" s="110"/>
      <c r="AA149" s="100"/>
      <c r="AB149" s="109"/>
      <c r="AC149" s="109"/>
      <c r="AD149" s="109"/>
      <c r="AE149" s="109"/>
      <c r="AF149" s="108"/>
      <c r="AG149" s="109"/>
      <c r="AH149" s="100"/>
      <c r="AI149" s="100"/>
      <c r="AJ149" s="110"/>
      <c r="AK149" s="416"/>
      <c r="AL149" s="100"/>
      <c r="AM149" s="100"/>
      <c r="AN149" s="111"/>
      <c r="AO149" s="100"/>
      <c r="AP149" s="100"/>
      <c r="AQ149" s="111"/>
      <c r="AR149" s="100"/>
      <c r="AS149" s="100"/>
      <c r="AT149" s="100"/>
    </row>
    <row r="150" spans="1:46" ht="17" thickBot="1">
      <c r="A150" s="85" t="s">
        <v>4</v>
      </c>
      <c r="B150" s="510">
        <f>SUM(J150+K150+L150+M150+N150+S150+V150+W150+X150+AA150+AI150+AJ150+AI150+AM150+AP150+AQ150+AS150+AT150+AU150+AV150)</f>
        <v>0</v>
      </c>
      <c r="C150" s="217">
        <f t="shared" si="69"/>
        <v>0</v>
      </c>
      <c r="D150" s="597">
        <f t="shared" si="70"/>
        <v>2</v>
      </c>
      <c r="E150" s="603">
        <f t="shared" si="66"/>
        <v>2</v>
      </c>
      <c r="F150" s="618">
        <v>0</v>
      </c>
      <c r="G150" s="622">
        <v>0</v>
      </c>
      <c r="H150" s="114">
        <v>0</v>
      </c>
      <c r="I150" s="114">
        <v>7</v>
      </c>
      <c r="J150" s="113"/>
      <c r="K150" s="112"/>
      <c r="L150" s="112"/>
      <c r="M150" s="112"/>
      <c r="N150" s="112"/>
      <c r="O150" s="114"/>
      <c r="P150" s="127"/>
      <c r="Q150" s="127"/>
      <c r="R150" s="114"/>
      <c r="S150" s="113"/>
      <c r="T150" s="120">
        <v>2</v>
      </c>
      <c r="U150" s="119"/>
      <c r="V150" s="112"/>
      <c r="W150" s="100"/>
      <c r="X150" s="100"/>
      <c r="Y150" s="110"/>
      <c r="Z150" s="110"/>
      <c r="AA150" s="100"/>
      <c r="AB150" s="109"/>
      <c r="AC150" s="109"/>
      <c r="AD150" s="109"/>
      <c r="AE150" s="109"/>
      <c r="AF150" s="108"/>
      <c r="AG150" s="109"/>
      <c r="AH150" s="100"/>
      <c r="AI150" s="100"/>
      <c r="AJ150" s="110"/>
      <c r="AK150" s="416"/>
      <c r="AL150" s="100"/>
      <c r="AM150" s="100"/>
      <c r="AN150" s="111"/>
      <c r="AO150" s="100"/>
      <c r="AP150" s="100"/>
      <c r="AQ150" s="111"/>
      <c r="AR150" s="100"/>
      <c r="AS150" s="100"/>
      <c r="AT150" s="100"/>
    </row>
    <row r="151" spans="1:46" ht="21.1">
      <c r="A151" s="82" t="s">
        <v>104</v>
      </c>
      <c r="B151" s="508"/>
      <c r="C151" s="214"/>
      <c r="D151" s="595"/>
      <c r="E151" s="602"/>
      <c r="F151" s="617"/>
      <c r="G151" s="621"/>
      <c r="H151" s="96" t="s">
        <v>501</v>
      </c>
      <c r="I151" s="96"/>
      <c r="J151" s="104" t="s">
        <v>378</v>
      </c>
      <c r="K151" s="75">
        <v>9</v>
      </c>
      <c r="L151" s="75" t="s">
        <v>378</v>
      </c>
      <c r="M151" s="75" t="s">
        <v>339</v>
      </c>
      <c r="N151" s="75" t="s">
        <v>339</v>
      </c>
      <c r="O151" s="96" t="s">
        <v>339</v>
      </c>
      <c r="P151" s="105"/>
      <c r="Q151" s="105"/>
      <c r="R151" s="96" t="s">
        <v>339</v>
      </c>
      <c r="S151" s="104" t="s">
        <v>339</v>
      </c>
      <c r="T151" s="110" t="s">
        <v>339</v>
      </c>
      <c r="U151" s="110" t="s">
        <v>339</v>
      </c>
      <c r="V151" s="100" t="s">
        <v>375</v>
      </c>
      <c r="W151" s="102" t="s">
        <v>375</v>
      </c>
      <c r="X151" s="102" t="s">
        <v>378</v>
      </c>
      <c r="Y151" s="101">
        <v>9</v>
      </c>
      <c r="Z151" s="101"/>
      <c r="AA151" s="102" t="s">
        <v>378</v>
      </c>
      <c r="AB151" s="99" t="s">
        <v>775</v>
      </c>
      <c r="AC151" s="99" t="s">
        <v>775</v>
      </c>
      <c r="AD151" s="99" t="s">
        <v>775</v>
      </c>
      <c r="AE151" s="99" t="s">
        <v>775</v>
      </c>
      <c r="AF151" s="98"/>
      <c r="AG151" s="99" t="s">
        <v>775</v>
      </c>
      <c r="AH151" s="102"/>
      <c r="AI151" s="102"/>
      <c r="AJ151" s="101"/>
      <c r="AK151" s="414"/>
      <c r="AL151" s="102"/>
      <c r="AM151" s="102"/>
      <c r="AN151" s="103"/>
      <c r="AO151" s="102"/>
      <c r="AP151" s="102"/>
      <c r="AQ151" s="103"/>
      <c r="AR151" s="102"/>
      <c r="AS151" s="102"/>
      <c r="AT151" s="102"/>
    </row>
    <row r="152" spans="1:46" ht="16.3">
      <c r="A152" s="246" t="s">
        <v>1</v>
      </c>
      <c r="B152" s="509">
        <f>SUM(J152+K152+L152+M152+N152+S152+V152+W152+X152+AA152+AI152+AJ152+AI152+AM152+AP152+AQ152+AS152+AT152+AU152+AV152+AN152)+37</f>
        <v>42</v>
      </c>
      <c r="C152" s="215">
        <f>B152</f>
        <v>42</v>
      </c>
      <c r="D152" s="596">
        <f>SUM(T152+U152+Y152+Z152+AK152+AL152+AO152+AR152)+13</f>
        <v>14</v>
      </c>
      <c r="E152" s="604">
        <f>D152</f>
        <v>14</v>
      </c>
      <c r="F152" s="626">
        <v>0</v>
      </c>
      <c r="G152" s="627">
        <v>0</v>
      </c>
      <c r="H152" s="96"/>
      <c r="I152" s="96"/>
      <c r="J152" s="104">
        <v>1</v>
      </c>
      <c r="K152" s="75">
        <v>1</v>
      </c>
      <c r="L152" s="75">
        <v>1</v>
      </c>
      <c r="M152" s="75"/>
      <c r="N152" s="75"/>
      <c r="O152" s="96"/>
      <c r="P152" s="105"/>
      <c r="Q152" s="105"/>
      <c r="R152" s="96"/>
      <c r="S152" s="104"/>
      <c r="T152" s="110"/>
      <c r="U152" s="110"/>
      <c r="V152" s="100"/>
      <c r="W152" s="100"/>
      <c r="X152" s="100">
        <v>1</v>
      </c>
      <c r="Y152" s="110">
        <v>1</v>
      </c>
      <c r="Z152" s="110"/>
      <c r="AA152" s="100">
        <v>1</v>
      </c>
      <c r="AB152" s="109"/>
      <c r="AC152" s="109"/>
      <c r="AD152" s="109"/>
      <c r="AE152" s="109"/>
      <c r="AF152" s="108"/>
      <c r="AG152" s="109"/>
      <c r="AH152" s="100"/>
      <c r="AI152" s="100"/>
      <c r="AJ152" s="110"/>
      <c r="AK152" s="416"/>
      <c r="AL152" s="100"/>
      <c r="AM152" s="100"/>
      <c r="AN152" s="111"/>
      <c r="AO152" s="100"/>
      <c r="AP152" s="100"/>
      <c r="AQ152" s="111"/>
      <c r="AR152" s="100"/>
      <c r="AS152" s="100"/>
      <c r="AT152" s="100"/>
    </row>
    <row r="153" spans="1:46" ht="16.3">
      <c r="A153" s="246" t="s">
        <v>2</v>
      </c>
      <c r="B153" s="509">
        <f>SUM(J153+K153+L153+M153+N153+S153+V153+W153+X153+AA153+AI153+AJ153+AI153+AM153+AP153+AQ153+AS153+AT153+AU153+AV153)+37</f>
        <v>39</v>
      </c>
      <c r="C153" s="215">
        <f t="shared" ref="C153:C158" si="71">B153</f>
        <v>39</v>
      </c>
      <c r="D153" s="596">
        <f>SUM(T153+U153+Y153+Z153+AK153+AL153+AO153+AR153)+3</f>
        <v>3</v>
      </c>
      <c r="E153" s="604">
        <f t="shared" ref="E153:E158" si="72">D153</f>
        <v>3</v>
      </c>
      <c r="F153" s="626">
        <v>2</v>
      </c>
      <c r="G153" s="627">
        <v>2</v>
      </c>
      <c r="H153" s="96"/>
      <c r="I153" s="96"/>
      <c r="J153" s="104"/>
      <c r="K153" s="75"/>
      <c r="L153" s="75"/>
      <c r="M153" s="75"/>
      <c r="N153" s="75"/>
      <c r="O153" s="96"/>
      <c r="P153" s="105"/>
      <c r="Q153" s="105"/>
      <c r="R153" s="96"/>
      <c r="S153" s="104"/>
      <c r="T153" s="110"/>
      <c r="U153" s="110"/>
      <c r="V153" s="100">
        <v>1</v>
      </c>
      <c r="W153" s="100">
        <v>1</v>
      </c>
      <c r="X153" s="100"/>
      <c r="Y153" s="110"/>
      <c r="Z153" s="110"/>
      <c r="AA153" s="100"/>
      <c r="AB153" s="109"/>
      <c r="AC153" s="109"/>
      <c r="AD153" s="109"/>
      <c r="AE153" s="109"/>
      <c r="AF153" s="108"/>
      <c r="AG153" s="109"/>
      <c r="AH153" s="100"/>
      <c r="AI153" s="100"/>
      <c r="AJ153" s="110"/>
      <c r="AK153" s="416"/>
      <c r="AL153" s="100"/>
      <c r="AM153" s="100"/>
      <c r="AN153" s="111"/>
      <c r="AO153" s="100"/>
      <c r="AP153" s="100"/>
      <c r="AQ153" s="111"/>
      <c r="AR153" s="100"/>
      <c r="AS153" s="100"/>
      <c r="AT153" s="100"/>
    </row>
    <row r="154" spans="1:46" ht="16.3">
      <c r="A154" s="83" t="s">
        <v>363</v>
      </c>
      <c r="B154" s="508">
        <f>SUM(B152+B153)</f>
        <v>81</v>
      </c>
      <c r="C154" s="214">
        <f t="shared" si="71"/>
        <v>81</v>
      </c>
      <c r="D154" s="595">
        <f>SUM(D152+D153)</f>
        <v>17</v>
      </c>
      <c r="E154" s="602">
        <f t="shared" si="72"/>
        <v>17</v>
      </c>
      <c r="F154" s="617">
        <f>SUM(F152+F153)</f>
        <v>2</v>
      </c>
      <c r="G154" s="621">
        <v>2</v>
      </c>
      <c r="H154" s="96"/>
      <c r="I154" s="96"/>
      <c r="J154" s="104"/>
      <c r="K154" s="75"/>
      <c r="L154" s="75"/>
      <c r="M154" s="75"/>
      <c r="N154" s="75"/>
      <c r="O154" s="96"/>
      <c r="P154" s="105"/>
      <c r="Q154" s="105"/>
      <c r="R154" s="96"/>
      <c r="S154" s="104"/>
      <c r="T154" s="110"/>
      <c r="U154" s="110"/>
      <c r="V154" s="100"/>
      <c r="W154" s="100"/>
      <c r="X154" s="100"/>
      <c r="Y154" s="110"/>
      <c r="Z154" s="110"/>
      <c r="AA154" s="100"/>
      <c r="AB154" s="109"/>
      <c r="AC154" s="109"/>
      <c r="AD154" s="109"/>
      <c r="AE154" s="109"/>
      <c r="AF154" s="108"/>
      <c r="AG154" s="109"/>
      <c r="AH154" s="100"/>
      <c r="AI154" s="100"/>
      <c r="AJ154" s="110"/>
      <c r="AK154" s="416"/>
      <c r="AL154" s="100"/>
      <c r="AM154" s="100"/>
      <c r="AN154" s="111"/>
      <c r="AO154" s="100"/>
      <c r="AP154" s="100"/>
      <c r="AQ154" s="111"/>
      <c r="AR154" s="100"/>
      <c r="AS154" s="100"/>
      <c r="AT154" s="100"/>
    </row>
    <row r="155" spans="1:46" ht="16.3">
      <c r="A155" s="246" t="s">
        <v>366</v>
      </c>
      <c r="B155" s="509">
        <f>SUM(J155+K155+L155+M155+N155+S155+V155+W155+X155+AA155+AI155+AJ155+AI155+AM155+AP155+AQ155+AS155+AT155+AU155+AV155)+2</f>
        <v>2</v>
      </c>
      <c r="C155" s="215">
        <f t="shared" si="71"/>
        <v>2</v>
      </c>
      <c r="D155" s="596">
        <f>SUM(T155+U155+Y155+Z155+AK155+AL155+AO155+AR155)</f>
        <v>0</v>
      </c>
      <c r="E155" s="604">
        <f t="shared" ref="E155:E156" si="73">D155</f>
        <v>0</v>
      </c>
      <c r="F155" s="626">
        <v>0</v>
      </c>
      <c r="G155" s="627">
        <v>0</v>
      </c>
      <c r="H155" s="96"/>
      <c r="I155" s="96"/>
      <c r="J155" s="104"/>
      <c r="K155" s="75"/>
      <c r="L155" s="75"/>
      <c r="M155" s="75"/>
      <c r="N155" s="75"/>
      <c r="O155" s="96"/>
      <c r="P155" s="105"/>
      <c r="Q155" s="105"/>
      <c r="R155" s="96"/>
      <c r="S155" s="104"/>
      <c r="T155" s="110"/>
      <c r="U155" s="110"/>
      <c r="V155" s="100"/>
      <c r="W155" s="100"/>
      <c r="X155" s="100"/>
      <c r="Y155" s="110"/>
      <c r="Z155" s="110"/>
      <c r="AA155" s="100"/>
      <c r="AB155" s="109"/>
      <c r="AC155" s="109"/>
      <c r="AD155" s="109"/>
      <c r="AE155" s="109"/>
      <c r="AF155" s="108"/>
      <c r="AG155" s="109"/>
      <c r="AH155" s="100"/>
      <c r="AI155" s="100"/>
      <c r="AJ155" s="110"/>
      <c r="AK155" s="416"/>
      <c r="AL155" s="100"/>
      <c r="AM155" s="100"/>
      <c r="AN155" s="111"/>
      <c r="AO155" s="100"/>
      <c r="AP155" s="100"/>
      <c r="AQ155" s="111"/>
      <c r="AR155" s="100"/>
      <c r="AS155" s="100"/>
      <c r="AT155" s="100"/>
    </row>
    <row r="156" spans="1:46" ht="16.3">
      <c r="A156" s="246" t="s">
        <v>362</v>
      </c>
      <c r="B156" s="509">
        <f>SUM(J156+K156+L156+M156+N156+S156+V156+W156+X156+AA156+AI156+AJ156+AI156+AM156+AP156+AQ156+AS156+AT156+AU156+AV156)+1</f>
        <v>1</v>
      </c>
      <c r="C156" s="215">
        <f t="shared" si="71"/>
        <v>1</v>
      </c>
      <c r="D156" s="596">
        <f>SUM(T156+U156+Y156+Z156+AK156+AL156+AO156+AR156)+1</f>
        <v>1</v>
      </c>
      <c r="E156" s="604">
        <f t="shared" si="73"/>
        <v>1</v>
      </c>
      <c r="F156" s="626">
        <v>0</v>
      </c>
      <c r="G156" s="627">
        <v>0</v>
      </c>
      <c r="H156" s="96"/>
      <c r="I156" s="96"/>
      <c r="J156" s="104"/>
      <c r="K156" s="75"/>
      <c r="L156" s="75"/>
      <c r="M156" s="75"/>
      <c r="N156" s="75"/>
      <c r="O156" s="96"/>
      <c r="P156" s="105"/>
      <c r="Q156" s="105"/>
      <c r="R156" s="96"/>
      <c r="S156" s="104"/>
      <c r="T156" s="110"/>
      <c r="U156" s="110"/>
      <c r="V156" s="100"/>
      <c r="W156" s="100"/>
      <c r="X156" s="100"/>
      <c r="Y156" s="110"/>
      <c r="Z156" s="110"/>
      <c r="AA156" s="100"/>
      <c r="AB156" s="109"/>
      <c r="AC156" s="109"/>
      <c r="AD156" s="109"/>
      <c r="AE156" s="109"/>
      <c r="AF156" s="108"/>
      <c r="AG156" s="109"/>
      <c r="AH156" s="100"/>
      <c r="AI156" s="100"/>
      <c r="AJ156" s="110"/>
      <c r="AK156" s="416"/>
      <c r="AL156" s="100"/>
      <c r="AM156" s="100"/>
      <c r="AN156" s="111"/>
      <c r="AO156" s="100"/>
      <c r="AP156" s="100"/>
      <c r="AQ156" s="111"/>
      <c r="AR156" s="100"/>
      <c r="AS156" s="100"/>
      <c r="AT156" s="100"/>
    </row>
    <row r="157" spans="1:46" ht="16.3">
      <c r="A157" s="83" t="s">
        <v>3</v>
      </c>
      <c r="B157" s="508">
        <f>SUM(J157+K157+L157+M157+N157+S157+V157+W157+X157+AA157+AI157+AJ157+AI157+AM157+AP157+AQ157+AS157+AT157+AU157+AV157)+12</f>
        <v>15</v>
      </c>
      <c r="C157" s="214">
        <f t="shared" si="71"/>
        <v>15</v>
      </c>
      <c r="D157" s="595">
        <f>SUM(T157+U157+Y157+Z157+AK157+AL157+AO157+AR157)+4</f>
        <v>4</v>
      </c>
      <c r="E157" s="602">
        <f>D157</f>
        <v>4</v>
      </c>
      <c r="F157" s="617">
        <v>0</v>
      </c>
      <c r="G157" s="621">
        <v>0</v>
      </c>
      <c r="H157" s="96"/>
      <c r="I157" s="96"/>
      <c r="J157" s="104">
        <v>1</v>
      </c>
      <c r="K157" s="75">
        <v>1</v>
      </c>
      <c r="L157" s="75"/>
      <c r="M157" s="75"/>
      <c r="N157" s="75"/>
      <c r="O157" s="96"/>
      <c r="P157" s="105"/>
      <c r="Q157" s="105"/>
      <c r="R157" s="96"/>
      <c r="S157" s="104"/>
      <c r="T157" s="110"/>
      <c r="U157" s="110"/>
      <c r="V157" s="100"/>
      <c r="W157" s="100"/>
      <c r="X157" s="100"/>
      <c r="Y157" s="110"/>
      <c r="Z157" s="110"/>
      <c r="AA157" s="100">
        <v>1</v>
      </c>
      <c r="AB157" s="109"/>
      <c r="AC157" s="109"/>
      <c r="AD157" s="109"/>
      <c r="AE157" s="109"/>
      <c r="AF157" s="108"/>
      <c r="AG157" s="109"/>
      <c r="AH157" s="100"/>
      <c r="AI157" s="100"/>
      <c r="AJ157" s="110"/>
      <c r="AK157" s="416"/>
      <c r="AL157" s="100"/>
      <c r="AM157" s="100"/>
      <c r="AN157" s="111"/>
      <c r="AO157" s="100"/>
      <c r="AP157" s="100"/>
      <c r="AQ157" s="111"/>
      <c r="AR157" s="100"/>
      <c r="AS157" s="100"/>
      <c r="AT157" s="100"/>
    </row>
    <row r="158" spans="1:46" ht="17" thickBot="1">
      <c r="A158" s="85" t="s">
        <v>4</v>
      </c>
      <c r="B158" s="510">
        <f>SUM(J158+K158+L158+M158+N158+S158+V158+W158+X158+AA158+AI158+AJ158+AI158+AM158+AP158+AQ158+AS158+AT158+AU158+AV158)+60</f>
        <v>75</v>
      </c>
      <c r="C158" s="217">
        <f t="shared" si="71"/>
        <v>75</v>
      </c>
      <c r="D158" s="597">
        <f>SUM(T158+U158+Y158+Z158+AK158+AL158+AO158+AR158)+20</f>
        <v>20</v>
      </c>
      <c r="E158" s="603">
        <f t="shared" si="72"/>
        <v>20</v>
      </c>
      <c r="F158" s="618">
        <v>0</v>
      </c>
      <c r="G158" s="622">
        <v>0</v>
      </c>
      <c r="H158" s="114"/>
      <c r="I158" s="114"/>
      <c r="J158" s="113">
        <v>5</v>
      </c>
      <c r="K158" s="112">
        <v>5</v>
      </c>
      <c r="L158" s="112"/>
      <c r="M158" s="112"/>
      <c r="N158" s="112"/>
      <c r="O158" s="114"/>
      <c r="P158" s="127"/>
      <c r="Q158" s="127"/>
      <c r="R158" s="114"/>
      <c r="S158" s="113"/>
      <c r="T158" s="120"/>
      <c r="U158" s="119"/>
      <c r="V158" s="116"/>
      <c r="W158" s="116"/>
      <c r="X158" s="116"/>
      <c r="Y158" s="120"/>
      <c r="Z158" s="120"/>
      <c r="AA158" s="116">
        <v>5</v>
      </c>
      <c r="AB158" s="118"/>
      <c r="AC158" s="118"/>
      <c r="AD158" s="118"/>
      <c r="AE158" s="118"/>
      <c r="AF158" s="117"/>
      <c r="AG158" s="118"/>
      <c r="AH158" s="116"/>
      <c r="AI158" s="116"/>
      <c r="AJ158" s="120"/>
      <c r="AK158" s="417"/>
      <c r="AL158" s="116"/>
      <c r="AM158" s="116"/>
      <c r="AN158" s="121"/>
      <c r="AO158" s="116"/>
      <c r="AP158" s="116"/>
      <c r="AQ158" s="121"/>
      <c r="AR158" s="116"/>
      <c r="AS158" s="116"/>
      <c r="AT158" s="116"/>
    </row>
    <row r="159" spans="1:46" ht="21.1">
      <c r="A159" s="82" t="s">
        <v>130</v>
      </c>
      <c r="B159" s="508"/>
      <c r="C159" s="214"/>
      <c r="D159" s="595"/>
      <c r="E159" s="602"/>
      <c r="F159" s="617"/>
      <c r="G159" s="621"/>
      <c r="H159" s="96" t="s">
        <v>378</v>
      </c>
      <c r="I159" s="96" t="s">
        <v>375</v>
      </c>
      <c r="J159" s="104" t="s">
        <v>375</v>
      </c>
      <c r="K159" s="75" t="s">
        <v>393</v>
      </c>
      <c r="L159" s="75" t="s">
        <v>375</v>
      </c>
      <c r="M159" s="75" t="s">
        <v>378</v>
      </c>
      <c r="N159" s="75" t="s">
        <v>378</v>
      </c>
      <c r="O159" s="96"/>
      <c r="P159" s="105"/>
      <c r="Q159" s="105"/>
      <c r="R159" s="96" t="s">
        <v>378</v>
      </c>
      <c r="S159" s="104" t="s">
        <v>378</v>
      </c>
      <c r="T159" s="110" t="s">
        <v>378</v>
      </c>
      <c r="U159" s="110" t="s">
        <v>378</v>
      </c>
      <c r="V159" s="102" t="s">
        <v>378</v>
      </c>
      <c r="W159" s="102" t="s">
        <v>378</v>
      </c>
      <c r="X159" s="102"/>
      <c r="Y159" s="101" t="s">
        <v>375</v>
      </c>
      <c r="Z159" s="101" t="s">
        <v>378</v>
      </c>
      <c r="AA159" s="102"/>
      <c r="AB159" s="99"/>
      <c r="AC159" s="99" t="s">
        <v>682</v>
      </c>
      <c r="AD159" s="99" t="s">
        <v>901</v>
      </c>
      <c r="AE159" s="99" t="s">
        <v>375</v>
      </c>
      <c r="AF159" s="98"/>
      <c r="AG159" s="99">
        <v>9</v>
      </c>
      <c r="AH159" s="102"/>
      <c r="AI159" s="102"/>
      <c r="AJ159" s="101"/>
      <c r="AK159" s="414"/>
      <c r="AL159" s="102"/>
      <c r="AM159" s="102"/>
      <c r="AN159" s="103"/>
      <c r="AO159" s="102"/>
      <c r="AP159" s="102"/>
      <c r="AQ159" s="103"/>
      <c r="AR159" s="102"/>
      <c r="AS159" s="102"/>
      <c r="AT159" s="102"/>
    </row>
    <row r="160" spans="1:46" ht="16.3">
      <c r="A160" s="246" t="s">
        <v>1</v>
      </c>
      <c r="B160" s="509">
        <f>SUM(J160+K160+L160+M160+N160+S160+V160+W160+X160+AA160+AI160+AJ160+AI160+AM160+AP160+AQ160+AS160+AT160+AU160+AV160+AN160)+7</f>
        <v>12</v>
      </c>
      <c r="C160" s="215">
        <f>SUM(J160+K160+L160+M160+N160+S160+W160+X160+V160+AA160+AJ160+AI160+AJ160+AN160+AQ160+AM160+AT160+AU160+AV160+AW160+AP160+AS160)+18</f>
        <v>23</v>
      </c>
      <c r="D160" s="596">
        <f>SUM(T160+U160+Y160+Z160+AK160+AL160+AO160+AR160)+2</f>
        <v>5</v>
      </c>
      <c r="E160" s="604">
        <f>SUM(U160+T160+Z160+Y160+AL160+AK160+AO160+AR160)+3</f>
        <v>6</v>
      </c>
      <c r="F160" s="626">
        <v>0</v>
      </c>
      <c r="G160" s="627">
        <v>0</v>
      </c>
      <c r="H160" s="96">
        <v>1</v>
      </c>
      <c r="I160" s="96"/>
      <c r="J160" s="104"/>
      <c r="K160" s="75"/>
      <c r="L160" s="75"/>
      <c r="M160" s="75">
        <v>1</v>
      </c>
      <c r="N160" s="75">
        <v>1</v>
      </c>
      <c r="O160" s="96"/>
      <c r="P160" s="105"/>
      <c r="Q160" s="105"/>
      <c r="R160" s="96">
        <v>1</v>
      </c>
      <c r="S160" s="104">
        <v>1</v>
      </c>
      <c r="T160" s="110">
        <v>1</v>
      </c>
      <c r="U160" s="110">
        <v>1</v>
      </c>
      <c r="V160" s="100">
        <v>1</v>
      </c>
      <c r="W160" s="100">
        <v>1</v>
      </c>
      <c r="X160" s="100"/>
      <c r="Y160" s="110"/>
      <c r="Z160" s="110">
        <v>1</v>
      </c>
      <c r="AA160" s="100"/>
      <c r="AB160" s="109"/>
      <c r="AC160" s="109">
        <v>1</v>
      </c>
      <c r="AD160" s="109">
        <v>1</v>
      </c>
      <c r="AE160" s="109"/>
      <c r="AF160" s="108"/>
      <c r="AG160" s="109">
        <v>1</v>
      </c>
      <c r="AH160" s="100"/>
      <c r="AI160" s="100"/>
      <c r="AJ160" s="110"/>
      <c r="AK160" s="416"/>
      <c r="AL160" s="100"/>
      <c r="AM160" s="100"/>
      <c r="AN160" s="111"/>
      <c r="AO160" s="100"/>
      <c r="AP160" s="100"/>
      <c r="AQ160" s="111"/>
      <c r="AR160" s="100"/>
      <c r="AS160" s="100"/>
      <c r="AT160" s="100"/>
    </row>
    <row r="161" spans="1:46" ht="16.3">
      <c r="A161" s="246" t="s">
        <v>2</v>
      </c>
      <c r="B161" s="509">
        <f>SUM(J161+K161+L161+M161+N161+S161+V161+W161+X161+AA161+AI161+AJ161+AI161+AM161+AP161+AQ161+AS161+AT161+AU161+AV161)+13</f>
        <v>15</v>
      </c>
      <c r="C161" s="215">
        <f>SUM(J161+K161+L161+M161+N161+S161+W161+X161+V161+AA161+AJ161+AI161+AJ161+AN161+AQ161+AM161+AT161+AU161+AV161+AW161+AP161+AS161)+36</f>
        <v>38</v>
      </c>
      <c r="D161" s="596">
        <f>SUM(T161+U161+Y161+Z161+AK161+AL161+AO161+AR161)+5</f>
        <v>6</v>
      </c>
      <c r="E161" s="604">
        <f>SUM(U161+T161+Z161+Y161+AL161+AK161+AO161+AR161)+9</f>
        <v>10</v>
      </c>
      <c r="F161" s="626">
        <v>0</v>
      </c>
      <c r="G161" s="627">
        <v>1</v>
      </c>
      <c r="H161" s="96"/>
      <c r="I161" s="96">
        <v>1</v>
      </c>
      <c r="J161" s="104">
        <v>1</v>
      </c>
      <c r="K161" s="75"/>
      <c r="L161" s="75">
        <v>1</v>
      </c>
      <c r="M161" s="75"/>
      <c r="N161" s="75"/>
      <c r="O161" s="96"/>
      <c r="P161" s="105"/>
      <c r="Q161" s="105"/>
      <c r="R161" s="96"/>
      <c r="S161" s="104"/>
      <c r="T161" s="110"/>
      <c r="U161" s="110"/>
      <c r="V161" s="100"/>
      <c r="W161" s="100"/>
      <c r="X161" s="100"/>
      <c r="Y161" s="110">
        <v>1</v>
      </c>
      <c r="Z161" s="110"/>
      <c r="AA161" s="100"/>
      <c r="AB161" s="109"/>
      <c r="AC161" s="109"/>
      <c r="AD161" s="109"/>
      <c r="AE161" s="109">
        <v>1</v>
      </c>
      <c r="AF161" s="108"/>
      <c r="AG161" s="109"/>
      <c r="AH161" s="100"/>
      <c r="AI161" s="100"/>
      <c r="AJ161" s="110"/>
      <c r="AK161" s="416"/>
      <c r="AL161" s="100"/>
      <c r="AM161" s="100"/>
      <c r="AN161" s="111"/>
      <c r="AO161" s="100"/>
      <c r="AP161" s="100"/>
      <c r="AQ161" s="111"/>
      <c r="AR161" s="100"/>
      <c r="AS161" s="100"/>
      <c r="AT161" s="100"/>
    </row>
    <row r="162" spans="1:46" ht="16.3">
      <c r="A162" s="83" t="s">
        <v>363</v>
      </c>
      <c r="B162" s="508">
        <f>SUM(B160+B161)</f>
        <v>27</v>
      </c>
      <c r="C162" s="214">
        <f>SUM(C160+C161)</f>
        <v>61</v>
      </c>
      <c r="D162" s="595">
        <f>SUM(D160+D161)</f>
        <v>11</v>
      </c>
      <c r="E162" s="602">
        <f>SUM(E160+E161)</f>
        <v>16</v>
      </c>
      <c r="F162" s="617">
        <v>0</v>
      </c>
      <c r="G162" s="621">
        <v>1</v>
      </c>
      <c r="H162" s="96"/>
      <c r="I162" s="96"/>
      <c r="J162" s="104"/>
      <c r="K162" s="75"/>
      <c r="L162" s="75"/>
      <c r="M162" s="75"/>
      <c r="N162" s="75"/>
      <c r="O162" s="96"/>
      <c r="P162" s="105"/>
      <c r="Q162" s="105"/>
      <c r="R162" s="96"/>
      <c r="S162" s="104"/>
      <c r="T162" s="110"/>
      <c r="U162" s="110"/>
      <c r="V162" s="100"/>
      <c r="W162" s="100"/>
      <c r="X162" s="100"/>
      <c r="Y162" s="110"/>
      <c r="Z162" s="110"/>
      <c r="AA162" s="100"/>
      <c r="AB162" s="109"/>
      <c r="AC162" s="109"/>
      <c r="AD162" s="109"/>
      <c r="AE162" s="109"/>
      <c r="AF162" s="108"/>
      <c r="AG162" s="109"/>
      <c r="AH162" s="100"/>
      <c r="AI162" s="100"/>
      <c r="AJ162" s="110"/>
      <c r="AK162" s="416"/>
      <c r="AL162" s="100"/>
      <c r="AM162" s="100"/>
      <c r="AN162" s="111"/>
      <c r="AO162" s="100"/>
      <c r="AP162" s="100"/>
      <c r="AQ162" s="111"/>
      <c r="AR162" s="100"/>
      <c r="AS162" s="100"/>
      <c r="AT162" s="100"/>
    </row>
    <row r="163" spans="1:46" ht="16.3">
      <c r="A163" s="246" t="s">
        <v>362</v>
      </c>
      <c r="B163" s="509">
        <f>SUM(J163+K163+L163+M163+N163+S163+V163+W163+X163+AA163+AI163+AJ163+AI163+AM163+AP163+AQ163+AS163+AT163+AU163+AV163+AN163)</f>
        <v>0</v>
      </c>
      <c r="C163" s="215">
        <f>B163</f>
        <v>0</v>
      </c>
      <c r="D163" s="596">
        <f>SUM(T163+U163+Y163+Z163+AK163+AL163+AO163+AR163)</f>
        <v>0</v>
      </c>
      <c r="E163" s="604">
        <f t="shared" ref="E163" si="74">D163</f>
        <v>0</v>
      </c>
      <c r="F163" s="626">
        <v>0</v>
      </c>
      <c r="G163" s="627">
        <v>0</v>
      </c>
      <c r="H163" s="96"/>
      <c r="I163" s="96"/>
      <c r="J163" s="104"/>
      <c r="K163" s="75"/>
      <c r="L163" s="75"/>
      <c r="M163" s="75"/>
      <c r="N163" s="75"/>
      <c r="O163" s="96"/>
      <c r="P163" s="105"/>
      <c r="Q163" s="105"/>
      <c r="R163" s="96"/>
      <c r="S163" s="104"/>
      <c r="T163" s="110"/>
      <c r="U163" s="110"/>
      <c r="V163" s="100"/>
      <c r="W163" s="100"/>
      <c r="X163" s="100"/>
      <c r="Y163" s="110"/>
      <c r="Z163" s="110"/>
      <c r="AA163" s="100"/>
      <c r="AB163" s="109"/>
      <c r="AC163" s="109"/>
      <c r="AD163" s="109">
        <v>1</v>
      </c>
      <c r="AE163" s="109"/>
      <c r="AF163" s="108"/>
      <c r="AG163" s="109"/>
      <c r="AH163" s="100"/>
      <c r="AI163" s="100"/>
      <c r="AJ163" s="110"/>
      <c r="AK163" s="416"/>
      <c r="AL163" s="100"/>
      <c r="AM163" s="100"/>
      <c r="AN163" s="111"/>
      <c r="AO163" s="100"/>
      <c r="AP163" s="100"/>
      <c r="AQ163" s="111"/>
      <c r="AR163" s="100"/>
      <c r="AS163" s="100"/>
      <c r="AT163" s="100"/>
    </row>
    <row r="164" spans="1:46" ht="16.3">
      <c r="A164" s="246" t="s">
        <v>5</v>
      </c>
      <c r="B164" s="509">
        <f>SUM(J164+K164+L164+M164+N164+S164+V164+W164+X164+AA164+AI164+AJ164+AI164+AM164+AP164+AQ164+AS164+AT164+AU164+AV164)</f>
        <v>0</v>
      </c>
      <c r="C164" s="215">
        <f>SUM(J164+K164+L164+M164+N164+S164+W164+X164+V164+AA164+AJ164+AI164+AJ164+AN164+AQ164+AM164+AT164+AU164+AV164+AW164+AP164+AS164)+19</f>
        <v>19</v>
      </c>
      <c r="D164" s="596">
        <f t="shared" ref="D164:D165" si="75">SUM(T164+U164+Y164+Z164+AK164+AL164+AO164+AR164)</f>
        <v>0</v>
      </c>
      <c r="E164" s="604">
        <f>SUM(U164+T164+Z164+Y164+AL164+AK164+AO164+AR164)</f>
        <v>0</v>
      </c>
      <c r="F164" s="626">
        <v>0</v>
      </c>
      <c r="G164" s="627">
        <v>0</v>
      </c>
      <c r="H164" s="96"/>
      <c r="I164" s="96"/>
      <c r="J164" s="104"/>
      <c r="K164" s="75"/>
      <c r="L164" s="75"/>
      <c r="M164" s="75"/>
      <c r="N164" s="75"/>
      <c r="O164" s="96"/>
      <c r="P164" s="105"/>
      <c r="Q164" s="105"/>
      <c r="R164" s="96"/>
      <c r="S164" s="104"/>
      <c r="T164" s="110"/>
      <c r="U164" s="110"/>
      <c r="V164" s="100"/>
      <c r="W164" s="100"/>
      <c r="X164" s="100"/>
      <c r="Y164" s="110"/>
      <c r="Z164" s="110"/>
      <c r="AA164" s="100"/>
      <c r="AB164" s="109"/>
      <c r="AC164" s="109"/>
      <c r="AD164" s="109">
        <v>1</v>
      </c>
      <c r="AE164" s="109"/>
      <c r="AF164" s="108"/>
      <c r="AG164" s="109">
        <v>1</v>
      </c>
      <c r="AH164" s="100"/>
      <c r="AI164" s="100"/>
      <c r="AJ164" s="110"/>
      <c r="AK164" s="416"/>
      <c r="AL164" s="100"/>
      <c r="AM164" s="100"/>
      <c r="AN164" s="111"/>
      <c r="AO164" s="100"/>
      <c r="AP164" s="100"/>
      <c r="AQ164" s="111"/>
      <c r="AR164" s="100"/>
      <c r="AS164" s="100"/>
      <c r="AT164" s="100"/>
    </row>
    <row r="165" spans="1:46" ht="16.3">
      <c r="A165" s="246" t="s">
        <v>6</v>
      </c>
      <c r="B165" s="509">
        <f>SUM(J165+K165+L165+M165+N165+S165+V165+W165+X165+AA165+AI165+AJ165+AI165+AM165+AP165+AQ165+AS165+AT165+AU165+AV165+AN165)</f>
        <v>0</v>
      </c>
      <c r="C165" s="215">
        <f>SUM(J165+K165+L165+M165+N165+S165+W165+X165+V165+AA165+AJ165+AI165+AJ165+AN165+AQ165+AM165+AT165+AU165+AV165+AW165+AP165+AS165)+20</f>
        <v>20</v>
      </c>
      <c r="D165" s="596">
        <f t="shared" si="75"/>
        <v>0</v>
      </c>
      <c r="E165" s="604">
        <f>SUM(U165+T165+Z165+Y165+AL165+AK165+AO165+AR165)</f>
        <v>0</v>
      </c>
      <c r="F165" s="626">
        <v>0</v>
      </c>
      <c r="G165" s="627">
        <v>0</v>
      </c>
      <c r="H165" s="96"/>
      <c r="I165" s="96"/>
      <c r="J165" s="104"/>
      <c r="K165" s="75"/>
      <c r="L165" s="75"/>
      <c r="M165" s="75"/>
      <c r="N165" s="75"/>
      <c r="O165" s="96"/>
      <c r="P165" s="105"/>
      <c r="Q165" s="105"/>
      <c r="R165" s="96"/>
      <c r="S165" s="104"/>
      <c r="T165" s="110"/>
      <c r="U165" s="110"/>
      <c r="V165" s="100"/>
      <c r="W165" s="100"/>
      <c r="X165" s="100"/>
      <c r="Y165" s="110"/>
      <c r="Z165" s="110"/>
      <c r="AA165" s="100"/>
      <c r="AB165" s="109"/>
      <c r="AC165" s="109"/>
      <c r="AD165" s="109">
        <v>1</v>
      </c>
      <c r="AE165" s="109"/>
      <c r="AF165" s="108"/>
      <c r="AG165" s="109">
        <v>2</v>
      </c>
      <c r="AH165" s="100"/>
      <c r="AI165" s="100"/>
      <c r="AJ165" s="110"/>
      <c r="AK165" s="416"/>
      <c r="AL165" s="100"/>
      <c r="AM165" s="100"/>
      <c r="AN165" s="111"/>
      <c r="AO165" s="100"/>
      <c r="AP165" s="100"/>
      <c r="AQ165" s="111"/>
      <c r="AR165" s="100"/>
      <c r="AS165" s="100"/>
      <c r="AT165" s="100"/>
    </row>
    <row r="166" spans="1:46" ht="16.3">
      <c r="A166" s="246" t="s">
        <v>368</v>
      </c>
      <c r="B166" s="511">
        <v>0</v>
      </c>
      <c r="C166" s="216">
        <f>SUM(C164/C165)*100</f>
        <v>95</v>
      </c>
      <c r="D166" s="596">
        <f t="shared" ref="D166:D168" si="76">SUM(D164+D165)</f>
        <v>0</v>
      </c>
      <c r="E166" s="604">
        <v>0</v>
      </c>
      <c r="F166" s="626">
        <v>0</v>
      </c>
      <c r="G166" s="627">
        <v>0</v>
      </c>
      <c r="H166" s="96"/>
      <c r="I166" s="96"/>
      <c r="J166" s="104"/>
      <c r="K166" s="75"/>
      <c r="L166" s="75"/>
      <c r="M166" s="75"/>
      <c r="N166" s="75"/>
      <c r="O166" s="96"/>
      <c r="P166" s="105"/>
      <c r="Q166" s="105"/>
      <c r="R166" s="96"/>
      <c r="S166" s="104"/>
      <c r="T166" s="110"/>
      <c r="U166" s="110"/>
      <c r="V166" s="100"/>
      <c r="W166" s="100"/>
      <c r="X166" s="100"/>
      <c r="Y166" s="110"/>
      <c r="Z166" s="110"/>
      <c r="AA166" s="100"/>
      <c r="AB166" s="109"/>
      <c r="AC166" s="109"/>
      <c r="AD166" s="109">
        <v>100</v>
      </c>
      <c r="AE166" s="109"/>
      <c r="AF166" s="108"/>
      <c r="AG166" s="109">
        <v>50</v>
      </c>
      <c r="AH166" s="100"/>
      <c r="AI166" s="100"/>
      <c r="AJ166" s="110"/>
      <c r="AK166" s="416"/>
      <c r="AL166" s="100"/>
      <c r="AM166" s="100"/>
      <c r="AN166" s="111"/>
      <c r="AO166" s="100"/>
      <c r="AP166" s="100"/>
      <c r="AQ166" s="111"/>
      <c r="AR166" s="100"/>
      <c r="AS166" s="100"/>
      <c r="AT166" s="100"/>
    </row>
    <row r="167" spans="1:46" ht="16.3">
      <c r="A167" s="83" t="s">
        <v>3</v>
      </c>
      <c r="B167" s="508">
        <f>SUM(J167+K167+L167+M167+N167+S167+V167+W167+X167+AA167+AI167+AJ167+AI167+AM167+AP167+AQ167+AS167+AT167+AU167+AV167+AN167)+1</f>
        <v>3</v>
      </c>
      <c r="C167" s="214">
        <f>SUM(J167+K167+L167+M167+N167+S167+W167+X167+V167+AA167+AJ167+AI167+AJ167+AN167+AQ167+AM167+AT167+AU167+AV167+AW167+AP167+AS167)+5</f>
        <v>7</v>
      </c>
      <c r="D167" s="595">
        <f t="shared" si="76"/>
        <v>0</v>
      </c>
      <c r="E167" s="602">
        <f>SUM(U167+T167+Z167+Y167+AL167+AK167+AO167+AR167)</f>
        <v>0</v>
      </c>
      <c r="F167" s="617">
        <v>0</v>
      </c>
      <c r="G167" s="621">
        <v>0</v>
      </c>
      <c r="H167" s="96"/>
      <c r="I167" s="96"/>
      <c r="J167" s="104"/>
      <c r="K167" s="75"/>
      <c r="L167" s="75"/>
      <c r="M167" s="75"/>
      <c r="N167" s="75">
        <v>1</v>
      </c>
      <c r="O167" s="96"/>
      <c r="P167" s="105"/>
      <c r="Q167" s="105"/>
      <c r="R167" s="96">
        <v>1</v>
      </c>
      <c r="S167" s="104"/>
      <c r="T167" s="110"/>
      <c r="U167" s="110"/>
      <c r="V167" s="100">
        <v>1</v>
      </c>
      <c r="W167" s="100"/>
      <c r="X167" s="100"/>
      <c r="Y167" s="110"/>
      <c r="Z167" s="110"/>
      <c r="AA167" s="100"/>
      <c r="AB167" s="109"/>
      <c r="AC167" s="109"/>
      <c r="AD167" s="109"/>
      <c r="AE167" s="109"/>
      <c r="AF167" s="108"/>
      <c r="AG167" s="109"/>
      <c r="AH167" s="100"/>
      <c r="AI167" s="100"/>
      <c r="AJ167" s="110"/>
      <c r="AK167" s="416"/>
      <c r="AL167" s="100"/>
      <c r="AM167" s="100"/>
      <c r="AN167" s="111"/>
      <c r="AO167" s="100"/>
      <c r="AP167" s="100"/>
      <c r="AQ167" s="111"/>
      <c r="AR167" s="100"/>
      <c r="AS167" s="100"/>
      <c r="AT167" s="100"/>
    </row>
    <row r="168" spans="1:46" ht="17" thickBot="1">
      <c r="A168" s="85" t="s">
        <v>4</v>
      </c>
      <c r="B168" s="510">
        <f>SUM(J168+K168+L168+M168+N168+S168+V168+W168+X168+AA168+AI168+AJ168+AI168+AM168+AP168+AQ168+AS168+AT168+AU168+AV168)+5</f>
        <v>15</v>
      </c>
      <c r="C168" s="217">
        <f>SUM(J168+K168+L168+M168+N168+S168+W168+X168+V168+AA168+AJ168+AI168+AJ168+AN168+AQ168+AM168+AT168+AU168+AV168+AW168+AP168+AS168)+73</f>
        <v>83</v>
      </c>
      <c r="D168" s="597">
        <f t="shared" si="76"/>
        <v>0</v>
      </c>
      <c r="E168" s="603">
        <f>SUM(U168+T168+Z168+Y168+AL168+AK168+AO168+AR168)</f>
        <v>0</v>
      </c>
      <c r="F168" s="618">
        <v>0</v>
      </c>
      <c r="G168" s="622">
        <v>0</v>
      </c>
      <c r="H168" s="114"/>
      <c r="I168" s="114"/>
      <c r="J168" s="113"/>
      <c r="K168" s="112"/>
      <c r="L168" s="112"/>
      <c r="M168" s="112"/>
      <c r="N168" s="112">
        <v>5</v>
      </c>
      <c r="O168" s="114"/>
      <c r="P168" s="127"/>
      <c r="Q168" s="127"/>
      <c r="R168" s="114">
        <v>5</v>
      </c>
      <c r="S168" s="113"/>
      <c r="T168" s="120"/>
      <c r="U168" s="119"/>
      <c r="V168" s="116">
        <v>5</v>
      </c>
      <c r="W168" s="116"/>
      <c r="X168" s="116"/>
      <c r="Y168" s="120"/>
      <c r="Z168" s="120"/>
      <c r="AA168" s="116"/>
      <c r="AB168" s="118"/>
      <c r="AC168" s="118"/>
      <c r="AD168" s="118">
        <v>2</v>
      </c>
      <c r="AE168" s="118"/>
      <c r="AF168" s="117"/>
      <c r="AG168" s="118">
        <v>2</v>
      </c>
      <c r="AH168" s="116"/>
      <c r="AI168" s="116"/>
      <c r="AJ168" s="120"/>
      <c r="AK168" s="417"/>
      <c r="AL168" s="116"/>
      <c r="AM168" s="116"/>
      <c r="AN168" s="121"/>
      <c r="AO168" s="116"/>
      <c r="AP168" s="116"/>
      <c r="AQ168" s="121"/>
      <c r="AR168" s="116"/>
      <c r="AS168" s="116"/>
      <c r="AT168" s="116"/>
    </row>
    <row r="169" spans="1:46" ht="21.1">
      <c r="A169" s="82" t="s">
        <v>410</v>
      </c>
      <c r="B169" s="508"/>
      <c r="C169" s="214"/>
      <c r="D169" s="595"/>
      <c r="E169" s="602"/>
      <c r="F169" s="617"/>
      <c r="G169" s="621"/>
      <c r="H169" s="96"/>
      <c r="I169" s="96"/>
      <c r="J169" s="104"/>
      <c r="K169" s="75"/>
      <c r="L169" s="75"/>
      <c r="M169" s="75"/>
      <c r="N169" s="75"/>
      <c r="O169" s="96" t="s">
        <v>375</v>
      </c>
      <c r="P169" s="105"/>
      <c r="Q169" s="105"/>
      <c r="R169" s="96"/>
      <c r="S169" s="104"/>
      <c r="T169" s="110"/>
      <c r="U169" s="110"/>
      <c r="V169" s="100"/>
      <c r="W169" s="100"/>
      <c r="X169" s="100"/>
      <c r="Y169" s="110"/>
      <c r="Z169" s="110"/>
      <c r="AA169" s="100"/>
      <c r="AB169" s="109" t="s">
        <v>375</v>
      </c>
      <c r="AC169" s="109">
        <v>9</v>
      </c>
      <c r="AD169" s="109" t="s">
        <v>378</v>
      </c>
      <c r="AE169" s="109"/>
      <c r="AF169" s="108"/>
      <c r="AG169" s="109" t="s">
        <v>375</v>
      </c>
      <c r="AH169" s="100"/>
      <c r="AI169" s="100"/>
      <c r="AJ169" s="110"/>
      <c r="AK169" s="416"/>
      <c r="AL169" s="100"/>
      <c r="AM169" s="100"/>
      <c r="AN169" s="111"/>
      <c r="AO169" s="100"/>
      <c r="AP169" s="100"/>
      <c r="AQ169" s="111"/>
      <c r="AR169" s="100"/>
      <c r="AS169" s="100"/>
      <c r="AT169" s="100"/>
    </row>
    <row r="170" spans="1:46" ht="16.3">
      <c r="A170" s="246" t="s">
        <v>1</v>
      </c>
      <c r="B170" s="509">
        <f>SUM(J170+K170+L170+M170+N170+S170+V170+W170+X170+AA170+AI170+AJ170+AI170+AM170+AP170+AQ170+AS170+AT170+AU170+AV170+AN170)</f>
        <v>0</v>
      </c>
      <c r="C170" s="215">
        <f>B170</f>
        <v>0</v>
      </c>
      <c r="D170" s="596">
        <f>SUM(T170+U170+Y170+Z170+AK170+AL170+AO170+AR170)</f>
        <v>0</v>
      </c>
      <c r="E170" s="604">
        <f>D170</f>
        <v>0</v>
      </c>
      <c r="F170" s="626">
        <v>0</v>
      </c>
      <c r="G170" s="627">
        <v>0</v>
      </c>
      <c r="H170" s="96"/>
      <c r="I170" s="96"/>
      <c r="J170" s="104"/>
      <c r="K170" s="75"/>
      <c r="L170" s="75"/>
      <c r="M170" s="75"/>
      <c r="N170" s="75"/>
      <c r="O170" s="96"/>
      <c r="P170" s="105"/>
      <c r="Q170" s="105"/>
      <c r="R170" s="96"/>
      <c r="S170" s="104"/>
      <c r="T170" s="110"/>
      <c r="U170" s="110"/>
      <c r="V170" s="100"/>
      <c r="W170" s="100"/>
      <c r="X170" s="100"/>
      <c r="Y170" s="110"/>
      <c r="Z170" s="110"/>
      <c r="AA170" s="100"/>
      <c r="AB170" s="109"/>
      <c r="AC170" s="109">
        <v>1</v>
      </c>
      <c r="AD170" s="109">
        <v>1</v>
      </c>
      <c r="AE170" s="109"/>
      <c r="AF170" s="108"/>
      <c r="AG170" s="109"/>
      <c r="AH170" s="100"/>
      <c r="AI170" s="100"/>
      <c r="AJ170" s="110"/>
      <c r="AK170" s="416"/>
      <c r="AL170" s="100"/>
      <c r="AM170" s="100"/>
      <c r="AN170" s="111"/>
      <c r="AO170" s="100"/>
      <c r="AP170" s="100"/>
      <c r="AQ170" s="111"/>
      <c r="AR170" s="100"/>
      <c r="AS170" s="100"/>
      <c r="AT170" s="100"/>
    </row>
    <row r="171" spans="1:46" ht="16.3">
      <c r="A171" s="246" t="s">
        <v>2</v>
      </c>
      <c r="B171" s="509">
        <f>SUM(J171+K171+L171+M171+N171+S171+V171+W171+X171+AA171+AI171+AJ171+AI171+AM171+AP171+AQ171+AS171+AT171+AU171+AV171)</f>
        <v>0</v>
      </c>
      <c r="C171" s="215">
        <f t="shared" ref="C171:C174" si="77">B171</f>
        <v>0</v>
      </c>
      <c r="D171" s="596">
        <f>SUM(T171+U171+Y171+Z171+AK171+AL171+AO171+AR171)</f>
        <v>0</v>
      </c>
      <c r="E171" s="604">
        <f t="shared" ref="E171:E174" si="78">D171</f>
        <v>0</v>
      </c>
      <c r="F171" s="626">
        <v>0</v>
      </c>
      <c r="G171" s="627">
        <v>0</v>
      </c>
      <c r="H171" s="96"/>
      <c r="I171" s="96"/>
      <c r="J171" s="104"/>
      <c r="K171" s="75"/>
      <c r="L171" s="75"/>
      <c r="M171" s="75"/>
      <c r="N171" s="75"/>
      <c r="O171" s="96">
        <v>1</v>
      </c>
      <c r="P171" s="105"/>
      <c r="Q171" s="105"/>
      <c r="R171" s="96"/>
      <c r="S171" s="104"/>
      <c r="T171" s="110"/>
      <c r="U171" s="110"/>
      <c r="V171" s="100"/>
      <c r="W171" s="100"/>
      <c r="X171" s="100"/>
      <c r="Y171" s="110"/>
      <c r="Z171" s="110"/>
      <c r="AA171" s="100"/>
      <c r="AB171" s="109">
        <v>1</v>
      </c>
      <c r="AC171" s="109"/>
      <c r="AD171" s="109"/>
      <c r="AE171" s="109"/>
      <c r="AF171" s="108"/>
      <c r="AG171" s="109">
        <v>1</v>
      </c>
      <c r="AH171" s="100"/>
      <c r="AI171" s="100"/>
      <c r="AJ171" s="110"/>
      <c r="AK171" s="416"/>
      <c r="AL171" s="100"/>
      <c r="AM171" s="100"/>
      <c r="AN171" s="111"/>
      <c r="AO171" s="100"/>
      <c r="AP171" s="100"/>
      <c r="AQ171" s="111"/>
      <c r="AR171" s="100"/>
      <c r="AS171" s="100"/>
      <c r="AT171" s="100"/>
    </row>
    <row r="172" spans="1:46" ht="16.3">
      <c r="A172" s="83" t="s">
        <v>363</v>
      </c>
      <c r="B172" s="508">
        <f>SUM(B170+B171)</f>
        <v>0</v>
      </c>
      <c r="C172" s="214">
        <f t="shared" si="77"/>
        <v>0</v>
      </c>
      <c r="D172" s="595">
        <f>SUM(D170+D171)</f>
        <v>0</v>
      </c>
      <c r="E172" s="602">
        <f t="shared" si="78"/>
        <v>0</v>
      </c>
      <c r="F172" s="617">
        <v>0</v>
      </c>
      <c r="G172" s="621">
        <v>0</v>
      </c>
      <c r="H172" s="96"/>
      <c r="I172" s="96"/>
      <c r="J172" s="104"/>
      <c r="K172" s="75"/>
      <c r="L172" s="75"/>
      <c r="M172" s="75"/>
      <c r="N172" s="75"/>
      <c r="O172" s="96"/>
      <c r="P172" s="105"/>
      <c r="Q172" s="105"/>
      <c r="R172" s="96"/>
      <c r="S172" s="104"/>
      <c r="T172" s="110"/>
      <c r="U172" s="110"/>
      <c r="V172" s="100"/>
      <c r="W172" s="100"/>
      <c r="X172" s="100"/>
      <c r="Y172" s="110"/>
      <c r="Z172" s="110"/>
      <c r="AA172" s="100"/>
      <c r="AB172" s="109"/>
      <c r="AC172" s="109"/>
      <c r="AD172" s="109"/>
      <c r="AE172" s="109"/>
      <c r="AF172" s="108"/>
      <c r="AG172" s="109"/>
      <c r="AH172" s="100"/>
      <c r="AI172" s="100"/>
      <c r="AJ172" s="110"/>
      <c r="AK172" s="416"/>
      <c r="AL172" s="100"/>
      <c r="AM172" s="100"/>
      <c r="AN172" s="111"/>
      <c r="AO172" s="100"/>
      <c r="AP172" s="100"/>
      <c r="AQ172" s="111"/>
      <c r="AR172" s="100"/>
      <c r="AS172" s="100"/>
      <c r="AT172" s="100"/>
    </row>
    <row r="173" spans="1:46" ht="16.3">
      <c r="A173" s="83" t="s">
        <v>3</v>
      </c>
      <c r="B173" s="508">
        <f>SUM(J173+K173+L173+M173+N173+S173+V173+W173+X173+AA173+AI173+AJ173+AI173+AM173+AP173+AQ173+AS173+AT173+AU173+AV173)</f>
        <v>0</v>
      </c>
      <c r="C173" s="214">
        <f t="shared" si="77"/>
        <v>0</v>
      </c>
      <c r="D173" s="595">
        <f t="shared" ref="D173:D174" si="79">SUM(T173+U173+Y173+Z173+AK173+AL173+AO173+AR173)</f>
        <v>0</v>
      </c>
      <c r="E173" s="602">
        <f t="shared" si="78"/>
        <v>0</v>
      </c>
      <c r="F173" s="617">
        <v>0</v>
      </c>
      <c r="G173" s="621">
        <v>0</v>
      </c>
      <c r="H173" s="96"/>
      <c r="I173" s="96"/>
      <c r="J173" s="104"/>
      <c r="K173" s="75"/>
      <c r="L173" s="75"/>
      <c r="M173" s="75"/>
      <c r="N173" s="75"/>
      <c r="O173" s="96"/>
      <c r="P173" s="105"/>
      <c r="Q173" s="105"/>
      <c r="R173" s="96"/>
      <c r="S173" s="104"/>
      <c r="T173" s="110"/>
      <c r="U173" s="110"/>
      <c r="V173" s="100"/>
      <c r="W173" s="100"/>
      <c r="X173" s="100"/>
      <c r="Y173" s="110"/>
      <c r="Z173" s="110"/>
      <c r="AA173" s="100"/>
      <c r="AB173" s="109"/>
      <c r="AC173" s="109"/>
      <c r="AD173" s="109"/>
      <c r="AE173" s="109"/>
      <c r="AF173" s="108"/>
      <c r="AG173" s="109"/>
      <c r="AH173" s="100"/>
      <c r="AI173" s="100"/>
      <c r="AJ173" s="110"/>
      <c r="AK173" s="416"/>
      <c r="AL173" s="100"/>
      <c r="AM173" s="100"/>
      <c r="AN173" s="111"/>
      <c r="AO173" s="100"/>
      <c r="AP173" s="100"/>
      <c r="AQ173" s="111"/>
      <c r="AR173" s="100"/>
      <c r="AS173" s="100"/>
      <c r="AT173" s="100"/>
    </row>
    <row r="174" spans="1:46" ht="17" thickBot="1">
      <c r="A174" s="85" t="s">
        <v>4</v>
      </c>
      <c r="B174" s="510">
        <f>SUM(J174+K174+L174+M174+N174+S174+V174+W174+X174+AA174+AI174+AJ174+AI174+AM174+AP174+AQ174+AS174+AT174+AU174+AV174)</f>
        <v>0</v>
      </c>
      <c r="C174" s="217">
        <f t="shared" si="77"/>
        <v>0</v>
      </c>
      <c r="D174" s="597">
        <f t="shared" si="79"/>
        <v>0</v>
      </c>
      <c r="E174" s="603">
        <f t="shared" si="78"/>
        <v>0</v>
      </c>
      <c r="F174" s="618">
        <v>0</v>
      </c>
      <c r="G174" s="622">
        <v>0</v>
      </c>
      <c r="H174" s="114"/>
      <c r="I174" s="114"/>
      <c r="J174" s="113"/>
      <c r="K174" s="112"/>
      <c r="L174" s="112"/>
      <c r="M174" s="112"/>
      <c r="N174" s="112"/>
      <c r="O174" s="114"/>
      <c r="P174" s="127"/>
      <c r="Q174" s="127"/>
      <c r="R174" s="114"/>
      <c r="S174" s="113"/>
      <c r="T174" s="120"/>
      <c r="U174" s="120"/>
      <c r="V174" s="116"/>
      <c r="W174" s="116"/>
      <c r="X174" s="116"/>
      <c r="Y174" s="120"/>
      <c r="Z174" s="120"/>
      <c r="AA174" s="116"/>
      <c r="AB174" s="118"/>
      <c r="AC174" s="118"/>
      <c r="AD174" s="118"/>
      <c r="AE174" s="118"/>
      <c r="AF174" s="117"/>
      <c r="AG174" s="118"/>
      <c r="AH174" s="116"/>
      <c r="AI174" s="116"/>
      <c r="AJ174" s="120"/>
      <c r="AK174" s="417"/>
      <c r="AL174" s="116"/>
      <c r="AM174" s="116"/>
      <c r="AN174" s="121"/>
      <c r="AO174" s="116"/>
      <c r="AP174" s="116"/>
      <c r="AQ174" s="121"/>
      <c r="AR174" s="116"/>
      <c r="AS174" s="116"/>
      <c r="AT174" s="116"/>
    </row>
    <row r="175" spans="1:46" ht="21.1">
      <c r="A175" s="82" t="s">
        <v>454</v>
      </c>
      <c r="B175" s="508"/>
      <c r="C175" s="214"/>
      <c r="D175" s="595"/>
      <c r="E175" s="602"/>
      <c r="F175" s="617"/>
      <c r="G175" s="621"/>
      <c r="H175" s="96" t="s">
        <v>375</v>
      </c>
      <c r="I175" s="96" t="s">
        <v>378</v>
      </c>
      <c r="J175" s="104"/>
      <c r="K175" s="75"/>
      <c r="L175" s="75"/>
      <c r="M175" s="75" t="s">
        <v>375</v>
      </c>
      <c r="N175" s="75" t="s">
        <v>375</v>
      </c>
      <c r="O175" s="96" t="s">
        <v>378</v>
      </c>
      <c r="P175" s="105"/>
      <c r="Q175" s="105"/>
      <c r="R175" s="96" t="s">
        <v>375</v>
      </c>
      <c r="S175" s="104" t="s">
        <v>375</v>
      </c>
      <c r="T175" s="110" t="s">
        <v>375</v>
      </c>
      <c r="U175" s="110" t="s">
        <v>375</v>
      </c>
      <c r="V175" s="100"/>
      <c r="W175" s="100"/>
      <c r="X175" s="100" t="s">
        <v>375</v>
      </c>
      <c r="Y175" s="110"/>
      <c r="Z175" s="110" t="s">
        <v>375</v>
      </c>
      <c r="AA175" s="100" t="s">
        <v>375</v>
      </c>
      <c r="AB175" s="109" t="s">
        <v>994</v>
      </c>
      <c r="AC175" s="109"/>
      <c r="AD175" s="109" t="s">
        <v>375</v>
      </c>
      <c r="AE175" s="109" t="s">
        <v>378</v>
      </c>
      <c r="AF175" s="108"/>
      <c r="AG175" s="109"/>
      <c r="AH175" s="100"/>
      <c r="AI175" s="100"/>
      <c r="AJ175" s="110"/>
      <c r="AK175" s="416"/>
      <c r="AL175" s="100"/>
      <c r="AM175" s="100"/>
      <c r="AN175" s="111"/>
      <c r="AO175" s="100"/>
      <c r="AP175" s="100"/>
      <c r="AQ175" s="111"/>
      <c r="AR175" s="100"/>
      <c r="AS175" s="100"/>
      <c r="AT175" s="100"/>
    </row>
    <row r="176" spans="1:46" ht="16.3">
      <c r="A176" s="246" t="s">
        <v>1</v>
      </c>
      <c r="B176" s="509">
        <f>SUM(J176+K176+L176+M176+N176+S176+V176+W176+X176+AA176+AI176+AJ176+AI176+AM176+AP176+AQ176+AS176+AT176+AU176+AV176+AN176)</f>
        <v>0</v>
      </c>
      <c r="C176" s="215">
        <f>B176</f>
        <v>0</v>
      </c>
      <c r="D176" s="596">
        <f>SUM(T176+U176+Y176+Z176+AK176+AL176+AO176+AR176)</f>
        <v>0</v>
      </c>
      <c r="E176" s="604">
        <f>D176</f>
        <v>0</v>
      </c>
      <c r="F176" s="626">
        <v>0</v>
      </c>
      <c r="G176" s="627">
        <v>0</v>
      </c>
      <c r="H176" s="96"/>
      <c r="I176" s="96">
        <v>1</v>
      </c>
      <c r="J176" s="104"/>
      <c r="K176" s="75"/>
      <c r="L176" s="75"/>
      <c r="M176" s="75"/>
      <c r="N176" s="75"/>
      <c r="O176" s="96">
        <v>1</v>
      </c>
      <c r="P176" s="105"/>
      <c r="Q176" s="105"/>
      <c r="R176" s="96"/>
      <c r="S176" s="104"/>
      <c r="T176" s="110"/>
      <c r="U176" s="110"/>
      <c r="V176" s="100"/>
      <c r="W176" s="100"/>
      <c r="X176" s="100"/>
      <c r="Y176" s="110"/>
      <c r="Z176" s="110"/>
      <c r="AA176" s="100"/>
      <c r="AB176" s="109">
        <v>1</v>
      </c>
      <c r="AC176" s="109"/>
      <c r="AD176" s="109"/>
      <c r="AE176" s="109">
        <v>1</v>
      </c>
      <c r="AF176" s="108"/>
      <c r="AG176" s="109"/>
      <c r="AH176" s="100"/>
      <c r="AI176" s="100"/>
      <c r="AJ176" s="110"/>
      <c r="AK176" s="416"/>
      <c r="AL176" s="100"/>
      <c r="AM176" s="100"/>
      <c r="AN176" s="111"/>
      <c r="AO176" s="100"/>
      <c r="AP176" s="100"/>
      <c r="AQ176" s="111"/>
      <c r="AR176" s="100"/>
      <c r="AS176" s="100"/>
      <c r="AT176" s="100"/>
    </row>
    <row r="177" spans="1:46" ht="16.3">
      <c r="A177" s="246" t="s">
        <v>2</v>
      </c>
      <c r="B177" s="509">
        <f>SUM(J177+K177+L177+M177+N177+S177+V177+W177+X177+AA177+AI177+AJ177+AI177+AM177+AP177+AQ177+AS177+AT177+AU177+AV177)</f>
        <v>5</v>
      </c>
      <c r="C177" s="215">
        <f t="shared" ref="C177:C180" si="80">B177</f>
        <v>5</v>
      </c>
      <c r="D177" s="596">
        <f>SUM(T177+U177+Y177+Z177+AK177+AL177+AO177+AR177)</f>
        <v>3</v>
      </c>
      <c r="E177" s="604">
        <f t="shared" ref="E177:E180" si="81">D177</f>
        <v>3</v>
      </c>
      <c r="F177" s="626">
        <v>0</v>
      </c>
      <c r="G177" s="627">
        <v>0</v>
      </c>
      <c r="H177" s="96">
        <v>1</v>
      </c>
      <c r="I177" s="96"/>
      <c r="J177" s="104"/>
      <c r="K177" s="75"/>
      <c r="L177" s="75"/>
      <c r="M177" s="75">
        <v>1</v>
      </c>
      <c r="N177" s="75">
        <v>1</v>
      </c>
      <c r="O177" s="96"/>
      <c r="P177" s="105"/>
      <c r="Q177" s="105"/>
      <c r="R177" s="96">
        <v>1</v>
      </c>
      <c r="S177" s="104">
        <v>1</v>
      </c>
      <c r="T177" s="110">
        <v>1</v>
      </c>
      <c r="U177" s="110">
        <v>1</v>
      </c>
      <c r="V177" s="100"/>
      <c r="W177" s="100"/>
      <c r="X177" s="100">
        <v>1</v>
      </c>
      <c r="Y177" s="110"/>
      <c r="Z177" s="110">
        <v>1</v>
      </c>
      <c r="AA177" s="100">
        <v>1</v>
      </c>
      <c r="AB177" s="109"/>
      <c r="AC177" s="109"/>
      <c r="AD177" s="109">
        <v>1</v>
      </c>
      <c r="AE177" s="109"/>
      <c r="AF177" s="108"/>
      <c r="AG177" s="109"/>
      <c r="AH177" s="100"/>
      <c r="AI177" s="100"/>
      <c r="AJ177" s="110"/>
      <c r="AK177" s="416"/>
      <c r="AL177" s="100"/>
      <c r="AM177" s="100"/>
      <c r="AN177" s="111"/>
      <c r="AO177" s="100"/>
      <c r="AP177" s="100"/>
      <c r="AQ177" s="111"/>
      <c r="AR177" s="100"/>
      <c r="AS177" s="100"/>
      <c r="AT177" s="100"/>
    </row>
    <row r="178" spans="1:46" ht="16.3">
      <c r="A178" s="83" t="s">
        <v>363</v>
      </c>
      <c r="B178" s="508">
        <f>SUM(B176+B177)</f>
        <v>5</v>
      </c>
      <c r="C178" s="214">
        <f t="shared" si="80"/>
        <v>5</v>
      </c>
      <c r="D178" s="595">
        <f>SUM(D176+D177)</f>
        <v>3</v>
      </c>
      <c r="E178" s="602">
        <f t="shared" si="81"/>
        <v>3</v>
      </c>
      <c r="F178" s="617">
        <v>0</v>
      </c>
      <c r="G178" s="621">
        <v>0</v>
      </c>
      <c r="H178" s="96"/>
      <c r="I178" s="96"/>
      <c r="J178" s="104"/>
      <c r="K178" s="75"/>
      <c r="L178" s="75"/>
      <c r="M178" s="75"/>
      <c r="N178" s="75"/>
      <c r="O178" s="96"/>
      <c r="P178" s="105"/>
      <c r="Q178" s="105"/>
      <c r="R178" s="96"/>
      <c r="S178" s="104"/>
      <c r="T178" s="110"/>
      <c r="U178" s="110"/>
      <c r="V178" s="100"/>
      <c r="W178" s="100"/>
      <c r="X178" s="100"/>
      <c r="Y178" s="110"/>
      <c r="Z178" s="110"/>
      <c r="AA178" s="100"/>
      <c r="AB178" s="109"/>
      <c r="AC178" s="109"/>
      <c r="AD178" s="109"/>
      <c r="AE178" s="109"/>
      <c r="AF178" s="108"/>
      <c r="AG178" s="109"/>
      <c r="AH178" s="100"/>
      <c r="AI178" s="100"/>
      <c r="AJ178" s="110"/>
      <c r="AK178" s="416"/>
      <c r="AL178" s="100"/>
      <c r="AM178" s="100"/>
      <c r="AN178" s="111"/>
      <c r="AO178" s="100"/>
      <c r="AP178" s="100"/>
      <c r="AQ178" s="111"/>
      <c r="AR178" s="100"/>
      <c r="AS178" s="100"/>
      <c r="AT178" s="100"/>
    </row>
    <row r="179" spans="1:46" ht="16.3">
      <c r="A179" s="83" t="s">
        <v>3</v>
      </c>
      <c r="B179" s="508">
        <f>SUM(J179+K179+L179+M179+N179+S179+V179+W179+X179+AA179+AI179+AJ179+AI179+AM179+AP179+AQ179+AS179+AT179+AU179+AV179)</f>
        <v>0</v>
      </c>
      <c r="C179" s="214">
        <f t="shared" si="80"/>
        <v>0</v>
      </c>
      <c r="D179" s="595">
        <f t="shared" ref="D179:D180" si="82">SUM(T179+U179+Y179+Z179+AK179+AL179+AO179+AR179)</f>
        <v>0</v>
      </c>
      <c r="E179" s="602">
        <f t="shared" si="81"/>
        <v>0</v>
      </c>
      <c r="F179" s="617">
        <v>0</v>
      </c>
      <c r="G179" s="621">
        <v>0</v>
      </c>
      <c r="H179" s="96"/>
      <c r="I179" s="96"/>
      <c r="J179" s="104"/>
      <c r="K179" s="75"/>
      <c r="L179" s="75"/>
      <c r="M179" s="75"/>
      <c r="N179" s="75"/>
      <c r="O179" s="96"/>
      <c r="P179" s="105"/>
      <c r="Q179" s="105"/>
      <c r="R179" s="96">
        <v>1</v>
      </c>
      <c r="S179" s="104"/>
      <c r="T179" s="110"/>
      <c r="U179" s="110"/>
      <c r="V179" s="100"/>
      <c r="W179" s="100"/>
      <c r="X179" s="100"/>
      <c r="Y179" s="110"/>
      <c r="Z179" s="110"/>
      <c r="AA179" s="100"/>
      <c r="AB179" s="109"/>
      <c r="AC179" s="109"/>
      <c r="AD179" s="109">
        <v>1</v>
      </c>
      <c r="AE179" s="109"/>
      <c r="AF179" s="108"/>
      <c r="AG179" s="109"/>
      <c r="AH179" s="100"/>
      <c r="AI179" s="100"/>
      <c r="AJ179" s="110"/>
      <c r="AK179" s="416"/>
      <c r="AL179" s="100"/>
      <c r="AM179" s="100"/>
      <c r="AN179" s="111"/>
      <c r="AO179" s="100"/>
      <c r="AP179" s="100"/>
      <c r="AQ179" s="111"/>
      <c r="AR179" s="100"/>
      <c r="AS179" s="100"/>
      <c r="AT179" s="100"/>
    </row>
    <row r="180" spans="1:46" ht="17" thickBot="1">
      <c r="A180" s="85" t="s">
        <v>4</v>
      </c>
      <c r="B180" s="510">
        <f>SUM(J180+K180+L180+M180+N180+S180+V180+W180+X180+AA180+AI180+AJ180+AI180+AM180+AP180+AQ180+AS180+AT180+AU180+AV180)</f>
        <v>0</v>
      </c>
      <c r="C180" s="217">
        <f t="shared" si="80"/>
        <v>0</v>
      </c>
      <c r="D180" s="597">
        <f t="shared" si="82"/>
        <v>0</v>
      </c>
      <c r="E180" s="603">
        <f t="shared" si="81"/>
        <v>0</v>
      </c>
      <c r="F180" s="618">
        <v>0</v>
      </c>
      <c r="G180" s="622">
        <v>0</v>
      </c>
      <c r="H180" s="114"/>
      <c r="I180" s="114"/>
      <c r="J180" s="113"/>
      <c r="K180" s="112"/>
      <c r="L180" s="112"/>
      <c r="M180" s="112"/>
      <c r="N180" s="112"/>
      <c r="O180" s="114"/>
      <c r="P180" s="127"/>
      <c r="Q180" s="127"/>
      <c r="R180" s="114">
        <v>5</v>
      </c>
      <c r="S180" s="113"/>
      <c r="T180" s="120"/>
      <c r="U180" s="120"/>
      <c r="V180" s="112"/>
      <c r="W180" s="100"/>
      <c r="X180" s="100"/>
      <c r="Y180" s="110"/>
      <c r="Z180" s="110"/>
      <c r="AA180" s="100"/>
      <c r="AB180" s="109"/>
      <c r="AC180" s="109"/>
      <c r="AD180" s="109">
        <v>5</v>
      </c>
      <c r="AE180" s="109"/>
      <c r="AF180" s="108"/>
      <c r="AG180" s="109"/>
      <c r="AH180" s="100"/>
      <c r="AI180" s="100"/>
      <c r="AJ180" s="110"/>
      <c r="AK180" s="416"/>
      <c r="AL180" s="100"/>
      <c r="AM180" s="100"/>
      <c r="AN180" s="111"/>
      <c r="AO180" s="100"/>
      <c r="AP180" s="100"/>
      <c r="AQ180" s="111"/>
      <c r="AR180" s="100"/>
      <c r="AS180" s="100"/>
      <c r="AT180" s="100"/>
    </row>
    <row r="181" spans="1:46" ht="21.1">
      <c r="A181" s="82" t="s">
        <v>313</v>
      </c>
      <c r="B181" s="512"/>
      <c r="C181" s="218"/>
      <c r="D181" s="598"/>
      <c r="E181" s="605"/>
      <c r="F181" s="619"/>
      <c r="G181" s="623"/>
      <c r="H181" s="96"/>
      <c r="I181" s="96" t="s">
        <v>375</v>
      </c>
      <c r="J181" s="104" t="s">
        <v>369</v>
      </c>
      <c r="K181" s="75" t="s">
        <v>369</v>
      </c>
      <c r="L181" s="75" t="s">
        <v>369</v>
      </c>
      <c r="M181" s="75">
        <v>1</v>
      </c>
      <c r="N181" s="75" t="s">
        <v>369</v>
      </c>
      <c r="O181" s="96"/>
      <c r="P181" s="105"/>
      <c r="Q181" s="105"/>
      <c r="R181" s="96" t="s">
        <v>803</v>
      </c>
      <c r="S181" s="104" t="s">
        <v>369</v>
      </c>
      <c r="T181" s="110"/>
      <c r="U181" s="110" t="s">
        <v>369</v>
      </c>
      <c r="V181" s="102" t="s">
        <v>369</v>
      </c>
      <c r="W181" s="102" t="s">
        <v>369</v>
      </c>
      <c r="X181" s="102" t="s">
        <v>369</v>
      </c>
      <c r="Y181" s="101" t="s">
        <v>369</v>
      </c>
      <c r="Z181" s="101"/>
      <c r="AA181" s="102" t="s">
        <v>369</v>
      </c>
      <c r="AB181" s="99"/>
      <c r="AC181" s="99" t="s">
        <v>803</v>
      </c>
      <c r="AD181" s="99" t="s">
        <v>803</v>
      </c>
      <c r="AE181" s="99" t="s">
        <v>803</v>
      </c>
      <c r="AF181" s="98"/>
      <c r="AG181" s="99"/>
      <c r="AH181" s="102"/>
      <c r="AI181" s="102"/>
      <c r="AJ181" s="101"/>
      <c r="AK181" s="414"/>
      <c r="AL181" s="102"/>
      <c r="AM181" s="102"/>
      <c r="AN181" s="103"/>
      <c r="AO181" s="102"/>
      <c r="AP181" s="102"/>
      <c r="AQ181" s="103"/>
      <c r="AR181" s="102"/>
      <c r="AS181" s="102"/>
      <c r="AT181" s="102"/>
    </row>
    <row r="182" spans="1:46" ht="16.3">
      <c r="A182" s="246" t="s">
        <v>1</v>
      </c>
      <c r="B182" s="509">
        <f>SUM(J182+K182+L182+M182+N182+S182+V182+W182+X182+AA182+AI182+AJ182+AI182+AM182+AP182+AQ182+AS182+AT182+AU182+AV182+AN182)+20</f>
        <v>30</v>
      </c>
      <c r="C182" s="215">
        <f>B182</f>
        <v>30</v>
      </c>
      <c r="D182" s="596">
        <f>SUM(T182+U182+Y182+Z182+AK182+AL182+AO182+AR182)+4</f>
        <v>6</v>
      </c>
      <c r="E182" s="604">
        <f>SUM(U182+T182+Z182+Y182+AL182+AK182+AO182+AR182)+21</f>
        <v>23</v>
      </c>
      <c r="F182" s="626">
        <v>0</v>
      </c>
      <c r="G182" s="627">
        <v>7</v>
      </c>
      <c r="H182" s="96"/>
      <c r="I182" s="96"/>
      <c r="J182" s="104">
        <v>1</v>
      </c>
      <c r="K182" s="75">
        <v>1</v>
      </c>
      <c r="L182" s="75">
        <v>1</v>
      </c>
      <c r="M182" s="75">
        <v>1</v>
      </c>
      <c r="N182" s="75">
        <v>1</v>
      </c>
      <c r="O182" s="96"/>
      <c r="P182" s="105"/>
      <c r="Q182" s="105"/>
      <c r="R182" s="96"/>
      <c r="S182" s="128">
        <v>1</v>
      </c>
      <c r="T182" s="106"/>
      <c r="U182" s="106">
        <v>1</v>
      </c>
      <c r="V182" s="75">
        <v>1</v>
      </c>
      <c r="W182" s="75">
        <v>1</v>
      </c>
      <c r="X182" s="75">
        <v>1</v>
      </c>
      <c r="Y182" s="106">
        <v>1</v>
      </c>
      <c r="Z182" s="106"/>
      <c r="AA182" s="75">
        <v>1</v>
      </c>
      <c r="AB182" s="96"/>
      <c r="AC182" s="96"/>
      <c r="AD182" s="96"/>
      <c r="AE182" s="96"/>
      <c r="AF182" s="105"/>
      <c r="AG182" s="96"/>
      <c r="AH182" s="75"/>
      <c r="AI182" s="75"/>
      <c r="AJ182" s="106"/>
      <c r="AK182" s="415"/>
      <c r="AL182" s="75"/>
      <c r="AM182" s="75"/>
      <c r="AN182" s="107"/>
      <c r="AO182" s="75"/>
      <c r="AP182" s="75"/>
      <c r="AQ182" s="107"/>
      <c r="AR182" s="75"/>
      <c r="AS182" s="75"/>
      <c r="AT182" s="75"/>
    </row>
    <row r="183" spans="1:46" ht="16.3">
      <c r="A183" s="246" t="s">
        <v>2</v>
      </c>
      <c r="B183" s="509">
        <f>SUM(J183+K183+L183+M183+N183+S183+V183+W183+X183+AA183+AI183+AJ183+AI183+AM183+AP183+AQ183+AS183+AT183+AU183+AV183)</f>
        <v>0</v>
      </c>
      <c r="C183" s="215">
        <f t="shared" ref="C183:C186" si="83">B183</f>
        <v>0</v>
      </c>
      <c r="D183" s="596">
        <f>SUM(T183+U183+Y183+Z183+AK183+AL183+AO183+AR183)</f>
        <v>0</v>
      </c>
      <c r="E183" s="604">
        <f>SUM(U183+V183+Z183+AA183+AL183+AM183+AP183+AS183)+8</f>
        <v>8</v>
      </c>
      <c r="F183" s="626">
        <v>0</v>
      </c>
      <c r="G183" s="627">
        <v>8</v>
      </c>
      <c r="H183" s="96"/>
      <c r="I183" s="96">
        <v>1</v>
      </c>
      <c r="J183" s="104"/>
      <c r="K183" s="75"/>
      <c r="L183" s="75"/>
      <c r="M183" s="75"/>
      <c r="N183" s="75"/>
      <c r="O183" s="96"/>
      <c r="P183" s="105"/>
      <c r="Q183" s="105"/>
      <c r="R183" s="96"/>
      <c r="S183" s="104"/>
      <c r="T183" s="110"/>
      <c r="U183" s="110"/>
      <c r="V183" s="100"/>
      <c r="W183" s="100"/>
      <c r="X183" s="100"/>
      <c r="Y183" s="110"/>
      <c r="Z183" s="110"/>
      <c r="AA183" s="100"/>
      <c r="AB183" s="109"/>
      <c r="AC183" s="109"/>
      <c r="AD183" s="109"/>
      <c r="AE183" s="109"/>
      <c r="AF183" s="108"/>
      <c r="AG183" s="109"/>
      <c r="AH183" s="100"/>
      <c r="AI183" s="100"/>
      <c r="AJ183" s="110"/>
      <c r="AK183" s="416"/>
      <c r="AL183" s="100"/>
      <c r="AM183" s="100"/>
      <c r="AN183" s="111"/>
      <c r="AO183" s="100"/>
      <c r="AP183" s="100"/>
      <c r="AQ183" s="111"/>
      <c r="AR183" s="100"/>
      <c r="AS183" s="100"/>
      <c r="AT183" s="100"/>
    </row>
    <row r="184" spans="1:46" ht="16.3">
      <c r="A184" s="83" t="s">
        <v>363</v>
      </c>
      <c r="B184" s="508">
        <f>SUM(B182+B183)</f>
        <v>30</v>
      </c>
      <c r="C184" s="214">
        <f t="shared" si="83"/>
        <v>30</v>
      </c>
      <c r="D184" s="595">
        <f>SUM(D182+D183)</f>
        <v>6</v>
      </c>
      <c r="E184" s="602">
        <f>SUM(E182+E183)</f>
        <v>31</v>
      </c>
      <c r="F184" s="617">
        <v>0</v>
      </c>
      <c r="G184" s="621">
        <f>SUM(G182+G183)</f>
        <v>15</v>
      </c>
      <c r="H184" s="96"/>
      <c r="I184" s="96"/>
      <c r="J184" s="104"/>
      <c r="K184" s="75"/>
      <c r="L184" s="75"/>
      <c r="M184" s="75"/>
      <c r="N184" s="75"/>
      <c r="O184" s="96"/>
      <c r="P184" s="105"/>
      <c r="Q184" s="105"/>
      <c r="R184" s="96"/>
      <c r="S184" s="104"/>
      <c r="T184" s="110"/>
      <c r="U184" s="110"/>
      <c r="V184" s="100"/>
      <c r="W184" s="100"/>
      <c r="X184" s="100"/>
      <c r="Y184" s="110"/>
      <c r="Z184" s="110"/>
      <c r="AA184" s="100"/>
      <c r="AB184" s="109"/>
      <c r="AC184" s="109"/>
      <c r="AD184" s="109"/>
      <c r="AE184" s="109"/>
      <c r="AF184" s="108"/>
      <c r="AG184" s="109"/>
      <c r="AH184" s="100"/>
      <c r="AI184" s="100"/>
      <c r="AJ184" s="110"/>
      <c r="AK184" s="416"/>
      <c r="AL184" s="100"/>
      <c r="AM184" s="100"/>
      <c r="AN184" s="111"/>
      <c r="AO184" s="100"/>
      <c r="AP184" s="100"/>
      <c r="AQ184" s="111"/>
      <c r="AR184" s="100"/>
      <c r="AS184" s="100"/>
      <c r="AT184" s="100"/>
    </row>
    <row r="185" spans="1:46" ht="16.3">
      <c r="A185" s="83" t="s">
        <v>3</v>
      </c>
      <c r="B185" s="508">
        <f>SUM(J185+K185+L185+M185+N185+S185+V185+W185+X185+AA185+AI185+AJ185+AI185+AM185+AP185+AQ185+AS185+AT185+AU185+AV185)+1</f>
        <v>2</v>
      </c>
      <c r="C185" s="214">
        <f t="shared" si="83"/>
        <v>2</v>
      </c>
      <c r="D185" s="595">
        <f t="shared" ref="D185:D186" si="84">SUM(T185+U185+Y185+Z185+AK185+AL185+AO185+AR185)</f>
        <v>0</v>
      </c>
      <c r="E185" s="602">
        <f>SUM(U185+T185+Z185+Y185+AL185+AK185+AO185+AR185)+1</f>
        <v>1</v>
      </c>
      <c r="F185" s="617">
        <v>0</v>
      </c>
      <c r="G185" s="621">
        <v>0</v>
      </c>
      <c r="H185" s="96"/>
      <c r="I185" s="96"/>
      <c r="J185" s="104"/>
      <c r="K185" s="75"/>
      <c r="L185" s="75"/>
      <c r="M185" s="75">
        <v>1</v>
      </c>
      <c r="N185" s="75"/>
      <c r="O185" s="96"/>
      <c r="P185" s="105"/>
      <c r="Q185" s="105"/>
      <c r="R185" s="96"/>
      <c r="S185" s="104"/>
      <c r="T185" s="110"/>
      <c r="U185" s="110"/>
      <c r="V185" s="100"/>
      <c r="W185" s="100"/>
      <c r="X185" s="100"/>
      <c r="Y185" s="110"/>
      <c r="Z185" s="110"/>
      <c r="AA185" s="100"/>
      <c r="AB185" s="109"/>
      <c r="AC185" s="109"/>
      <c r="AD185" s="109"/>
      <c r="AE185" s="109"/>
      <c r="AF185" s="108"/>
      <c r="AG185" s="109"/>
      <c r="AH185" s="100"/>
      <c r="AI185" s="100"/>
      <c r="AJ185" s="110"/>
      <c r="AK185" s="416"/>
      <c r="AL185" s="100"/>
      <c r="AM185" s="100"/>
      <c r="AN185" s="111"/>
      <c r="AO185" s="100"/>
      <c r="AP185" s="100"/>
      <c r="AQ185" s="111"/>
      <c r="AR185" s="100"/>
      <c r="AS185" s="100"/>
      <c r="AT185" s="100"/>
    </row>
    <row r="186" spans="1:46" ht="17" thickBot="1">
      <c r="A186" s="85" t="s">
        <v>4</v>
      </c>
      <c r="B186" s="510">
        <f>SUM(J186+K186+L186+M186+N186+S186+V186+W186+X186+AA186+AI186+AJ186+AI186+AM186+AP186+AQ186+AS186+AT186+AU186+AV186)+5</f>
        <v>10</v>
      </c>
      <c r="C186" s="217">
        <f t="shared" si="83"/>
        <v>10</v>
      </c>
      <c r="D186" s="597">
        <f t="shared" si="84"/>
        <v>0</v>
      </c>
      <c r="E186" s="603">
        <f>SUM(U186+T186+Z186+Y186+AL186+AK186+AO186+AR186)+5</f>
        <v>5</v>
      </c>
      <c r="F186" s="618">
        <v>0</v>
      </c>
      <c r="G186" s="622">
        <v>0</v>
      </c>
      <c r="H186" s="114"/>
      <c r="I186" s="114"/>
      <c r="J186" s="113"/>
      <c r="K186" s="112"/>
      <c r="L186" s="112"/>
      <c r="M186" s="112">
        <v>5</v>
      </c>
      <c r="N186" s="112"/>
      <c r="O186" s="114"/>
      <c r="P186" s="127"/>
      <c r="Q186" s="127"/>
      <c r="R186" s="114"/>
      <c r="S186" s="113"/>
      <c r="T186" s="120"/>
      <c r="U186" s="119"/>
      <c r="V186" s="100"/>
      <c r="W186" s="100"/>
      <c r="X186" s="100"/>
      <c r="Y186" s="110"/>
      <c r="Z186" s="110"/>
      <c r="AA186" s="100"/>
      <c r="AB186" s="109"/>
      <c r="AC186" s="109"/>
      <c r="AD186" s="109"/>
      <c r="AE186" s="109"/>
      <c r="AF186" s="108"/>
      <c r="AG186" s="109"/>
      <c r="AH186" s="100"/>
      <c r="AI186" s="100"/>
      <c r="AJ186" s="110"/>
      <c r="AK186" s="416"/>
      <c r="AL186" s="100"/>
      <c r="AM186" s="100"/>
      <c r="AN186" s="111"/>
      <c r="AO186" s="100"/>
      <c r="AP186" s="100"/>
      <c r="AQ186" s="111"/>
      <c r="AR186" s="100"/>
      <c r="AS186" s="100"/>
      <c r="AT186" s="100"/>
    </row>
    <row r="187" spans="1:46" ht="21.1">
      <c r="A187" s="82" t="s">
        <v>286</v>
      </c>
      <c r="B187" s="508"/>
      <c r="C187" s="214"/>
      <c r="D187" s="595"/>
      <c r="E187" s="602"/>
      <c r="F187" s="617"/>
      <c r="G187" s="621"/>
      <c r="H187" s="96"/>
      <c r="I187" s="96" t="s">
        <v>369</v>
      </c>
      <c r="J187" s="104" t="s">
        <v>375</v>
      </c>
      <c r="K187" s="75"/>
      <c r="L187" s="75" t="s">
        <v>375</v>
      </c>
      <c r="M187" s="75"/>
      <c r="N187" s="75" t="s">
        <v>375</v>
      </c>
      <c r="O187" s="96" t="s">
        <v>369</v>
      </c>
      <c r="P187" s="105"/>
      <c r="Q187" s="105"/>
      <c r="R187" s="96" t="s">
        <v>369</v>
      </c>
      <c r="S187" s="104"/>
      <c r="T187" s="110" t="s">
        <v>369</v>
      </c>
      <c r="U187" s="110"/>
      <c r="V187" s="102" t="s">
        <v>375</v>
      </c>
      <c r="W187" s="102" t="s">
        <v>375</v>
      </c>
      <c r="X187" s="102" t="s">
        <v>375</v>
      </c>
      <c r="Y187" s="101" t="s">
        <v>375</v>
      </c>
      <c r="Z187" s="101" t="s">
        <v>369</v>
      </c>
      <c r="AA187" s="102"/>
      <c r="AB187" s="99" t="s">
        <v>375</v>
      </c>
      <c r="AC187" s="99" t="s">
        <v>816</v>
      </c>
      <c r="AD187" s="99" t="s">
        <v>369</v>
      </c>
      <c r="AE187" s="99" t="s">
        <v>375</v>
      </c>
      <c r="AF187" s="98"/>
      <c r="AG187" s="99" t="s">
        <v>375</v>
      </c>
      <c r="AH187" s="102"/>
      <c r="AI187" s="102"/>
      <c r="AJ187" s="101"/>
      <c r="AK187" s="414"/>
      <c r="AL187" s="102"/>
      <c r="AM187" s="102"/>
      <c r="AN187" s="103"/>
      <c r="AO187" s="102"/>
      <c r="AP187" s="102"/>
      <c r="AQ187" s="103"/>
      <c r="AR187" s="102"/>
      <c r="AS187" s="102"/>
      <c r="AT187" s="102"/>
    </row>
    <row r="188" spans="1:46" ht="16.3">
      <c r="A188" s="246" t="s">
        <v>1</v>
      </c>
      <c r="B188" s="509">
        <f>SUM(J188+K188+L188+M188+N188+S188+V188+W188+X188+AA188+AI188+AJ188+AI188+AM188+AP188+AQ188+AS188+AT188+AU188+AV188+AN188)</f>
        <v>0</v>
      </c>
      <c r="C188" s="215">
        <f>SUM(J188+K188+L188+M188+N188+S188+W188+X188+V188+AA188+AJ188+AI188+AJ188+AN188+AQ188+AM188+AT188+AU188+AV188+AW188+AP188+AS188)+3</f>
        <v>3</v>
      </c>
      <c r="D188" s="596">
        <f>SUM(T188+U188+Y188+Z188+AK188+AL188+AO188+AR188)</f>
        <v>2</v>
      </c>
      <c r="E188" s="604">
        <f>SUM(U188+T188+Z188+Y188+AL188+AK188+AO188+AR188)+2</f>
        <v>4</v>
      </c>
      <c r="F188" s="626">
        <v>0</v>
      </c>
      <c r="G188" s="627">
        <v>0</v>
      </c>
      <c r="H188" s="96"/>
      <c r="I188" s="96">
        <v>1</v>
      </c>
      <c r="J188" s="104"/>
      <c r="K188" s="75"/>
      <c r="L188" s="75"/>
      <c r="M188" s="75"/>
      <c r="N188" s="75"/>
      <c r="O188" s="96">
        <v>1</v>
      </c>
      <c r="P188" s="105"/>
      <c r="Q188" s="105"/>
      <c r="R188" s="96">
        <v>1</v>
      </c>
      <c r="S188" s="128"/>
      <c r="T188" s="106">
        <v>1</v>
      </c>
      <c r="U188" s="106"/>
      <c r="V188" s="75"/>
      <c r="W188" s="75"/>
      <c r="X188" s="75"/>
      <c r="Y188" s="106"/>
      <c r="Z188" s="106">
        <v>1</v>
      </c>
      <c r="AA188" s="75"/>
      <c r="AB188" s="96"/>
      <c r="AC188" s="96"/>
      <c r="AD188" s="96">
        <v>1</v>
      </c>
      <c r="AE188" s="96"/>
      <c r="AF188" s="105"/>
      <c r="AG188" s="96"/>
      <c r="AH188" s="75"/>
      <c r="AI188" s="75"/>
      <c r="AJ188" s="106"/>
      <c r="AK188" s="415"/>
      <c r="AL188" s="75"/>
      <c r="AM188" s="75"/>
      <c r="AN188" s="107"/>
      <c r="AO188" s="75"/>
      <c r="AP188" s="75"/>
      <c r="AQ188" s="107"/>
      <c r="AR188" s="75"/>
      <c r="AS188" s="75"/>
      <c r="AT188" s="75"/>
    </row>
    <row r="189" spans="1:46" ht="16.3">
      <c r="A189" s="246" t="s">
        <v>2</v>
      </c>
      <c r="B189" s="509">
        <f>SUM(J189+K189+L189+M189+N189+S189+V189+W189+X189+AA189+AI189+AJ189+AI189+AM189+AP189+AQ189+AS189+AT189+AU189+AV189)</f>
        <v>6</v>
      </c>
      <c r="C189" s="215">
        <f>SUM(J189+K189+L189+M189+N189+S189+W189+X189+V189+AA189+AJ189+AI189+AJ189+AN189+AQ189+AM189+AT189+AU189+AV189+AW189+AP189+AS189)+21</f>
        <v>27</v>
      </c>
      <c r="D189" s="596">
        <f>SUM(T189+U189+Y189+Z189+AK189+AL189+AO189+AR189)</f>
        <v>1</v>
      </c>
      <c r="E189" s="604">
        <f>SUM(U189+T189+Z189+Y189+AL189+AK189+AO189+AR189)+4</f>
        <v>5</v>
      </c>
      <c r="F189" s="626">
        <v>0</v>
      </c>
      <c r="G189" s="627">
        <v>0</v>
      </c>
      <c r="H189" s="96"/>
      <c r="I189" s="96"/>
      <c r="J189" s="104">
        <v>1</v>
      </c>
      <c r="K189" s="75"/>
      <c r="L189" s="75">
        <v>1</v>
      </c>
      <c r="M189" s="75"/>
      <c r="N189" s="75">
        <v>1</v>
      </c>
      <c r="O189" s="96"/>
      <c r="P189" s="105"/>
      <c r="Q189" s="105"/>
      <c r="R189" s="96"/>
      <c r="S189" s="104"/>
      <c r="T189" s="110"/>
      <c r="U189" s="110"/>
      <c r="V189" s="100">
        <v>1</v>
      </c>
      <c r="W189" s="100">
        <v>1</v>
      </c>
      <c r="X189" s="100">
        <v>1</v>
      </c>
      <c r="Y189" s="110">
        <v>1</v>
      </c>
      <c r="Z189" s="110"/>
      <c r="AA189" s="100"/>
      <c r="AB189" s="109">
        <v>1</v>
      </c>
      <c r="AC189" s="109"/>
      <c r="AD189" s="109"/>
      <c r="AE189" s="109">
        <v>1</v>
      </c>
      <c r="AF189" s="108"/>
      <c r="AG189" s="109">
        <v>1</v>
      </c>
      <c r="AH189" s="100"/>
      <c r="AI189" s="100"/>
      <c r="AJ189" s="110"/>
      <c r="AK189" s="416"/>
      <c r="AL189" s="100"/>
      <c r="AM189" s="100"/>
      <c r="AN189" s="111"/>
      <c r="AO189" s="100"/>
      <c r="AP189" s="100"/>
      <c r="AQ189" s="111"/>
      <c r="AR189" s="100"/>
      <c r="AS189" s="100"/>
      <c r="AT189" s="100"/>
    </row>
    <row r="190" spans="1:46" ht="16.3">
      <c r="A190" s="83" t="s">
        <v>363</v>
      </c>
      <c r="B190" s="508">
        <f>SUM(B188+B189)</f>
        <v>6</v>
      </c>
      <c r="C190" s="214">
        <f>SUM(C188+C189)</f>
        <v>30</v>
      </c>
      <c r="D190" s="595">
        <f>SUM(D188+D189)</f>
        <v>3</v>
      </c>
      <c r="E190" s="602">
        <f>SUM(E188+E189)</f>
        <v>9</v>
      </c>
      <c r="F190" s="617">
        <v>0</v>
      </c>
      <c r="G190" s="621">
        <v>0</v>
      </c>
      <c r="H190" s="96"/>
      <c r="I190" s="96"/>
      <c r="J190" s="104"/>
      <c r="K190" s="75"/>
      <c r="L190" s="75"/>
      <c r="M190" s="75"/>
      <c r="N190" s="75"/>
      <c r="O190" s="96"/>
      <c r="P190" s="105"/>
      <c r="Q190" s="105"/>
      <c r="R190" s="96"/>
      <c r="S190" s="104"/>
      <c r="T190" s="110"/>
      <c r="U190" s="110"/>
      <c r="V190" s="100"/>
      <c r="W190" s="100"/>
      <c r="X190" s="100"/>
      <c r="Y190" s="110"/>
      <c r="Z190" s="110"/>
      <c r="AA190" s="100"/>
      <c r="AB190" s="109"/>
      <c r="AC190" s="109"/>
      <c r="AD190" s="109"/>
      <c r="AE190" s="109"/>
      <c r="AF190" s="108"/>
      <c r="AG190" s="109"/>
      <c r="AH190" s="100"/>
      <c r="AI190" s="100"/>
      <c r="AJ190" s="110"/>
      <c r="AK190" s="416"/>
      <c r="AL190" s="100"/>
      <c r="AM190" s="100"/>
      <c r="AN190" s="111"/>
      <c r="AO190" s="100"/>
      <c r="AP190" s="100"/>
      <c r="AQ190" s="111"/>
      <c r="AR190" s="100"/>
      <c r="AS190" s="100"/>
      <c r="AT190" s="100"/>
    </row>
    <row r="191" spans="1:46" ht="16.3">
      <c r="A191" s="246" t="s">
        <v>362</v>
      </c>
      <c r="B191" s="509">
        <f>SUM(J191+K191+L191+M191+N191+S191+V191+W191+X191+AA191+AI191+AJ191+AI191+AM191+AP191+AQ191+AS191+AT191+AU191+AV191)</f>
        <v>0</v>
      </c>
      <c r="C191" s="215">
        <f>SUM(J191+K191+L191+M191+N191+S191+W191+X191+V191+AA191+AJ191+AI191+AJ191+AN191+AQ191+AM191+AT191+AU191+AV191+AW191+AP191+AS191)</f>
        <v>0</v>
      </c>
      <c r="D191" s="596">
        <f>SUM(T191+U191+Y191+Z191+AK191+AL191+AO191+AR191)</f>
        <v>0</v>
      </c>
      <c r="E191" s="604">
        <f>SUM(U191+V191+Z191+AA191+AL191+AM191+AP191+AS191)+1</f>
        <v>1</v>
      </c>
      <c r="F191" s="626">
        <v>0</v>
      </c>
      <c r="G191" s="627">
        <v>0</v>
      </c>
      <c r="H191" s="96"/>
      <c r="I191" s="96"/>
      <c r="J191" s="104"/>
      <c r="K191" s="75"/>
      <c r="L191" s="75"/>
      <c r="M191" s="75"/>
      <c r="N191" s="75"/>
      <c r="O191" s="96"/>
      <c r="P191" s="105"/>
      <c r="Q191" s="105"/>
      <c r="R191" s="96"/>
      <c r="S191" s="104"/>
      <c r="T191" s="110"/>
      <c r="U191" s="110"/>
      <c r="V191" s="100"/>
      <c r="W191" s="100"/>
      <c r="X191" s="100"/>
      <c r="Y191" s="110"/>
      <c r="Z191" s="110"/>
      <c r="AA191" s="100"/>
      <c r="AB191" s="109"/>
      <c r="AC191" s="109"/>
      <c r="AD191" s="109"/>
      <c r="AE191" s="109"/>
      <c r="AF191" s="108"/>
      <c r="AG191" s="109"/>
      <c r="AH191" s="100"/>
      <c r="AI191" s="100"/>
      <c r="AJ191" s="110"/>
      <c r="AK191" s="416"/>
      <c r="AL191" s="100"/>
      <c r="AM191" s="100"/>
      <c r="AN191" s="111"/>
      <c r="AO191" s="100"/>
      <c r="AP191" s="100"/>
      <c r="AQ191" s="111"/>
      <c r="AR191" s="100"/>
      <c r="AS191" s="100"/>
      <c r="AT191" s="100"/>
    </row>
    <row r="192" spans="1:46" ht="16.3">
      <c r="A192" s="83" t="s">
        <v>3</v>
      </c>
      <c r="B192" s="508">
        <f>SUM(J192+K192+L192+M192+N192+S192+V192+W192+X192+AA192+AI192+AJ192+AI192+AM192+AP192+AQ192+AS192+AT192+AU192+AV192)</f>
        <v>0</v>
      </c>
      <c r="C192" s="214">
        <f>SUM(J192+K192+L192+M192+N192+S192+W192+X192+V192+AA192+AJ192+AI192+AJ192+AN192+AQ192+AM192+AT192+AU192+AV192+AW192+AP192+AS192)+4</f>
        <v>4</v>
      </c>
      <c r="D192" s="595">
        <f t="shared" ref="D192:D193" si="85">SUM(T192+U192+Y192+Z192+AK192+AL192+AO192+AR192)</f>
        <v>0</v>
      </c>
      <c r="E192" s="602">
        <f>SUM(U192+V192+Z192+AA192+AL192+AM192+AP192+AS192)</f>
        <v>0</v>
      </c>
      <c r="F192" s="617">
        <v>0</v>
      </c>
      <c r="G192" s="621">
        <v>0</v>
      </c>
      <c r="H192" s="96"/>
      <c r="I192" s="96"/>
      <c r="J192" s="104"/>
      <c r="K192" s="75"/>
      <c r="L192" s="75"/>
      <c r="M192" s="75"/>
      <c r="N192" s="75"/>
      <c r="O192" s="96"/>
      <c r="P192" s="105"/>
      <c r="Q192" s="105"/>
      <c r="R192" s="96"/>
      <c r="S192" s="104"/>
      <c r="T192" s="110"/>
      <c r="U192" s="110"/>
      <c r="V192" s="100"/>
      <c r="W192" s="100"/>
      <c r="X192" s="100"/>
      <c r="Y192" s="110"/>
      <c r="Z192" s="110"/>
      <c r="AA192" s="100"/>
      <c r="AB192" s="109"/>
      <c r="AC192" s="109"/>
      <c r="AD192" s="109"/>
      <c r="AE192" s="109"/>
      <c r="AF192" s="108"/>
      <c r="AG192" s="109"/>
      <c r="AH192" s="100"/>
      <c r="AI192" s="100"/>
      <c r="AJ192" s="110"/>
      <c r="AK192" s="416"/>
      <c r="AL192" s="100"/>
      <c r="AM192" s="100"/>
      <c r="AN192" s="111"/>
      <c r="AO192" s="100"/>
      <c r="AP192" s="100"/>
      <c r="AQ192" s="111"/>
      <c r="AR192" s="100"/>
      <c r="AS192" s="100"/>
      <c r="AT192" s="100"/>
    </row>
    <row r="193" spans="1:46" ht="17" thickBot="1">
      <c r="A193" s="85" t="s">
        <v>4</v>
      </c>
      <c r="B193" s="510">
        <f>SUM(J193+K193+L193+M193+N193+S193+V193+W193+X193+AA193+AI193+AJ193+AI193+AM193+AP193+AQ193+AS193+AT193+AU193+AV193+AN193)</f>
        <v>0</v>
      </c>
      <c r="C193" s="217">
        <f>SUM(J193+K193+L193+M193+N193+S193+W193+X193+V193+AA193+AJ193+AI193+AJ193+AN193+AQ193+AM193+AT193+AU193+AV193+AW193+AP193+AS193)+20</f>
        <v>20</v>
      </c>
      <c r="D193" s="597">
        <f t="shared" si="85"/>
        <v>0</v>
      </c>
      <c r="E193" s="603">
        <f>SUM(U193+V193+Z193+AA193+AL193+AM193+AP193+AS193)</f>
        <v>0</v>
      </c>
      <c r="F193" s="618">
        <v>0</v>
      </c>
      <c r="G193" s="622">
        <v>0</v>
      </c>
      <c r="H193" s="114"/>
      <c r="I193" s="114"/>
      <c r="J193" s="113"/>
      <c r="K193" s="112"/>
      <c r="L193" s="112"/>
      <c r="M193" s="112"/>
      <c r="N193" s="112"/>
      <c r="O193" s="114"/>
      <c r="P193" s="127"/>
      <c r="Q193" s="127"/>
      <c r="R193" s="114"/>
      <c r="S193" s="113"/>
      <c r="T193" s="120"/>
      <c r="U193" s="119"/>
      <c r="V193" s="100"/>
      <c r="W193" s="100"/>
      <c r="X193" s="100"/>
      <c r="Y193" s="110"/>
      <c r="Z193" s="110"/>
      <c r="AA193" s="100"/>
      <c r="AB193" s="109"/>
      <c r="AC193" s="109"/>
      <c r="AD193" s="109"/>
      <c r="AE193" s="109"/>
      <c r="AF193" s="108"/>
      <c r="AG193" s="109"/>
      <c r="AH193" s="100"/>
      <c r="AI193" s="100"/>
      <c r="AJ193" s="110"/>
      <c r="AK193" s="416"/>
      <c r="AL193" s="100"/>
      <c r="AM193" s="100"/>
      <c r="AN193" s="111"/>
      <c r="AO193" s="100"/>
      <c r="AP193" s="100"/>
      <c r="AQ193" s="111"/>
      <c r="AR193" s="100"/>
      <c r="AS193" s="100"/>
      <c r="AT193" s="100"/>
    </row>
    <row r="194" spans="1:46" ht="21.1">
      <c r="A194" s="82" t="s">
        <v>265</v>
      </c>
      <c r="B194" s="508"/>
      <c r="C194" s="214"/>
      <c r="D194" s="595"/>
      <c r="E194" s="602"/>
      <c r="F194" s="617"/>
      <c r="G194" s="621"/>
      <c r="H194" s="96" t="s">
        <v>369</v>
      </c>
      <c r="I194" s="96"/>
      <c r="J194" s="104"/>
      <c r="K194" s="75" t="s">
        <v>375</v>
      </c>
      <c r="L194" s="75"/>
      <c r="M194" s="75"/>
      <c r="N194" s="75"/>
      <c r="O194" s="96"/>
      <c r="P194" s="105"/>
      <c r="Q194" s="105"/>
      <c r="R194" s="96" t="s">
        <v>375</v>
      </c>
      <c r="S194" s="104" t="s">
        <v>375</v>
      </c>
      <c r="T194" s="110" t="s">
        <v>375</v>
      </c>
      <c r="U194" s="110" t="s">
        <v>375</v>
      </c>
      <c r="V194" s="102"/>
      <c r="W194" s="102"/>
      <c r="X194" s="102"/>
      <c r="Y194" s="101"/>
      <c r="Z194" s="101" t="s">
        <v>375</v>
      </c>
      <c r="AA194" s="102" t="s">
        <v>375</v>
      </c>
      <c r="AB194" s="99" t="s">
        <v>369</v>
      </c>
      <c r="AC194" s="99"/>
      <c r="AD194" s="99" t="s">
        <v>375</v>
      </c>
      <c r="AE194" s="99" t="s">
        <v>369</v>
      </c>
      <c r="AF194" s="98"/>
      <c r="AG194" s="99" t="s">
        <v>369</v>
      </c>
      <c r="AH194" s="102"/>
      <c r="AI194" s="102"/>
      <c r="AJ194" s="101"/>
      <c r="AK194" s="414"/>
      <c r="AL194" s="102"/>
      <c r="AM194" s="102"/>
      <c r="AN194" s="103"/>
      <c r="AO194" s="102"/>
      <c r="AP194" s="102"/>
      <c r="AQ194" s="103"/>
      <c r="AR194" s="102"/>
      <c r="AS194" s="102"/>
      <c r="AT194" s="102"/>
    </row>
    <row r="195" spans="1:46" ht="16.3">
      <c r="A195" s="246" t="s">
        <v>1</v>
      </c>
      <c r="B195" s="509">
        <f>SUM(J195+K195+L195+M195+N195+S195+V195+W195+X195+AA195+AI195+AJ195+AI195+AM195+AP195+AQ195+AS195+AT195+AU195+AV195+AN195)</f>
        <v>0</v>
      </c>
      <c r="C195" s="215">
        <f>B195</f>
        <v>0</v>
      </c>
      <c r="D195" s="596">
        <f>SUM(T195+U195+Y195+Z195+AK195+AL195+AO195+AR195)</f>
        <v>0</v>
      </c>
      <c r="E195" s="604">
        <f>D195</f>
        <v>0</v>
      </c>
      <c r="F195" s="626">
        <v>0</v>
      </c>
      <c r="G195" s="627">
        <v>0</v>
      </c>
      <c r="H195" s="96">
        <v>1</v>
      </c>
      <c r="I195" s="96"/>
      <c r="J195" s="104"/>
      <c r="K195" s="75"/>
      <c r="L195" s="75"/>
      <c r="M195" s="75"/>
      <c r="N195" s="75"/>
      <c r="O195" s="96"/>
      <c r="P195" s="105"/>
      <c r="Q195" s="105"/>
      <c r="R195" s="96"/>
      <c r="S195" s="104"/>
      <c r="T195" s="110"/>
      <c r="U195" s="110"/>
      <c r="V195" s="100"/>
      <c r="W195" s="100"/>
      <c r="X195" s="100"/>
      <c r="Y195" s="110"/>
      <c r="Z195" s="110"/>
      <c r="AA195" s="100"/>
      <c r="AB195" s="109">
        <v>1</v>
      </c>
      <c r="AC195" s="109"/>
      <c r="AD195" s="109"/>
      <c r="AE195" s="109">
        <v>1</v>
      </c>
      <c r="AF195" s="108"/>
      <c r="AG195" s="109">
        <v>1</v>
      </c>
      <c r="AH195" s="100"/>
      <c r="AI195" s="100"/>
      <c r="AJ195" s="110"/>
      <c r="AK195" s="416"/>
      <c r="AL195" s="100"/>
      <c r="AM195" s="100"/>
      <c r="AN195" s="111"/>
      <c r="AO195" s="100"/>
      <c r="AP195" s="100"/>
      <c r="AQ195" s="111"/>
      <c r="AR195" s="100"/>
      <c r="AS195" s="100"/>
      <c r="AT195" s="100"/>
    </row>
    <row r="196" spans="1:46" ht="16.3">
      <c r="A196" s="246" t="s">
        <v>2</v>
      </c>
      <c r="B196" s="509">
        <f>SUM(J196+K196+L196+M196+N196+S196+V196+W196+X196+AA196+AI196+AJ196+AI196+AM196+AP196+AQ196+AS196+AT196+AU196+AV196)</f>
        <v>3</v>
      </c>
      <c r="C196" s="215">
        <f t="shared" ref="C196:C199" si="86">B196</f>
        <v>3</v>
      </c>
      <c r="D196" s="596">
        <f>SUM(T196+U196+Y196+Z196+AK196+AL196+AO196+AR196)+1</f>
        <v>4</v>
      </c>
      <c r="E196" s="604">
        <f t="shared" ref="E196:E200" si="87">D196</f>
        <v>4</v>
      </c>
      <c r="F196" s="626">
        <v>0</v>
      </c>
      <c r="G196" s="627">
        <v>0</v>
      </c>
      <c r="H196" s="96"/>
      <c r="I196" s="96"/>
      <c r="J196" s="104"/>
      <c r="K196" s="75">
        <v>1</v>
      </c>
      <c r="L196" s="75"/>
      <c r="M196" s="75"/>
      <c r="N196" s="75"/>
      <c r="O196" s="96"/>
      <c r="P196" s="105"/>
      <c r="Q196" s="105"/>
      <c r="R196" s="96">
        <v>1</v>
      </c>
      <c r="S196" s="104">
        <v>1</v>
      </c>
      <c r="T196" s="110">
        <v>1</v>
      </c>
      <c r="U196" s="110">
        <v>1</v>
      </c>
      <c r="V196" s="100"/>
      <c r="W196" s="100"/>
      <c r="X196" s="100"/>
      <c r="Y196" s="110"/>
      <c r="Z196" s="110">
        <v>1</v>
      </c>
      <c r="AA196" s="100">
        <v>1</v>
      </c>
      <c r="AB196" s="109"/>
      <c r="AC196" s="109"/>
      <c r="AD196" s="109">
        <v>1</v>
      </c>
      <c r="AE196" s="109"/>
      <c r="AF196" s="108"/>
      <c r="AG196" s="109"/>
      <c r="AH196" s="100"/>
      <c r="AI196" s="100"/>
      <c r="AJ196" s="110"/>
      <c r="AK196" s="416"/>
      <c r="AL196" s="100"/>
      <c r="AM196" s="100"/>
      <c r="AN196" s="111"/>
      <c r="AO196" s="100"/>
      <c r="AP196" s="100"/>
      <c r="AQ196" s="111"/>
      <c r="AR196" s="100"/>
      <c r="AS196" s="100"/>
      <c r="AT196" s="100"/>
    </row>
    <row r="197" spans="1:46" ht="16.3">
      <c r="A197" s="83" t="s">
        <v>363</v>
      </c>
      <c r="B197" s="508">
        <f>SUM(B195+B196)</f>
        <v>3</v>
      </c>
      <c r="C197" s="214">
        <f t="shared" si="86"/>
        <v>3</v>
      </c>
      <c r="D197" s="595">
        <f>SUM(D195+D196)</f>
        <v>4</v>
      </c>
      <c r="E197" s="602">
        <f t="shared" si="87"/>
        <v>4</v>
      </c>
      <c r="F197" s="617">
        <v>0</v>
      </c>
      <c r="G197" s="621">
        <v>0</v>
      </c>
      <c r="H197" s="96"/>
      <c r="I197" s="96"/>
      <c r="J197" s="104"/>
      <c r="K197" s="75"/>
      <c r="L197" s="75"/>
      <c r="M197" s="75"/>
      <c r="N197" s="75"/>
      <c r="O197" s="96"/>
      <c r="P197" s="105"/>
      <c r="Q197" s="105"/>
      <c r="R197" s="96"/>
      <c r="S197" s="104"/>
      <c r="T197" s="110"/>
      <c r="U197" s="110"/>
      <c r="V197" s="100"/>
      <c r="W197" s="100"/>
      <c r="X197" s="100"/>
      <c r="Y197" s="110"/>
      <c r="Z197" s="110"/>
      <c r="AA197" s="100"/>
      <c r="AB197" s="109"/>
      <c r="AC197" s="109"/>
      <c r="AD197" s="109"/>
      <c r="AE197" s="109"/>
      <c r="AF197" s="108"/>
      <c r="AG197" s="109"/>
      <c r="AH197" s="100"/>
      <c r="AI197" s="100"/>
      <c r="AJ197" s="110"/>
      <c r="AK197" s="416"/>
      <c r="AL197" s="100"/>
      <c r="AM197" s="100"/>
      <c r="AN197" s="111"/>
      <c r="AO197" s="100"/>
      <c r="AP197" s="100"/>
      <c r="AQ197" s="111"/>
      <c r="AR197" s="100"/>
      <c r="AS197" s="100"/>
      <c r="AT197" s="100"/>
    </row>
    <row r="198" spans="1:46" ht="16.3">
      <c r="A198" s="246" t="s">
        <v>362</v>
      </c>
      <c r="B198" s="509">
        <f>SUM(J198+K198+L198+M198+N198+S198+V198+W198+X198+AA198+AI198+AJ198+AI198+AM198+AP198+AQ198+AS198+AT198+AU198+AV198)</f>
        <v>0</v>
      </c>
      <c r="C198" s="215">
        <f t="shared" si="86"/>
        <v>0</v>
      </c>
      <c r="D198" s="596">
        <f t="shared" ref="D198:D199" si="88">SUM(T198+U198+Y198+Z198+AK198+AL198+AO198+AR198)</f>
        <v>0</v>
      </c>
      <c r="E198" s="604">
        <f t="shared" si="87"/>
        <v>0</v>
      </c>
      <c r="F198" s="626">
        <v>0</v>
      </c>
      <c r="G198" s="627">
        <v>0</v>
      </c>
      <c r="H198" s="96"/>
      <c r="I198" s="96"/>
      <c r="J198" s="104"/>
      <c r="K198" s="75"/>
      <c r="L198" s="75"/>
      <c r="M198" s="75"/>
      <c r="N198" s="75"/>
      <c r="O198" s="96"/>
      <c r="P198" s="105"/>
      <c r="Q198" s="105"/>
      <c r="R198" s="96"/>
      <c r="S198" s="104"/>
      <c r="T198" s="110"/>
      <c r="U198" s="110"/>
      <c r="V198" s="100"/>
      <c r="W198" s="100"/>
      <c r="X198" s="100"/>
      <c r="Y198" s="110"/>
      <c r="Z198" s="110"/>
      <c r="AA198" s="100"/>
      <c r="AB198" s="109"/>
      <c r="AC198" s="109"/>
      <c r="AD198" s="109"/>
      <c r="AE198" s="109"/>
      <c r="AF198" s="108"/>
      <c r="AG198" s="109"/>
      <c r="AH198" s="100"/>
      <c r="AI198" s="100"/>
      <c r="AJ198" s="110"/>
      <c r="AK198" s="416"/>
      <c r="AL198" s="100"/>
      <c r="AM198" s="100"/>
      <c r="AN198" s="111"/>
      <c r="AO198" s="100"/>
      <c r="AP198" s="100"/>
      <c r="AQ198" s="111"/>
      <c r="AR198" s="100"/>
      <c r="AS198" s="100"/>
      <c r="AT198" s="100"/>
    </row>
    <row r="199" spans="1:46" ht="16.3">
      <c r="A199" s="83" t="s">
        <v>3</v>
      </c>
      <c r="B199" s="508">
        <f>SUM(J199+K199+L199+M199+N199+S199+V199+W199+X199+AA199+AI199+AJ199+AI199+AM199+AP199+AQ199+AS199+AT199+AU199+AV199)</f>
        <v>0</v>
      </c>
      <c r="C199" s="214">
        <f t="shared" si="86"/>
        <v>0</v>
      </c>
      <c r="D199" s="595">
        <f t="shared" si="88"/>
        <v>0</v>
      </c>
      <c r="E199" s="602">
        <f t="shared" si="87"/>
        <v>0</v>
      </c>
      <c r="F199" s="617">
        <v>0</v>
      </c>
      <c r="G199" s="621">
        <v>0</v>
      </c>
      <c r="H199" s="96"/>
      <c r="I199" s="96"/>
      <c r="J199" s="104"/>
      <c r="K199" s="75"/>
      <c r="L199" s="75"/>
      <c r="M199" s="75"/>
      <c r="N199" s="75"/>
      <c r="O199" s="96"/>
      <c r="P199" s="105"/>
      <c r="Q199" s="105"/>
      <c r="R199" s="96"/>
      <c r="S199" s="104"/>
      <c r="T199" s="110"/>
      <c r="U199" s="110"/>
      <c r="V199" s="100"/>
      <c r="W199" s="100"/>
      <c r="X199" s="100"/>
      <c r="Y199" s="110"/>
      <c r="Z199" s="110"/>
      <c r="AA199" s="100"/>
      <c r="AB199" s="109"/>
      <c r="AC199" s="109"/>
      <c r="AD199" s="109"/>
      <c r="AE199" s="109"/>
      <c r="AF199" s="108"/>
      <c r="AG199" s="109"/>
      <c r="AH199" s="100"/>
      <c r="AI199" s="100"/>
      <c r="AJ199" s="110"/>
      <c r="AK199" s="416"/>
      <c r="AL199" s="100"/>
      <c r="AM199" s="100"/>
      <c r="AN199" s="111"/>
      <c r="AO199" s="100"/>
      <c r="AP199" s="100"/>
      <c r="AQ199" s="111"/>
      <c r="AR199" s="100"/>
      <c r="AS199" s="100"/>
      <c r="AT199" s="100"/>
    </row>
    <row r="200" spans="1:46" ht="17" thickBot="1">
      <c r="A200" s="85" t="s">
        <v>4</v>
      </c>
      <c r="B200" s="510">
        <f>SUM(J200+K200+L200+M200+N200+S200+V200+W200+X200+AA200+AI200+AJ200+AI200+AM200+AP200+AQ200+AS200+AT200+AU200+AV200)</f>
        <v>0</v>
      </c>
      <c r="C200" s="217">
        <f t="shared" ref="C200" si="89">B200</f>
        <v>0</v>
      </c>
      <c r="D200" s="597">
        <f t="shared" ref="D200" si="90">SUM(T200+U200+Y200+Z200+AK200+AL200+AO200+AR200)</f>
        <v>0</v>
      </c>
      <c r="E200" s="603">
        <f t="shared" si="87"/>
        <v>0</v>
      </c>
      <c r="F200" s="618">
        <v>0</v>
      </c>
      <c r="G200" s="622">
        <v>0</v>
      </c>
      <c r="H200" s="114"/>
      <c r="I200" s="114"/>
      <c r="J200" s="113"/>
      <c r="K200" s="112"/>
      <c r="L200" s="112"/>
      <c r="M200" s="112"/>
      <c r="N200" s="112"/>
      <c r="O200" s="114"/>
      <c r="P200" s="127"/>
      <c r="Q200" s="127"/>
      <c r="R200" s="114"/>
      <c r="S200" s="113"/>
      <c r="T200" s="120"/>
      <c r="U200" s="119"/>
      <c r="V200" s="116"/>
      <c r="W200" s="116"/>
      <c r="X200" s="116"/>
      <c r="Y200" s="120"/>
      <c r="Z200" s="120"/>
      <c r="AA200" s="116"/>
      <c r="AB200" s="118"/>
      <c r="AC200" s="118"/>
      <c r="AD200" s="118"/>
      <c r="AE200" s="118"/>
      <c r="AF200" s="117"/>
      <c r="AG200" s="118"/>
      <c r="AH200" s="116"/>
      <c r="AI200" s="116"/>
      <c r="AJ200" s="120"/>
      <c r="AK200" s="417"/>
      <c r="AL200" s="116"/>
      <c r="AM200" s="116"/>
      <c r="AN200" s="121"/>
      <c r="AO200" s="116"/>
      <c r="AP200" s="116"/>
      <c r="AQ200" s="121"/>
      <c r="AR200" s="116"/>
      <c r="AS200" s="116"/>
      <c r="AT200" s="116"/>
    </row>
    <row r="201" spans="1:46" ht="21.1">
      <c r="A201" s="82" t="s">
        <v>455</v>
      </c>
      <c r="B201" s="508"/>
      <c r="C201" s="214"/>
      <c r="D201" s="595"/>
      <c r="E201" s="602"/>
      <c r="F201" s="617"/>
      <c r="G201" s="621"/>
      <c r="H201" s="96"/>
      <c r="I201" s="96"/>
      <c r="J201" s="104"/>
      <c r="K201" s="75"/>
      <c r="L201" s="75"/>
      <c r="M201" s="75"/>
      <c r="N201" s="75"/>
      <c r="O201" s="96"/>
      <c r="P201" s="105"/>
      <c r="Q201" s="105"/>
      <c r="R201" s="96"/>
      <c r="S201" s="104"/>
      <c r="T201" s="110"/>
      <c r="U201" s="110"/>
      <c r="V201" s="100"/>
      <c r="W201" s="100"/>
      <c r="X201" s="100"/>
      <c r="Y201" s="110"/>
      <c r="Z201" s="110"/>
      <c r="AA201" s="100"/>
      <c r="AB201" s="109"/>
      <c r="AC201" s="109"/>
      <c r="AD201" s="109"/>
      <c r="AE201" s="109"/>
      <c r="AF201" s="108"/>
      <c r="AG201" s="109"/>
      <c r="AH201" s="100"/>
      <c r="AI201" s="100"/>
      <c r="AJ201" s="110"/>
      <c r="AK201" s="416"/>
      <c r="AL201" s="100"/>
      <c r="AM201" s="100"/>
      <c r="AN201" s="111"/>
      <c r="AO201" s="100"/>
      <c r="AP201" s="100"/>
      <c r="AQ201" s="111"/>
      <c r="AR201" s="100"/>
      <c r="AS201" s="100"/>
      <c r="AT201" s="100"/>
    </row>
    <row r="202" spans="1:46" ht="16.3">
      <c r="A202" s="246" t="s">
        <v>1</v>
      </c>
      <c r="B202" s="509">
        <f>SUM(J202+K202+L202+M202+N202+S202+V202+W202+X202+AA202+AI202+AJ202+AI202+AM202+AP202+AQ202+AS202+AT202+AU202+AV202+AN202)</f>
        <v>0</v>
      </c>
      <c r="C202" s="215">
        <f>B202</f>
        <v>0</v>
      </c>
      <c r="D202" s="596">
        <f>SUM(T202+U202+Y202+Z202+AK202+AL202+AO202+AR202)</f>
        <v>0</v>
      </c>
      <c r="E202" s="604">
        <f>D202</f>
        <v>0</v>
      </c>
      <c r="F202" s="626">
        <v>0</v>
      </c>
      <c r="G202" s="627">
        <v>0</v>
      </c>
      <c r="H202" s="96"/>
      <c r="I202" s="96"/>
      <c r="J202" s="104"/>
      <c r="K202" s="75"/>
      <c r="L202" s="75"/>
      <c r="M202" s="75"/>
      <c r="N202" s="75"/>
      <c r="O202" s="96"/>
      <c r="P202" s="105"/>
      <c r="Q202" s="105"/>
      <c r="R202" s="96"/>
      <c r="S202" s="104"/>
      <c r="T202" s="110"/>
      <c r="U202" s="110"/>
      <c r="V202" s="100"/>
      <c r="W202" s="100"/>
      <c r="X202" s="100"/>
      <c r="Y202" s="110"/>
      <c r="Z202" s="110"/>
      <c r="AA202" s="100"/>
      <c r="AB202" s="109"/>
      <c r="AC202" s="109"/>
      <c r="AD202" s="109"/>
      <c r="AE202" s="109"/>
      <c r="AF202" s="108"/>
      <c r="AG202" s="109"/>
      <c r="AH202" s="100"/>
      <c r="AI202" s="100"/>
      <c r="AJ202" s="110"/>
      <c r="AK202" s="416"/>
      <c r="AL202" s="100"/>
      <c r="AM202" s="100"/>
      <c r="AN202" s="111"/>
      <c r="AO202" s="100"/>
      <c r="AP202" s="100"/>
      <c r="AQ202" s="111"/>
      <c r="AR202" s="100"/>
      <c r="AS202" s="100"/>
      <c r="AT202" s="100"/>
    </row>
    <row r="203" spans="1:46" ht="16.3">
      <c r="A203" s="246" t="s">
        <v>2</v>
      </c>
      <c r="B203" s="509">
        <f>SUM(J203+K203+L203+M203+N203+S203+V203+W203+X203+AA203+AI203+AJ203+AI203+AM203+AP203+AQ203+AS203+AT203+AU203+AV203)</f>
        <v>0</v>
      </c>
      <c r="C203" s="215">
        <f t="shared" ref="C203:C206" si="91">B203</f>
        <v>0</v>
      </c>
      <c r="D203" s="596">
        <f>SUM(T203+U203+Y203+Z203+AK203+AL203+AO203+AR203)</f>
        <v>0</v>
      </c>
      <c r="E203" s="604">
        <f t="shared" ref="E203:E206" si="92">D203</f>
        <v>0</v>
      </c>
      <c r="F203" s="626">
        <v>0</v>
      </c>
      <c r="G203" s="627">
        <v>0</v>
      </c>
      <c r="H203" s="96"/>
      <c r="I203" s="96"/>
      <c r="J203" s="104"/>
      <c r="K203" s="75"/>
      <c r="L203" s="75"/>
      <c r="M203" s="75"/>
      <c r="N203" s="75"/>
      <c r="O203" s="96"/>
      <c r="P203" s="105"/>
      <c r="Q203" s="105"/>
      <c r="R203" s="96"/>
      <c r="S203" s="104"/>
      <c r="T203" s="110"/>
      <c r="U203" s="110"/>
      <c r="V203" s="100"/>
      <c r="W203" s="100"/>
      <c r="X203" s="100"/>
      <c r="Y203" s="110"/>
      <c r="Z203" s="110"/>
      <c r="AA203" s="100"/>
      <c r="AB203" s="109"/>
      <c r="AC203" s="109"/>
      <c r="AD203" s="109"/>
      <c r="AE203" s="109"/>
      <c r="AF203" s="108"/>
      <c r="AG203" s="109"/>
      <c r="AH203" s="100"/>
      <c r="AI203" s="100"/>
      <c r="AJ203" s="110"/>
      <c r="AK203" s="416"/>
      <c r="AL203" s="100"/>
      <c r="AM203" s="100"/>
      <c r="AN203" s="111"/>
      <c r="AO203" s="100"/>
      <c r="AP203" s="100"/>
      <c r="AQ203" s="111"/>
      <c r="AR203" s="100"/>
      <c r="AS203" s="100"/>
      <c r="AT203" s="100"/>
    </row>
    <row r="204" spans="1:46" ht="16.3">
      <c r="A204" s="83" t="s">
        <v>363</v>
      </c>
      <c r="B204" s="508">
        <f>SUM(B202+B203)</f>
        <v>0</v>
      </c>
      <c r="C204" s="214">
        <f t="shared" si="91"/>
        <v>0</v>
      </c>
      <c r="D204" s="595">
        <f>SUM(D202+D203)</f>
        <v>0</v>
      </c>
      <c r="E204" s="602">
        <f t="shared" si="92"/>
        <v>0</v>
      </c>
      <c r="F204" s="617">
        <v>0</v>
      </c>
      <c r="G204" s="621">
        <v>0</v>
      </c>
      <c r="H204" s="96"/>
      <c r="I204" s="96"/>
      <c r="J204" s="104"/>
      <c r="K204" s="75"/>
      <c r="L204" s="75"/>
      <c r="M204" s="75"/>
      <c r="N204" s="75"/>
      <c r="O204" s="96"/>
      <c r="P204" s="105"/>
      <c r="Q204" s="105"/>
      <c r="R204" s="96"/>
      <c r="S204" s="104"/>
      <c r="T204" s="110"/>
      <c r="U204" s="110"/>
      <c r="V204" s="100"/>
      <c r="W204" s="100"/>
      <c r="X204" s="100"/>
      <c r="Y204" s="110"/>
      <c r="Z204" s="110"/>
      <c r="AA204" s="100"/>
      <c r="AB204" s="109"/>
      <c r="AC204" s="109"/>
      <c r="AD204" s="109"/>
      <c r="AE204" s="109"/>
      <c r="AF204" s="108"/>
      <c r="AG204" s="109"/>
      <c r="AH204" s="100"/>
      <c r="AI204" s="100"/>
      <c r="AJ204" s="110"/>
      <c r="AK204" s="416"/>
      <c r="AL204" s="100"/>
      <c r="AM204" s="100"/>
      <c r="AN204" s="111"/>
      <c r="AO204" s="100"/>
      <c r="AP204" s="100"/>
      <c r="AQ204" s="111"/>
      <c r="AR204" s="100"/>
      <c r="AS204" s="100"/>
      <c r="AT204" s="100"/>
    </row>
    <row r="205" spans="1:46" ht="16.3">
      <c r="A205" s="83" t="s">
        <v>3</v>
      </c>
      <c r="B205" s="508">
        <f>SUM(J205+K205+L205+M205+N205+S205+V205+W205+X205+AA205+AI205+AJ205+AI205+AM205+AP205+AQ205+AS205+AT205+AU205+AV205)</f>
        <v>0</v>
      </c>
      <c r="C205" s="214">
        <f t="shared" si="91"/>
        <v>0</v>
      </c>
      <c r="D205" s="595">
        <f t="shared" ref="D205:D206" si="93">SUM(T205+U205+Y205+Z205+AK205+AL205+AO205+AR205)</f>
        <v>0</v>
      </c>
      <c r="E205" s="602">
        <f t="shared" si="92"/>
        <v>0</v>
      </c>
      <c r="F205" s="617">
        <v>0</v>
      </c>
      <c r="G205" s="621">
        <v>0</v>
      </c>
      <c r="H205" s="96"/>
      <c r="I205" s="96"/>
      <c r="J205" s="104"/>
      <c r="K205" s="75"/>
      <c r="L205" s="75"/>
      <c r="M205" s="75"/>
      <c r="N205" s="75"/>
      <c r="O205" s="96"/>
      <c r="P205" s="105"/>
      <c r="Q205" s="105"/>
      <c r="R205" s="96"/>
      <c r="S205" s="104"/>
      <c r="T205" s="110"/>
      <c r="U205" s="110"/>
      <c r="V205" s="100"/>
      <c r="W205" s="100"/>
      <c r="X205" s="100"/>
      <c r="Y205" s="110"/>
      <c r="Z205" s="110"/>
      <c r="AA205" s="100"/>
      <c r="AB205" s="109"/>
      <c r="AC205" s="109"/>
      <c r="AD205" s="109"/>
      <c r="AE205" s="109"/>
      <c r="AF205" s="108"/>
      <c r="AG205" s="109"/>
      <c r="AH205" s="100"/>
      <c r="AI205" s="100"/>
      <c r="AJ205" s="110"/>
      <c r="AK205" s="416"/>
      <c r="AL205" s="100"/>
      <c r="AM205" s="100"/>
      <c r="AN205" s="111"/>
      <c r="AO205" s="100"/>
      <c r="AP205" s="100"/>
      <c r="AQ205" s="111"/>
      <c r="AR205" s="100"/>
      <c r="AS205" s="100"/>
      <c r="AT205" s="100"/>
    </row>
    <row r="206" spans="1:46" ht="17" thickBot="1">
      <c r="A206" s="85" t="s">
        <v>4</v>
      </c>
      <c r="B206" s="510">
        <f>SUM(J206+K206+L206+M206+N206+S206+V206+W206+X206+AA206+AI206+AJ206+AI206+AM206+AP206+AQ206+AS206+AT206+AU206+AV206)</f>
        <v>0</v>
      </c>
      <c r="C206" s="217">
        <f t="shared" si="91"/>
        <v>0</v>
      </c>
      <c r="D206" s="597">
        <f t="shared" si="93"/>
        <v>0</v>
      </c>
      <c r="E206" s="603">
        <f t="shared" si="92"/>
        <v>0</v>
      </c>
      <c r="F206" s="618">
        <v>0</v>
      </c>
      <c r="G206" s="622">
        <v>0</v>
      </c>
      <c r="H206" s="114"/>
      <c r="I206" s="114"/>
      <c r="J206" s="113"/>
      <c r="K206" s="112"/>
      <c r="L206" s="112"/>
      <c r="M206" s="112"/>
      <c r="N206" s="112"/>
      <c r="O206" s="114"/>
      <c r="P206" s="127"/>
      <c r="Q206" s="127"/>
      <c r="R206" s="114"/>
      <c r="S206" s="113"/>
      <c r="T206" s="120"/>
      <c r="U206" s="119"/>
      <c r="V206" s="100"/>
      <c r="W206" s="100"/>
      <c r="X206" s="100"/>
      <c r="Y206" s="110"/>
      <c r="Z206" s="110"/>
      <c r="AA206" s="100"/>
      <c r="AB206" s="109"/>
      <c r="AC206" s="109"/>
      <c r="AD206" s="109"/>
      <c r="AE206" s="109"/>
      <c r="AF206" s="108"/>
      <c r="AG206" s="109"/>
      <c r="AH206" s="100"/>
      <c r="AI206" s="100"/>
      <c r="AJ206" s="110"/>
      <c r="AK206" s="416"/>
      <c r="AL206" s="100"/>
      <c r="AM206" s="100"/>
      <c r="AN206" s="111"/>
      <c r="AO206" s="100"/>
      <c r="AP206" s="100"/>
      <c r="AQ206" s="111"/>
      <c r="AR206" s="100"/>
      <c r="AS206" s="100"/>
      <c r="AT206" s="100"/>
    </row>
    <row r="207" spans="1:46" ht="21.1">
      <c r="A207" s="82" t="s">
        <v>26</v>
      </c>
      <c r="B207" s="508"/>
      <c r="C207" s="214"/>
      <c r="D207" s="595"/>
      <c r="E207" s="602"/>
      <c r="F207" s="617"/>
      <c r="G207" s="621"/>
      <c r="H207" s="96" t="s">
        <v>370</v>
      </c>
      <c r="I207" s="96"/>
      <c r="J207" s="104" t="s">
        <v>375</v>
      </c>
      <c r="K207" s="75" t="s">
        <v>375</v>
      </c>
      <c r="L207" s="75" t="s">
        <v>370</v>
      </c>
      <c r="M207" s="75" t="s">
        <v>375</v>
      </c>
      <c r="N207" s="75" t="s">
        <v>375</v>
      </c>
      <c r="O207" s="96"/>
      <c r="P207" s="105"/>
      <c r="Q207" s="105"/>
      <c r="R207" s="96" t="s">
        <v>783</v>
      </c>
      <c r="S207" s="104"/>
      <c r="T207" s="110" t="s">
        <v>850</v>
      </c>
      <c r="U207" s="110" t="s">
        <v>375</v>
      </c>
      <c r="V207" s="102" t="s">
        <v>375</v>
      </c>
      <c r="W207" s="102" t="s">
        <v>375</v>
      </c>
      <c r="X207" s="102" t="s">
        <v>375</v>
      </c>
      <c r="Y207" s="101" t="s">
        <v>375</v>
      </c>
      <c r="Z207" s="101" t="s">
        <v>850</v>
      </c>
      <c r="AA207" s="102" t="s">
        <v>375</v>
      </c>
      <c r="AB207" s="99" t="s">
        <v>370</v>
      </c>
      <c r="AC207" s="99" t="s">
        <v>993</v>
      </c>
      <c r="AD207" s="99" t="s">
        <v>370</v>
      </c>
      <c r="AE207" s="99" t="s">
        <v>375</v>
      </c>
      <c r="AF207" s="98"/>
      <c r="AG207" s="99" t="s">
        <v>370</v>
      </c>
      <c r="AH207" s="102"/>
      <c r="AI207" s="102"/>
      <c r="AJ207" s="101"/>
      <c r="AK207" s="414"/>
      <c r="AL207" s="102"/>
      <c r="AM207" s="102"/>
      <c r="AN207" s="103"/>
      <c r="AO207" s="102"/>
      <c r="AP207" s="102"/>
      <c r="AQ207" s="103"/>
      <c r="AR207" s="102"/>
      <c r="AS207" s="102"/>
      <c r="AT207" s="102"/>
    </row>
    <row r="208" spans="1:46" ht="16.3">
      <c r="A208" s="246" t="s">
        <v>1</v>
      </c>
      <c r="B208" s="509">
        <f>SUM(J208+K208+L208+M208+N208+S208+V208+W208+X208+AA208+AI208+AJ208+AI208+AM208+AP208+AQ208+AS208+AT208+AU208+AV208+AN208)+4</f>
        <v>5</v>
      </c>
      <c r="C208" s="215">
        <f>B208</f>
        <v>5</v>
      </c>
      <c r="D208" s="596">
        <f>SUM(T208+U208+Y208+Z208+AK208+AL208+AO208+AR208)</f>
        <v>2</v>
      </c>
      <c r="E208" s="604">
        <f>D208</f>
        <v>2</v>
      </c>
      <c r="F208" s="626">
        <v>0</v>
      </c>
      <c r="G208" s="627">
        <v>0</v>
      </c>
      <c r="H208" s="96">
        <v>1</v>
      </c>
      <c r="I208" s="96"/>
      <c r="J208" s="104"/>
      <c r="K208" s="75"/>
      <c r="L208" s="75">
        <v>1</v>
      </c>
      <c r="M208" s="75"/>
      <c r="N208" s="75"/>
      <c r="O208" s="96"/>
      <c r="P208" s="105"/>
      <c r="Q208" s="105"/>
      <c r="R208" s="96"/>
      <c r="S208" s="104"/>
      <c r="T208" s="110">
        <v>1</v>
      </c>
      <c r="U208" s="110"/>
      <c r="V208" s="100"/>
      <c r="W208" s="100"/>
      <c r="X208" s="100"/>
      <c r="Y208" s="110"/>
      <c r="Z208" s="110">
        <v>1</v>
      </c>
      <c r="AA208" s="100"/>
      <c r="AB208" s="109">
        <v>1</v>
      </c>
      <c r="AC208" s="109"/>
      <c r="AD208" s="109">
        <v>1</v>
      </c>
      <c r="AE208" s="109"/>
      <c r="AF208" s="108"/>
      <c r="AG208" s="109">
        <v>1</v>
      </c>
      <c r="AH208" s="100"/>
      <c r="AI208" s="100"/>
      <c r="AJ208" s="110"/>
      <c r="AK208" s="416"/>
      <c r="AL208" s="100"/>
      <c r="AM208" s="100"/>
      <c r="AN208" s="111"/>
      <c r="AO208" s="100"/>
      <c r="AP208" s="100"/>
      <c r="AQ208" s="111"/>
      <c r="AR208" s="100"/>
      <c r="AS208" s="100"/>
      <c r="AT208" s="100"/>
    </row>
    <row r="209" spans="1:46" ht="16.3">
      <c r="A209" s="246" t="s">
        <v>2</v>
      </c>
      <c r="B209" s="509">
        <f>SUM(J209+K209+L209+M209+N209+S209+V209+W209+X209+AA209+AI209+AJ209+AI209+AM209+AP209+AQ209+AS209+AT209+AU209+AV209)+22</f>
        <v>30</v>
      </c>
      <c r="C209" s="215">
        <f t="shared" ref="C209:C213" si="94">B209</f>
        <v>30</v>
      </c>
      <c r="D209" s="596">
        <f>SUM(T209+U209+Y209+Z209+AK209+AL209+AO209+AR209)+10</f>
        <v>12</v>
      </c>
      <c r="E209" s="604">
        <f t="shared" ref="E209:E213" si="95">D209</f>
        <v>12</v>
      </c>
      <c r="F209" s="626">
        <v>1</v>
      </c>
      <c r="G209" s="627">
        <v>1</v>
      </c>
      <c r="H209" s="96"/>
      <c r="I209" s="96"/>
      <c r="J209" s="104">
        <v>1</v>
      </c>
      <c r="K209" s="75">
        <v>1</v>
      </c>
      <c r="L209" s="75"/>
      <c r="M209" s="75">
        <v>1</v>
      </c>
      <c r="N209" s="75">
        <v>1</v>
      </c>
      <c r="O209" s="96"/>
      <c r="P209" s="105"/>
      <c r="Q209" s="105"/>
      <c r="R209" s="96"/>
      <c r="S209" s="104"/>
      <c r="T209" s="110"/>
      <c r="U209" s="110">
        <v>1</v>
      </c>
      <c r="V209" s="100">
        <v>1</v>
      </c>
      <c r="W209" s="100">
        <v>1</v>
      </c>
      <c r="X209" s="100">
        <v>1</v>
      </c>
      <c r="Y209" s="110">
        <v>1</v>
      </c>
      <c r="Z209" s="110"/>
      <c r="AA209" s="100">
        <v>1</v>
      </c>
      <c r="AB209" s="109"/>
      <c r="AC209" s="109"/>
      <c r="AD209" s="109"/>
      <c r="AE209" s="109">
        <v>1</v>
      </c>
      <c r="AF209" s="108"/>
      <c r="AG209" s="109"/>
      <c r="AH209" s="100"/>
      <c r="AI209" s="100"/>
      <c r="AJ209" s="110"/>
      <c r="AK209" s="416"/>
      <c r="AL209" s="100"/>
      <c r="AM209" s="100"/>
      <c r="AN209" s="111"/>
      <c r="AO209" s="100"/>
      <c r="AP209" s="100"/>
      <c r="AQ209" s="111"/>
      <c r="AR209" s="100"/>
      <c r="AS209" s="100"/>
      <c r="AT209" s="100"/>
    </row>
    <row r="210" spans="1:46" ht="16.3">
      <c r="A210" s="83" t="s">
        <v>363</v>
      </c>
      <c r="B210" s="508">
        <f>SUM(B208+B209)</f>
        <v>35</v>
      </c>
      <c r="C210" s="214">
        <f t="shared" si="94"/>
        <v>35</v>
      </c>
      <c r="D210" s="595">
        <f>SUM(D208+D209)</f>
        <v>14</v>
      </c>
      <c r="E210" s="602">
        <f t="shared" si="95"/>
        <v>14</v>
      </c>
      <c r="F210" s="617">
        <v>1</v>
      </c>
      <c r="G210" s="621">
        <v>1</v>
      </c>
      <c r="H210" s="96"/>
      <c r="I210" s="96"/>
      <c r="J210" s="104"/>
      <c r="K210" s="75"/>
      <c r="L210" s="75"/>
      <c r="M210" s="75"/>
      <c r="N210" s="75"/>
      <c r="O210" s="96"/>
      <c r="P210" s="105"/>
      <c r="Q210" s="105"/>
      <c r="R210" s="96"/>
      <c r="S210" s="104"/>
      <c r="T210" s="110"/>
      <c r="U210" s="110"/>
      <c r="V210" s="100"/>
      <c r="W210" s="100"/>
      <c r="X210" s="100"/>
      <c r="Y210" s="110"/>
      <c r="Z210" s="110"/>
      <c r="AA210" s="100"/>
      <c r="AB210" s="109"/>
      <c r="AC210" s="109"/>
      <c r="AD210" s="109"/>
      <c r="AE210" s="109"/>
      <c r="AF210" s="108"/>
      <c r="AG210" s="109"/>
      <c r="AH210" s="100"/>
      <c r="AI210" s="100"/>
      <c r="AJ210" s="110"/>
      <c r="AK210" s="416"/>
      <c r="AL210" s="100"/>
      <c r="AM210" s="100"/>
      <c r="AN210" s="111"/>
      <c r="AO210" s="100"/>
      <c r="AP210" s="100"/>
      <c r="AQ210" s="111"/>
      <c r="AR210" s="100"/>
      <c r="AS210" s="100"/>
      <c r="AT210" s="100"/>
    </row>
    <row r="211" spans="1:46" ht="16.3">
      <c r="A211" s="246" t="s">
        <v>362</v>
      </c>
      <c r="B211" s="509">
        <f>SUM(J211+K211+L211+M211+N211+S211+V211+W211+X211+AA211+AI211+AJ211+AI211+AM211+AP211+AQ211+AS211+AT211+AU211+AV211)</f>
        <v>0</v>
      </c>
      <c r="C211" s="215">
        <f t="shared" ref="C211" si="96">B211</f>
        <v>0</v>
      </c>
      <c r="D211" s="596">
        <f>SUM(T211+U211+Y211+Z211+AK211+AL211+AO211+AR211)</f>
        <v>2</v>
      </c>
      <c r="E211" s="604">
        <f t="shared" ref="E211" si="97">D211</f>
        <v>2</v>
      </c>
      <c r="F211" s="626">
        <v>0</v>
      </c>
      <c r="G211" s="627">
        <v>0</v>
      </c>
      <c r="H211" s="96"/>
      <c r="I211" s="96"/>
      <c r="J211" s="104"/>
      <c r="K211" s="75"/>
      <c r="L211" s="75"/>
      <c r="M211" s="75"/>
      <c r="N211" s="75"/>
      <c r="O211" s="96"/>
      <c r="P211" s="105"/>
      <c r="Q211" s="105"/>
      <c r="R211" s="96"/>
      <c r="S211" s="104"/>
      <c r="T211" s="110">
        <v>1</v>
      </c>
      <c r="U211" s="110"/>
      <c r="V211" s="100"/>
      <c r="W211" s="100"/>
      <c r="X211" s="100"/>
      <c r="Y211" s="110"/>
      <c r="Z211" s="110">
        <v>1</v>
      </c>
      <c r="AA211" s="100"/>
      <c r="AB211" s="109"/>
      <c r="AC211" s="109"/>
      <c r="AD211" s="109"/>
      <c r="AE211" s="109"/>
      <c r="AF211" s="108"/>
      <c r="AG211" s="109"/>
      <c r="AH211" s="100"/>
      <c r="AI211" s="100"/>
      <c r="AJ211" s="110"/>
      <c r="AK211" s="416"/>
      <c r="AL211" s="100"/>
      <c r="AM211" s="100"/>
      <c r="AN211" s="111"/>
      <c r="AO211" s="100"/>
      <c r="AP211" s="100"/>
      <c r="AQ211" s="111"/>
      <c r="AR211" s="100"/>
      <c r="AS211" s="100"/>
      <c r="AT211" s="100"/>
    </row>
    <row r="212" spans="1:46" ht="16.3">
      <c r="A212" s="83" t="s">
        <v>3</v>
      </c>
      <c r="B212" s="508">
        <f>SUM(J212+K212+L212+M212+N212+S212+V212+W212+X212+AA212+AI212+AJ212+AI212+AM212+AP212+AQ212+AS212+AT212+AU212+AV212)</f>
        <v>0</v>
      </c>
      <c r="C212" s="214">
        <f t="shared" si="94"/>
        <v>0</v>
      </c>
      <c r="D212" s="595">
        <f>SUM(T212+U212+Y212+Z212+AK212+AL212+AO212+AR212)+1</f>
        <v>1</v>
      </c>
      <c r="E212" s="602">
        <f t="shared" si="95"/>
        <v>1</v>
      </c>
      <c r="F212" s="617">
        <v>0</v>
      </c>
      <c r="G212" s="621">
        <v>0</v>
      </c>
      <c r="H212" s="96"/>
      <c r="I212" s="96"/>
      <c r="J212" s="104"/>
      <c r="K212" s="75"/>
      <c r="L212" s="75"/>
      <c r="M212" s="75"/>
      <c r="N212" s="75"/>
      <c r="O212" s="96"/>
      <c r="P212" s="105"/>
      <c r="Q212" s="105"/>
      <c r="R212" s="96"/>
      <c r="S212" s="104"/>
      <c r="T212" s="110"/>
      <c r="U212" s="110"/>
      <c r="V212" s="100"/>
      <c r="W212" s="100"/>
      <c r="X212" s="100"/>
      <c r="Y212" s="110"/>
      <c r="Z212" s="110"/>
      <c r="AA212" s="100"/>
      <c r="AB212" s="109"/>
      <c r="AC212" s="109"/>
      <c r="AD212" s="109"/>
      <c r="AE212" s="109"/>
      <c r="AF212" s="108"/>
      <c r="AG212" s="109"/>
      <c r="AH212" s="100"/>
      <c r="AI212" s="100"/>
      <c r="AJ212" s="110"/>
      <c r="AK212" s="416"/>
      <c r="AL212" s="100"/>
      <c r="AM212" s="100"/>
      <c r="AN212" s="111"/>
      <c r="AO212" s="100"/>
      <c r="AP212" s="100"/>
      <c r="AQ212" s="111"/>
      <c r="AR212" s="100"/>
      <c r="AS212" s="100"/>
      <c r="AT212" s="100"/>
    </row>
    <row r="213" spans="1:46" ht="17" thickBot="1">
      <c r="A213" s="85" t="s">
        <v>4</v>
      </c>
      <c r="B213" s="510">
        <f>SUM(J213+K213+L213+M213+N213+S213+V213+W213+X213+AA213+AI213+AJ213+AI213+AM213+AP213+AQ213+AS213+AT213+AU213+AV213)</f>
        <v>0</v>
      </c>
      <c r="C213" s="217">
        <f t="shared" si="94"/>
        <v>0</v>
      </c>
      <c r="D213" s="597">
        <f>SUM(T213+U213+Y213+Z213+AK213+AL213+AO213+AR213)+5</f>
        <v>5</v>
      </c>
      <c r="E213" s="603">
        <f t="shared" si="95"/>
        <v>5</v>
      </c>
      <c r="F213" s="618">
        <v>0</v>
      </c>
      <c r="G213" s="622">
        <v>0</v>
      </c>
      <c r="H213" s="114"/>
      <c r="I213" s="114"/>
      <c r="J213" s="113"/>
      <c r="K213" s="112"/>
      <c r="L213" s="112"/>
      <c r="M213" s="112"/>
      <c r="N213" s="112"/>
      <c r="O213" s="114"/>
      <c r="P213" s="127"/>
      <c r="Q213" s="127"/>
      <c r="R213" s="114"/>
      <c r="S213" s="113"/>
      <c r="T213" s="120"/>
      <c r="U213" s="119"/>
      <c r="V213" s="116"/>
      <c r="W213" s="116"/>
      <c r="X213" s="116"/>
      <c r="Y213" s="120"/>
      <c r="Z213" s="120"/>
      <c r="AA213" s="116"/>
      <c r="AB213" s="118"/>
      <c r="AC213" s="118"/>
      <c r="AD213" s="118"/>
      <c r="AE213" s="118"/>
      <c r="AF213" s="117"/>
      <c r="AG213" s="118"/>
      <c r="AH213" s="116"/>
      <c r="AI213" s="116"/>
      <c r="AJ213" s="120"/>
      <c r="AK213" s="417"/>
      <c r="AL213" s="116"/>
      <c r="AM213" s="116"/>
      <c r="AN213" s="121"/>
      <c r="AO213" s="116"/>
      <c r="AP213" s="116"/>
      <c r="AQ213" s="121"/>
      <c r="AR213" s="116"/>
      <c r="AS213" s="116"/>
      <c r="AT213" s="116"/>
    </row>
    <row r="214" spans="1:46" ht="21.1">
      <c r="A214" s="82" t="s">
        <v>103</v>
      </c>
      <c r="B214" s="508"/>
      <c r="C214" s="214"/>
      <c r="D214" s="595"/>
      <c r="E214" s="602"/>
      <c r="F214" s="617"/>
      <c r="G214" s="621"/>
      <c r="H214" s="96" t="s">
        <v>501</v>
      </c>
      <c r="I214" s="96"/>
      <c r="J214" s="104" t="s">
        <v>370</v>
      </c>
      <c r="K214" s="75" t="s">
        <v>370</v>
      </c>
      <c r="L214" s="75" t="s">
        <v>339</v>
      </c>
      <c r="M214" s="75" t="s">
        <v>370</v>
      </c>
      <c r="N214" s="75" t="s">
        <v>370</v>
      </c>
      <c r="O214" s="96" t="s">
        <v>775</v>
      </c>
      <c r="P214" s="105"/>
      <c r="Q214" s="105"/>
      <c r="R214" s="96" t="s">
        <v>775</v>
      </c>
      <c r="S214" s="104" t="s">
        <v>370</v>
      </c>
      <c r="T214" s="110"/>
      <c r="U214" s="110" t="s">
        <v>370</v>
      </c>
      <c r="V214" s="102" t="s">
        <v>370</v>
      </c>
      <c r="W214" s="102" t="s">
        <v>370</v>
      </c>
      <c r="X214" s="102" t="s">
        <v>370</v>
      </c>
      <c r="Y214" s="101" t="s">
        <v>370</v>
      </c>
      <c r="Z214" s="101"/>
      <c r="AA214" s="102" t="s">
        <v>370</v>
      </c>
      <c r="AB214" s="99" t="s">
        <v>775</v>
      </c>
      <c r="AC214" s="99" t="s">
        <v>775</v>
      </c>
      <c r="AD214" s="99" t="s">
        <v>775</v>
      </c>
      <c r="AE214" s="99" t="s">
        <v>775</v>
      </c>
      <c r="AF214" s="98"/>
      <c r="AG214" s="99" t="s">
        <v>775</v>
      </c>
      <c r="AH214" s="102"/>
      <c r="AI214" s="102"/>
      <c r="AJ214" s="101"/>
      <c r="AK214" s="414"/>
      <c r="AL214" s="102"/>
      <c r="AM214" s="102"/>
      <c r="AN214" s="103"/>
      <c r="AO214" s="102"/>
      <c r="AP214" s="102"/>
      <c r="AQ214" s="103"/>
      <c r="AR214" s="102"/>
      <c r="AS214" s="102"/>
      <c r="AT214" s="102"/>
    </row>
    <row r="215" spans="1:46" ht="16.3">
      <c r="A215" s="246" t="s">
        <v>1</v>
      </c>
      <c r="B215" s="509">
        <f>SUM(J215+K215+L215+M215+N215+S215+V215+W215+X215+AA215+AI215+AJ215+AI215+AM215+AP215+AQ215+AS215+AT215+AU215+AV215+AN215)+49</f>
        <v>58</v>
      </c>
      <c r="C215" s="215">
        <f>B215</f>
        <v>58</v>
      </c>
      <c r="D215" s="596">
        <f>SUM(T215+U215+Y215+Z215+AK215+AL215+AO215+AR215)+15</f>
        <v>17</v>
      </c>
      <c r="E215" s="604">
        <f>D215</f>
        <v>17</v>
      </c>
      <c r="F215" s="626">
        <v>8</v>
      </c>
      <c r="G215" s="627">
        <f t="shared" ref="G215:G220" si="98">F215</f>
        <v>8</v>
      </c>
      <c r="H215" s="96"/>
      <c r="I215" s="96"/>
      <c r="J215" s="104">
        <v>1</v>
      </c>
      <c r="K215" s="75">
        <v>1</v>
      </c>
      <c r="L215" s="75"/>
      <c r="M215" s="75">
        <v>1</v>
      </c>
      <c r="N215" s="75">
        <v>1</v>
      </c>
      <c r="O215" s="96"/>
      <c r="P215" s="105"/>
      <c r="Q215" s="105"/>
      <c r="R215" s="96"/>
      <c r="S215" s="104">
        <v>1</v>
      </c>
      <c r="T215" s="110"/>
      <c r="U215" s="110">
        <v>1</v>
      </c>
      <c r="V215" s="100">
        <v>1</v>
      </c>
      <c r="W215" s="100">
        <v>1</v>
      </c>
      <c r="X215" s="100">
        <v>1</v>
      </c>
      <c r="Y215" s="110">
        <v>1</v>
      </c>
      <c r="Z215" s="110"/>
      <c r="AA215" s="100">
        <v>1</v>
      </c>
      <c r="AB215" s="109"/>
      <c r="AC215" s="109"/>
      <c r="AD215" s="109"/>
      <c r="AE215" s="109"/>
      <c r="AF215" s="108"/>
      <c r="AG215" s="109"/>
      <c r="AH215" s="100"/>
      <c r="AI215" s="100"/>
      <c r="AJ215" s="110"/>
      <c r="AK215" s="416"/>
      <c r="AL215" s="100"/>
      <c r="AM215" s="100"/>
      <c r="AN215" s="111"/>
      <c r="AO215" s="100"/>
      <c r="AP215" s="100"/>
      <c r="AQ215" s="111"/>
      <c r="AR215" s="100"/>
      <c r="AS215" s="100"/>
      <c r="AT215" s="100"/>
    </row>
    <row r="216" spans="1:46" ht="16.3">
      <c r="A216" s="246" t="s">
        <v>2</v>
      </c>
      <c r="B216" s="509">
        <f>SUM(J216+K216+L216+M216+N216+S216+V216+W216+X216+AA216+AI216+AJ216+AI216+AM216+AP216+AQ216+AS216+AT216+AU216+AV216)+68</f>
        <v>68</v>
      </c>
      <c r="C216" s="215">
        <f t="shared" ref="C216:C220" si="99">B216</f>
        <v>68</v>
      </c>
      <c r="D216" s="596">
        <f>SUM(T216+U216+Y216+Z216+AK216+AL216+AO216+AR216)+7</f>
        <v>7</v>
      </c>
      <c r="E216" s="604">
        <f t="shared" ref="E216:E220" si="100">D216</f>
        <v>7</v>
      </c>
      <c r="F216" s="626">
        <v>3</v>
      </c>
      <c r="G216" s="627">
        <f t="shared" si="98"/>
        <v>3</v>
      </c>
      <c r="H216" s="96"/>
      <c r="I216" s="96"/>
      <c r="J216" s="104"/>
      <c r="K216" s="75"/>
      <c r="L216" s="75"/>
      <c r="M216" s="75"/>
      <c r="N216" s="75"/>
      <c r="O216" s="96"/>
      <c r="P216" s="105"/>
      <c r="Q216" s="105"/>
      <c r="R216" s="96"/>
      <c r="S216" s="104"/>
      <c r="T216" s="110"/>
      <c r="U216" s="110"/>
      <c r="V216" s="100"/>
      <c r="W216" s="100"/>
      <c r="X216" s="100"/>
      <c r="Y216" s="110"/>
      <c r="Z216" s="110"/>
      <c r="AA216" s="100"/>
      <c r="AB216" s="109"/>
      <c r="AC216" s="109"/>
      <c r="AD216" s="109"/>
      <c r="AE216" s="109"/>
      <c r="AF216" s="108"/>
      <c r="AG216" s="109"/>
      <c r="AH216" s="100"/>
      <c r="AI216" s="100"/>
      <c r="AJ216" s="110"/>
      <c r="AK216" s="416"/>
      <c r="AL216" s="100"/>
      <c r="AM216" s="100"/>
      <c r="AN216" s="111"/>
      <c r="AO216" s="100"/>
      <c r="AP216" s="100"/>
      <c r="AQ216" s="111"/>
      <c r="AR216" s="100"/>
      <c r="AS216" s="100"/>
      <c r="AT216" s="100"/>
    </row>
    <row r="217" spans="1:46" ht="16.3">
      <c r="A217" s="83" t="s">
        <v>363</v>
      </c>
      <c r="B217" s="508">
        <f>SUM(B215+B216)</f>
        <v>126</v>
      </c>
      <c r="C217" s="214">
        <f t="shared" si="99"/>
        <v>126</v>
      </c>
      <c r="D217" s="595">
        <f>SUM(D215+D216)</f>
        <v>24</v>
      </c>
      <c r="E217" s="602">
        <f t="shared" si="100"/>
        <v>24</v>
      </c>
      <c r="F217" s="617">
        <f>SUM(F215+F216)</f>
        <v>11</v>
      </c>
      <c r="G217" s="621">
        <f t="shared" si="98"/>
        <v>11</v>
      </c>
      <c r="H217" s="96"/>
      <c r="I217" s="96"/>
      <c r="J217" s="104"/>
      <c r="K217" s="75"/>
      <c r="L217" s="75"/>
      <c r="M217" s="75"/>
      <c r="N217" s="75"/>
      <c r="O217" s="96"/>
      <c r="P217" s="105"/>
      <c r="Q217" s="105"/>
      <c r="R217" s="96"/>
      <c r="S217" s="104"/>
      <c r="T217" s="110"/>
      <c r="U217" s="110"/>
      <c r="V217" s="100"/>
      <c r="W217" s="100"/>
      <c r="X217" s="100"/>
      <c r="Y217" s="110"/>
      <c r="Z217" s="110"/>
      <c r="AA217" s="100"/>
      <c r="AB217" s="109"/>
      <c r="AC217" s="109"/>
      <c r="AD217" s="109"/>
      <c r="AE217" s="109"/>
      <c r="AF217" s="108"/>
      <c r="AG217" s="109"/>
      <c r="AH217" s="100"/>
      <c r="AI217" s="100"/>
      <c r="AJ217" s="110"/>
      <c r="AK217" s="416"/>
      <c r="AL217" s="100"/>
      <c r="AM217" s="100"/>
      <c r="AN217" s="111"/>
      <c r="AO217" s="100"/>
      <c r="AP217" s="100"/>
      <c r="AQ217" s="111"/>
      <c r="AR217" s="100"/>
      <c r="AS217" s="100"/>
      <c r="AT217" s="100"/>
    </row>
    <row r="218" spans="1:46" ht="16.3">
      <c r="A218" s="246" t="s">
        <v>362</v>
      </c>
      <c r="B218" s="509">
        <f>SUM(J218+K218+L218+M218+N218+S218+V218+W218+X218+AA218+AI218+AJ218+AI218+AM218+AP218+AQ218+AS218+AT218+AU218+AV218)+3</f>
        <v>3</v>
      </c>
      <c r="C218" s="215">
        <f t="shared" si="99"/>
        <v>3</v>
      </c>
      <c r="D218" s="596">
        <f>SUM(T218+U218+Y218+Z218+AK218+AL218+AO218+AR218)+1</f>
        <v>1</v>
      </c>
      <c r="E218" s="604">
        <f t="shared" ref="E218" si="101">D218</f>
        <v>1</v>
      </c>
      <c r="F218" s="626">
        <v>1</v>
      </c>
      <c r="G218" s="627">
        <f t="shared" si="98"/>
        <v>1</v>
      </c>
      <c r="H218" s="96"/>
      <c r="I218" s="96"/>
      <c r="J218" s="104"/>
      <c r="K218" s="75"/>
      <c r="L218" s="75"/>
      <c r="M218" s="75"/>
      <c r="N218" s="75"/>
      <c r="O218" s="96"/>
      <c r="P218" s="105"/>
      <c r="Q218" s="105"/>
      <c r="R218" s="96"/>
      <c r="S218" s="104"/>
      <c r="T218" s="110"/>
      <c r="U218" s="110"/>
      <c r="V218" s="100"/>
      <c r="W218" s="100"/>
      <c r="X218" s="100"/>
      <c r="Y218" s="110"/>
      <c r="Z218" s="110"/>
      <c r="AA218" s="100"/>
      <c r="AB218" s="109"/>
      <c r="AC218" s="109"/>
      <c r="AD218" s="109"/>
      <c r="AE218" s="109"/>
      <c r="AF218" s="108"/>
      <c r="AG218" s="109"/>
      <c r="AH218" s="100"/>
      <c r="AI218" s="100"/>
      <c r="AJ218" s="110"/>
      <c r="AK218" s="416"/>
      <c r="AL218" s="100"/>
      <c r="AM218" s="100"/>
      <c r="AN218" s="111"/>
      <c r="AO218" s="100"/>
      <c r="AP218" s="100"/>
      <c r="AQ218" s="111"/>
      <c r="AR218" s="100"/>
      <c r="AS218" s="100"/>
      <c r="AT218" s="100"/>
    </row>
    <row r="219" spans="1:46" ht="16.3">
      <c r="A219" s="83" t="s">
        <v>3</v>
      </c>
      <c r="B219" s="508">
        <f>SUM(J219+K219+L219+M219+N219+S219+V219+W219+X219+AA219+AI219+AJ219+AI219+AM219+AP219+AQ219+AS219+AT219+AU219+AV219)+1</f>
        <v>2</v>
      </c>
      <c r="C219" s="214">
        <f t="shared" si="99"/>
        <v>2</v>
      </c>
      <c r="D219" s="595">
        <f>SUM(T219+U219+Y219+Z219+AK219+AL219+AO219+AR219)+1</f>
        <v>1</v>
      </c>
      <c r="E219" s="602">
        <f t="shared" si="100"/>
        <v>1</v>
      </c>
      <c r="F219" s="617">
        <v>0</v>
      </c>
      <c r="G219" s="621">
        <f t="shared" si="98"/>
        <v>0</v>
      </c>
      <c r="H219" s="96"/>
      <c r="I219" s="96"/>
      <c r="J219" s="104"/>
      <c r="K219" s="75"/>
      <c r="L219" s="75"/>
      <c r="M219" s="75"/>
      <c r="N219" s="75"/>
      <c r="O219" s="96"/>
      <c r="P219" s="105"/>
      <c r="Q219" s="105"/>
      <c r="R219" s="96"/>
      <c r="S219" s="104"/>
      <c r="T219" s="110"/>
      <c r="U219" s="110"/>
      <c r="V219" s="100"/>
      <c r="W219" s="100"/>
      <c r="X219" s="100">
        <v>1</v>
      </c>
      <c r="Y219" s="110"/>
      <c r="Z219" s="110"/>
      <c r="AA219" s="100"/>
      <c r="AB219" s="109"/>
      <c r="AC219" s="109"/>
      <c r="AD219" s="109"/>
      <c r="AE219" s="109"/>
      <c r="AF219" s="108"/>
      <c r="AG219" s="109"/>
      <c r="AH219" s="100"/>
      <c r="AI219" s="100"/>
      <c r="AJ219" s="110"/>
      <c r="AK219" s="416"/>
      <c r="AL219" s="100"/>
      <c r="AM219" s="100"/>
      <c r="AN219" s="111"/>
      <c r="AO219" s="100"/>
      <c r="AP219" s="100"/>
      <c r="AQ219" s="111"/>
      <c r="AR219" s="100"/>
      <c r="AS219" s="100"/>
      <c r="AT219" s="100"/>
    </row>
    <row r="220" spans="1:46" ht="17" thickBot="1">
      <c r="A220" s="85" t="s">
        <v>4</v>
      </c>
      <c r="B220" s="510">
        <f>SUM(J220+K220+L220+M220+N220+S220+V220+W220+X220+AA220+AI220+AJ220+AI220+AM220+AP220+AQ220+AS220+AT220+AU220+AV220)+5</f>
        <v>10</v>
      </c>
      <c r="C220" s="217">
        <f t="shared" si="99"/>
        <v>10</v>
      </c>
      <c r="D220" s="597">
        <f>SUM(T220+U220+Y220+Z220+AK220+AL220+AO220+AR220)+5</f>
        <v>5</v>
      </c>
      <c r="E220" s="603">
        <f t="shared" si="100"/>
        <v>5</v>
      </c>
      <c r="F220" s="618">
        <v>0</v>
      </c>
      <c r="G220" s="622">
        <f t="shared" si="98"/>
        <v>0</v>
      </c>
      <c r="H220" s="114"/>
      <c r="I220" s="114"/>
      <c r="J220" s="113"/>
      <c r="K220" s="112"/>
      <c r="L220" s="112"/>
      <c r="M220" s="112"/>
      <c r="N220" s="112"/>
      <c r="O220" s="114"/>
      <c r="P220" s="127"/>
      <c r="Q220" s="127"/>
      <c r="R220" s="114"/>
      <c r="S220" s="113"/>
      <c r="T220" s="120"/>
      <c r="U220" s="119"/>
      <c r="V220" s="116"/>
      <c r="W220" s="116"/>
      <c r="X220" s="116">
        <v>5</v>
      </c>
      <c r="Y220" s="120"/>
      <c r="Z220" s="120"/>
      <c r="AA220" s="116"/>
      <c r="AB220" s="118"/>
      <c r="AC220" s="118"/>
      <c r="AD220" s="118"/>
      <c r="AE220" s="118"/>
      <c r="AF220" s="117"/>
      <c r="AG220" s="118"/>
      <c r="AH220" s="116"/>
      <c r="AI220" s="116"/>
      <c r="AJ220" s="120"/>
      <c r="AK220" s="417"/>
      <c r="AL220" s="116"/>
      <c r="AM220" s="116"/>
      <c r="AN220" s="121"/>
      <c r="AO220" s="116"/>
      <c r="AP220" s="116"/>
      <c r="AQ220" s="121"/>
      <c r="AR220" s="116"/>
      <c r="AS220" s="116"/>
      <c r="AT220" s="116"/>
    </row>
    <row r="221" spans="1:46" ht="21.1">
      <c r="A221" s="82" t="s">
        <v>493</v>
      </c>
      <c r="B221" s="508"/>
      <c r="C221" s="214"/>
      <c r="D221" s="595"/>
      <c r="E221" s="602"/>
      <c r="F221" s="617"/>
      <c r="G221" s="621"/>
      <c r="H221" s="96" t="s">
        <v>375</v>
      </c>
      <c r="I221" s="96"/>
      <c r="J221" s="104"/>
      <c r="K221" s="75"/>
      <c r="L221" s="75"/>
      <c r="M221" s="75"/>
      <c r="N221" s="75"/>
      <c r="O221" s="96" t="s">
        <v>375</v>
      </c>
      <c r="P221" s="105"/>
      <c r="Q221" s="105"/>
      <c r="R221" s="96"/>
      <c r="S221" s="104"/>
      <c r="T221" s="110"/>
      <c r="U221" s="110"/>
      <c r="V221" s="100"/>
      <c r="W221" s="100"/>
      <c r="X221" s="100"/>
      <c r="Y221" s="110"/>
      <c r="Z221" s="110"/>
      <c r="AA221" s="100"/>
      <c r="AB221" s="109"/>
      <c r="AC221" s="109" t="s">
        <v>375</v>
      </c>
      <c r="AD221" s="109"/>
      <c r="AE221" s="109"/>
      <c r="AF221" s="108"/>
      <c r="AG221" s="109"/>
      <c r="AH221" s="100"/>
      <c r="AI221" s="100"/>
      <c r="AJ221" s="110"/>
      <c r="AK221" s="416"/>
      <c r="AL221" s="100"/>
      <c r="AM221" s="100"/>
      <c r="AN221" s="111"/>
      <c r="AO221" s="100"/>
      <c r="AP221" s="100"/>
      <c r="AQ221" s="111"/>
      <c r="AR221" s="100"/>
      <c r="AS221" s="100"/>
      <c r="AT221" s="100"/>
    </row>
    <row r="222" spans="1:46" ht="16.3">
      <c r="A222" s="246" t="s">
        <v>1</v>
      </c>
      <c r="B222" s="509">
        <f>SUM(J222+K222+L222+M222+N222+S222+V222+W222+X222+AA222+AI222+AJ222+AI222+AM222+AP222+AQ222+AS222+AT222+AU222+AV222+AN222)</f>
        <v>0</v>
      </c>
      <c r="C222" s="215">
        <f>B222</f>
        <v>0</v>
      </c>
      <c r="D222" s="596">
        <f>SUM(T222+U222+Y222+Z222+AK222+AL222+AO222+AR222)</f>
        <v>0</v>
      </c>
      <c r="E222" s="604">
        <f>D222</f>
        <v>0</v>
      </c>
      <c r="F222" s="626">
        <v>0</v>
      </c>
      <c r="G222" s="627">
        <v>0</v>
      </c>
      <c r="H222" s="96"/>
      <c r="I222" s="96"/>
      <c r="J222" s="104"/>
      <c r="K222" s="75"/>
      <c r="L222" s="75"/>
      <c r="M222" s="75"/>
      <c r="N222" s="75"/>
      <c r="O222" s="96"/>
      <c r="P222" s="105"/>
      <c r="Q222" s="105"/>
      <c r="R222" s="96"/>
      <c r="S222" s="104"/>
      <c r="T222" s="110"/>
      <c r="U222" s="110"/>
      <c r="V222" s="100"/>
      <c r="W222" s="100"/>
      <c r="X222" s="100"/>
      <c r="Y222" s="110"/>
      <c r="Z222" s="110"/>
      <c r="AA222" s="100"/>
      <c r="AB222" s="109"/>
      <c r="AC222" s="109"/>
      <c r="AD222" s="109"/>
      <c r="AE222" s="109"/>
      <c r="AF222" s="108"/>
      <c r="AG222" s="109"/>
      <c r="AH222" s="100"/>
      <c r="AI222" s="100"/>
      <c r="AJ222" s="110"/>
      <c r="AK222" s="416"/>
      <c r="AL222" s="100"/>
      <c r="AM222" s="100"/>
      <c r="AN222" s="111"/>
      <c r="AO222" s="100"/>
      <c r="AP222" s="100"/>
      <c r="AQ222" s="111"/>
      <c r="AR222" s="100"/>
      <c r="AS222" s="100"/>
      <c r="AT222" s="100"/>
    </row>
    <row r="223" spans="1:46" ht="16.3">
      <c r="A223" s="246" t="s">
        <v>2</v>
      </c>
      <c r="B223" s="509">
        <f>SUM(J223+K223+L223+M223+N223+S223+V223+W223+X223+AA223+AI223+AJ223+AI223+AM223+AP223+AQ223+AS223+AT223+AU223+AV223)</f>
        <v>0</v>
      </c>
      <c r="C223" s="215">
        <f t="shared" ref="C223:C226" si="102">B223</f>
        <v>0</v>
      </c>
      <c r="D223" s="596">
        <f>SUM(T223+U223+Y223+Z223+AK223+AL223+AO223+AR223)</f>
        <v>0</v>
      </c>
      <c r="E223" s="604">
        <f t="shared" ref="E223:E226" si="103">D223</f>
        <v>0</v>
      </c>
      <c r="F223" s="626">
        <v>0</v>
      </c>
      <c r="G223" s="627">
        <v>0</v>
      </c>
      <c r="H223" s="96">
        <v>1</v>
      </c>
      <c r="I223" s="96"/>
      <c r="J223" s="104"/>
      <c r="K223" s="75"/>
      <c r="L223" s="75"/>
      <c r="M223" s="75"/>
      <c r="N223" s="75"/>
      <c r="O223" s="96">
        <v>1</v>
      </c>
      <c r="P223" s="105"/>
      <c r="Q223" s="105"/>
      <c r="R223" s="96"/>
      <c r="S223" s="104"/>
      <c r="T223" s="110"/>
      <c r="U223" s="110"/>
      <c r="V223" s="100"/>
      <c r="W223" s="100"/>
      <c r="X223" s="100"/>
      <c r="Y223" s="110"/>
      <c r="Z223" s="110"/>
      <c r="AA223" s="100"/>
      <c r="AB223" s="109"/>
      <c r="AC223" s="109">
        <v>1</v>
      </c>
      <c r="AD223" s="109"/>
      <c r="AE223" s="109"/>
      <c r="AF223" s="108"/>
      <c r="AG223" s="109"/>
      <c r="AH223" s="100"/>
      <c r="AI223" s="100"/>
      <c r="AJ223" s="110"/>
      <c r="AK223" s="416"/>
      <c r="AL223" s="100"/>
      <c r="AM223" s="100"/>
      <c r="AN223" s="111"/>
      <c r="AO223" s="100"/>
      <c r="AP223" s="100"/>
      <c r="AQ223" s="111"/>
      <c r="AR223" s="100"/>
      <c r="AS223" s="100"/>
      <c r="AT223" s="100"/>
    </row>
    <row r="224" spans="1:46" ht="16.3">
      <c r="A224" s="83" t="s">
        <v>363</v>
      </c>
      <c r="B224" s="508">
        <f>SUM(B222+B223)</f>
        <v>0</v>
      </c>
      <c r="C224" s="214">
        <f t="shared" si="102"/>
        <v>0</v>
      </c>
      <c r="D224" s="595">
        <f>SUM(D222+D223)</f>
        <v>0</v>
      </c>
      <c r="E224" s="602">
        <f t="shared" si="103"/>
        <v>0</v>
      </c>
      <c r="F224" s="617">
        <v>0</v>
      </c>
      <c r="G224" s="621">
        <v>0</v>
      </c>
      <c r="H224" s="96"/>
      <c r="I224" s="96"/>
      <c r="J224" s="104"/>
      <c r="K224" s="75"/>
      <c r="L224" s="75"/>
      <c r="M224" s="75"/>
      <c r="N224" s="75"/>
      <c r="O224" s="96"/>
      <c r="P224" s="105"/>
      <c r="Q224" s="105"/>
      <c r="R224" s="96"/>
      <c r="S224" s="104"/>
      <c r="T224" s="110"/>
      <c r="U224" s="110"/>
      <c r="V224" s="100"/>
      <c r="W224" s="100"/>
      <c r="X224" s="100"/>
      <c r="Y224" s="110"/>
      <c r="Z224" s="110"/>
      <c r="AA224" s="100"/>
      <c r="AB224" s="109"/>
      <c r="AC224" s="109"/>
      <c r="AD224" s="109"/>
      <c r="AE224" s="109"/>
      <c r="AF224" s="108"/>
      <c r="AG224" s="109"/>
      <c r="AH224" s="100"/>
      <c r="AI224" s="100"/>
      <c r="AJ224" s="110"/>
      <c r="AK224" s="416"/>
      <c r="AL224" s="100"/>
      <c r="AM224" s="100"/>
      <c r="AN224" s="111"/>
      <c r="AO224" s="100"/>
      <c r="AP224" s="100"/>
      <c r="AQ224" s="111"/>
      <c r="AR224" s="100"/>
      <c r="AS224" s="100"/>
      <c r="AT224" s="100"/>
    </row>
    <row r="225" spans="1:46" ht="16.3">
      <c r="A225" s="83" t="s">
        <v>3</v>
      </c>
      <c r="B225" s="508">
        <f>SUM(J225+K225+L225+M225+N225+S225+V225+W225+X225+AA225+AI225+AJ225+AI225+AM225+AP225+AQ225+AS225+AT225+AU225+AV225)</f>
        <v>0</v>
      </c>
      <c r="C225" s="214">
        <f t="shared" si="102"/>
        <v>0</v>
      </c>
      <c r="D225" s="595">
        <f t="shared" ref="D225:D226" si="104">SUM(T225+U225+Y225+Z225+AK225+AL225+AO225+AR225)</f>
        <v>0</v>
      </c>
      <c r="E225" s="602">
        <f t="shared" si="103"/>
        <v>0</v>
      </c>
      <c r="F225" s="617">
        <v>0</v>
      </c>
      <c r="G225" s="621">
        <v>0</v>
      </c>
      <c r="H225" s="96"/>
      <c r="I225" s="96"/>
      <c r="J225" s="104"/>
      <c r="K225" s="75"/>
      <c r="L225" s="75"/>
      <c r="M225" s="75"/>
      <c r="N225" s="75"/>
      <c r="O225" s="96"/>
      <c r="P225" s="105"/>
      <c r="Q225" s="105"/>
      <c r="R225" s="96"/>
      <c r="S225" s="104"/>
      <c r="T225" s="110"/>
      <c r="U225" s="110"/>
      <c r="V225" s="100"/>
      <c r="W225" s="100"/>
      <c r="X225" s="100"/>
      <c r="Y225" s="110"/>
      <c r="Z225" s="110"/>
      <c r="AA225" s="100"/>
      <c r="AB225" s="109"/>
      <c r="AC225" s="109"/>
      <c r="AD225" s="109"/>
      <c r="AE225" s="109"/>
      <c r="AF225" s="108"/>
      <c r="AG225" s="109"/>
      <c r="AH225" s="100"/>
      <c r="AI225" s="100"/>
      <c r="AJ225" s="110"/>
      <c r="AK225" s="416"/>
      <c r="AL225" s="100"/>
      <c r="AM225" s="100"/>
      <c r="AN225" s="111"/>
      <c r="AO225" s="100"/>
      <c r="AP225" s="100"/>
      <c r="AQ225" s="111"/>
      <c r="AR225" s="100"/>
      <c r="AS225" s="100"/>
      <c r="AT225" s="100"/>
    </row>
    <row r="226" spans="1:46" ht="17" thickBot="1">
      <c r="A226" s="85" t="s">
        <v>4</v>
      </c>
      <c r="B226" s="510">
        <f>SUM(J226+K226+L226+M226+N226+S226+V226+W226+X226+AA226+AI226+AJ226+AI226+AM226+AP226+AQ226+AS226+AT226+AU226+AV226)</f>
        <v>0</v>
      </c>
      <c r="C226" s="217">
        <f t="shared" si="102"/>
        <v>0</v>
      </c>
      <c r="D226" s="597">
        <f t="shared" si="104"/>
        <v>0</v>
      </c>
      <c r="E226" s="603">
        <f t="shared" si="103"/>
        <v>0</v>
      </c>
      <c r="F226" s="618">
        <v>0</v>
      </c>
      <c r="G226" s="622">
        <v>0</v>
      </c>
      <c r="H226" s="114"/>
      <c r="I226" s="114"/>
      <c r="J226" s="113"/>
      <c r="K226" s="112"/>
      <c r="L226" s="112"/>
      <c r="M226" s="112"/>
      <c r="N226" s="112"/>
      <c r="O226" s="114"/>
      <c r="P226" s="127"/>
      <c r="Q226" s="127"/>
      <c r="R226" s="114"/>
      <c r="S226" s="113"/>
      <c r="T226" s="120"/>
      <c r="U226" s="120"/>
      <c r="V226" s="112"/>
      <c r="W226" s="116"/>
      <c r="X226" s="116"/>
      <c r="Y226" s="120"/>
      <c r="Z226" s="120"/>
      <c r="AA226" s="116"/>
      <c r="AB226" s="118"/>
      <c r="AC226" s="118"/>
      <c r="AD226" s="118"/>
      <c r="AE226" s="118"/>
      <c r="AF226" s="117"/>
      <c r="AG226" s="118"/>
      <c r="AH226" s="116"/>
      <c r="AI226" s="116"/>
      <c r="AJ226" s="120"/>
      <c r="AK226" s="417"/>
      <c r="AL226" s="116"/>
      <c r="AM226" s="116"/>
      <c r="AN226" s="121"/>
      <c r="AO226" s="116"/>
      <c r="AP226" s="116"/>
      <c r="AQ226" s="121"/>
      <c r="AR226" s="116"/>
      <c r="AS226" s="116"/>
      <c r="AT226" s="116"/>
    </row>
    <row r="227" spans="1:46" ht="21.1">
      <c r="A227" s="82" t="s">
        <v>494</v>
      </c>
      <c r="B227" s="508"/>
      <c r="C227" s="214"/>
      <c r="D227" s="595"/>
      <c r="E227" s="602"/>
      <c r="F227" s="617"/>
      <c r="G227" s="621"/>
      <c r="H227" s="96" t="s">
        <v>375</v>
      </c>
      <c r="I227" s="96">
        <v>3</v>
      </c>
      <c r="J227" s="104"/>
      <c r="K227" s="75"/>
      <c r="L227" s="75" t="s">
        <v>375</v>
      </c>
      <c r="M227" s="75" t="s">
        <v>393</v>
      </c>
      <c r="N227" s="75"/>
      <c r="O227" s="96" t="s">
        <v>375</v>
      </c>
      <c r="P227" s="105"/>
      <c r="Q227" s="105"/>
      <c r="R227" s="96" t="s">
        <v>370</v>
      </c>
      <c r="S227" s="104" t="s">
        <v>375</v>
      </c>
      <c r="T227" s="110" t="s">
        <v>375</v>
      </c>
      <c r="U227" s="110"/>
      <c r="V227" s="100"/>
      <c r="W227" s="100"/>
      <c r="X227" s="100"/>
      <c r="Y227" s="110"/>
      <c r="Z227" s="110" t="s">
        <v>375</v>
      </c>
      <c r="AA227" s="100"/>
      <c r="AB227" s="109" t="s">
        <v>375</v>
      </c>
      <c r="AC227" s="109" t="s">
        <v>370</v>
      </c>
      <c r="AD227" s="109" t="s">
        <v>375</v>
      </c>
      <c r="AE227" s="109" t="s">
        <v>370</v>
      </c>
      <c r="AF227" s="108"/>
      <c r="AG227" s="109" t="s">
        <v>375</v>
      </c>
      <c r="AH227" s="100"/>
      <c r="AI227" s="100"/>
      <c r="AJ227" s="110"/>
      <c r="AK227" s="416"/>
      <c r="AL227" s="100"/>
      <c r="AM227" s="100"/>
      <c r="AN227" s="111"/>
      <c r="AO227" s="100"/>
      <c r="AP227" s="100"/>
      <c r="AQ227" s="111"/>
      <c r="AR227" s="100"/>
      <c r="AS227" s="100"/>
      <c r="AT227" s="100"/>
    </row>
    <row r="228" spans="1:46" ht="16.3">
      <c r="A228" s="246" t="s">
        <v>1</v>
      </c>
      <c r="B228" s="509">
        <f>SUM(J228+K228+L228+M228+N228+S228+V228+W228+X228+AA228+AI228+AJ228+AI228+AM228+AP228+AQ228+AS228+AT228+AU228+AV228+AN228)</f>
        <v>0</v>
      </c>
      <c r="C228" s="215">
        <f>B228</f>
        <v>0</v>
      </c>
      <c r="D228" s="596">
        <f>SUM(T228+U228+Y228+Z228+AK228+AL228+AO228+AR228)</f>
        <v>0</v>
      </c>
      <c r="E228" s="604">
        <f>D228</f>
        <v>0</v>
      </c>
      <c r="F228" s="626">
        <v>0</v>
      </c>
      <c r="G228" s="627">
        <v>0</v>
      </c>
      <c r="H228" s="96"/>
      <c r="I228" s="96">
        <v>1</v>
      </c>
      <c r="J228" s="104"/>
      <c r="K228" s="75"/>
      <c r="L228" s="75"/>
      <c r="M228" s="75"/>
      <c r="N228" s="75"/>
      <c r="O228" s="96"/>
      <c r="P228" s="105"/>
      <c r="Q228" s="105"/>
      <c r="R228" s="96">
        <v>1</v>
      </c>
      <c r="S228" s="104"/>
      <c r="T228" s="110"/>
      <c r="U228" s="110"/>
      <c r="V228" s="100"/>
      <c r="W228" s="100"/>
      <c r="X228" s="100"/>
      <c r="Y228" s="110"/>
      <c r="Z228" s="110"/>
      <c r="AA228" s="100"/>
      <c r="AB228" s="109"/>
      <c r="AC228" s="109">
        <v>1</v>
      </c>
      <c r="AD228" s="109"/>
      <c r="AE228" s="109">
        <v>1</v>
      </c>
      <c r="AF228" s="108"/>
      <c r="AG228" s="109"/>
      <c r="AH228" s="100"/>
      <c r="AI228" s="100"/>
      <c r="AJ228" s="110"/>
      <c r="AK228" s="416"/>
      <c r="AL228" s="100"/>
      <c r="AM228" s="100"/>
      <c r="AN228" s="111"/>
      <c r="AO228" s="100"/>
      <c r="AP228" s="100"/>
      <c r="AQ228" s="111"/>
      <c r="AR228" s="100"/>
      <c r="AS228" s="100"/>
      <c r="AT228" s="100"/>
    </row>
    <row r="229" spans="1:46" ht="16.3">
      <c r="A229" s="246" t="s">
        <v>2</v>
      </c>
      <c r="B229" s="509">
        <f>SUM(J229+K229+L229+M229+N229+S229+V229+W229+X229+AA229+AI229+AJ229+AI229+AM229+AP229+AQ229+AS229+AT229+AU229+AV229)</f>
        <v>2</v>
      </c>
      <c r="C229" s="215">
        <f t="shared" ref="C229:C232" si="105">B229</f>
        <v>2</v>
      </c>
      <c r="D229" s="596">
        <f>SUM(T229+U229+Y229+Z229+AK229+AL229+AO229+AR229)</f>
        <v>2</v>
      </c>
      <c r="E229" s="604">
        <f t="shared" ref="E229:E232" si="106">D229</f>
        <v>2</v>
      </c>
      <c r="F229" s="626">
        <v>0</v>
      </c>
      <c r="G229" s="627">
        <v>0</v>
      </c>
      <c r="H229" s="96">
        <v>1</v>
      </c>
      <c r="I229" s="96"/>
      <c r="J229" s="104"/>
      <c r="K229" s="75"/>
      <c r="L229" s="75">
        <v>1</v>
      </c>
      <c r="M229" s="75"/>
      <c r="N229" s="75"/>
      <c r="O229" s="96">
        <v>1</v>
      </c>
      <c r="P229" s="105"/>
      <c r="Q229" s="105"/>
      <c r="R229" s="96"/>
      <c r="S229" s="104">
        <v>1</v>
      </c>
      <c r="T229" s="110">
        <v>1</v>
      </c>
      <c r="U229" s="110"/>
      <c r="V229" s="100"/>
      <c r="W229" s="100"/>
      <c r="X229" s="100"/>
      <c r="Y229" s="110"/>
      <c r="Z229" s="110">
        <v>1</v>
      </c>
      <c r="AA229" s="100"/>
      <c r="AB229" s="109">
        <v>1</v>
      </c>
      <c r="AC229" s="109"/>
      <c r="AD229" s="109">
        <v>1</v>
      </c>
      <c r="AE229" s="109"/>
      <c r="AF229" s="108"/>
      <c r="AG229" s="109">
        <v>1</v>
      </c>
      <c r="AH229" s="100"/>
      <c r="AI229" s="100"/>
      <c r="AJ229" s="110"/>
      <c r="AK229" s="416"/>
      <c r="AL229" s="100"/>
      <c r="AM229" s="100"/>
      <c r="AN229" s="111"/>
      <c r="AO229" s="100"/>
      <c r="AP229" s="100"/>
      <c r="AQ229" s="111"/>
      <c r="AR229" s="100"/>
      <c r="AS229" s="100"/>
      <c r="AT229" s="100"/>
    </row>
    <row r="230" spans="1:46" ht="16.3">
      <c r="A230" s="83" t="s">
        <v>363</v>
      </c>
      <c r="B230" s="508">
        <f>SUM(B228+B229)</f>
        <v>2</v>
      </c>
      <c r="C230" s="214">
        <f t="shared" si="105"/>
        <v>2</v>
      </c>
      <c r="D230" s="595">
        <f>SUM(D228+D229)</f>
        <v>2</v>
      </c>
      <c r="E230" s="602">
        <f t="shared" si="106"/>
        <v>2</v>
      </c>
      <c r="F230" s="617">
        <v>0</v>
      </c>
      <c r="G230" s="621">
        <v>0</v>
      </c>
      <c r="H230" s="96"/>
      <c r="I230" s="96"/>
      <c r="J230" s="104"/>
      <c r="K230" s="75"/>
      <c r="L230" s="75"/>
      <c r="M230" s="75"/>
      <c r="N230" s="75"/>
      <c r="O230" s="96"/>
      <c r="P230" s="105"/>
      <c r="Q230" s="105"/>
      <c r="R230" s="96"/>
      <c r="S230" s="104"/>
      <c r="T230" s="110"/>
      <c r="U230" s="110"/>
      <c r="V230" s="100"/>
      <c r="W230" s="100"/>
      <c r="X230" s="100"/>
      <c r="Y230" s="110"/>
      <c r="Z230" s="110"/>
      <c r="AA230" s="100"/>
      <c r="AB230" s="109"/>
      <c r="AC230" s="109"/>
      <c r="AD230" s="109"/>
      <c r="AE230" s="109"/>
      <c r="AF230" s="108"/>
      <c r="AG230" s="109"/>
      <c r="AH230" s="100"/>
      <c r="AI230" s="100"/>
      <c r="AJ230" s="110"/>
      <c r="AK230" s="416"/>
      <c r="AL230" s="100"/>
      <c r="AM230" s="100"/>
      <c r="AN230" s="111"/>
      <c r="AO230" s="100"/>
      <c r="AP230" s="100"/>
      <c r="AQ230" s="111"/>
      <c r="AR230" s="100"/>
      <c r="AS230" s="100"/>
      <c r="AT230" s="100"/>
    </row>
    <row r="231" spans="1:46" ht="16.3">
      <c r="A231" s="83" t="s">
        <v>3</v>
      </c>
      <c r="B231" s="508">
        <f>SUM(J231+K231+L231+M231+N231+S231+V231+W231+X231+AA231+AI231+AJ231+AI231+AM231+AP231+AQ231+AS231+AT231+AU231+AV231)</f>
        <v>0</v>
      </c>
      <c r="C231" s="214">
        <f t="shared" si="105"/>
        <v>0</v>
      </c>
      <c r="D231" s="595">
        <f t="shared" ref="D231:D232" si="107">SUM(T231+U231+Y231+Z231+AK231+AL231+AO231+AR231)</f>
        <v>0</v>
      </c>
      <c r="E231" s="602">
        <f t="shared" si="106"/>
        <v>0</v>
      </c>
      <c r="F231" s="617">
        <v>0</v>
      </c>
      <c r="G231" s="621">
        <v>0</v>
      </c>
      <c r="H231" s="96"/>
      <c r="I231" s="96"/>
      <c r="J231" s="104"/>
      <c r="K231" s="75"/>
      <c r="L231" s="75"/>
      <c r="M231" s="75"/>
      <c r="N231" s="75"/>
      <c r="O231" s="96"/>
      <c r="P231" s="105"/>
      <c r="Q231" s="105"/>
      <c r="R231" s="96"/>
      <c r="S231" s="104"/>
      <c r="T231" s="110"/>
      <c r="U231" s="110"/>
      <c r="V231" s="100"/>
      <c r="W231" s="100"/>
      <c r="X231" s="100"/>
      <c r="Y231" s="110"/>
      <c r="Z231" s="110"/>
      <c r="AA231" s="100"/>
      <c r="AB231" s="109"/>
      <c r="AC231" s="109"/>
      <c r="AD231" s="109"/>
      <c r="AE231" s="109"/>
      <c r="AF231" s="108"/>
      <c r="AG231" s="109"/>
      <c r="AH231" s="100"/>
      <c r="AI231" s="100"/>
      <c r="AJ231" s="110"/>
      <c r="AK231" s="416"/>
      <c r="AL231" s="100"/>
      <c r="AM231" s="100"/>
      <c r="AN231" s="111"/>
      <c r="AO231" s="100"/>
      <c r="AP231" s="100"/>
      <c r="AQ231" s="111"/>
      <c r="AR231" s="100"/>
      <c r="AS231" s="100"/>
      <c r="AT231" s="100"/>
    </row>
    <row r="232" spans="1:46" ht="17" thickBot="1">
      <c r="A232" s="85" t="s">
        <v>4</v>
      </c>
      <c r="B232" s="510">
        <f>SUM(J232+K232+L232+M232+N232+S232+V232+W232+X232+AA232+AI232+AJ232+AI232+AM232+AP232+AQ232+AS232+AT232+AU232+AV232)</f>
        <v>0</v>
      </c>
      <c r="C232" s="232">
        <f t="shared" si="105"/>
        <v>0</v>
      </c>
      <c r="D232" s="597">
        <f t="shared" si="107"/>
        <v>0</v>
      </c>
      <c r="E232" s="603">
        <f t="shared" si="106"/>
        <v>0</v>
      </c>
      <c r="F232" s="618">
        <v>0</v>
      </c>
      <c r="G232" s="622">
        <v>0</v>
      </c>
      <c r="H232" s="114"/>
      <c r="I232" s="114"/>
      <c r="J232" s="113"/>
      <c r="K232" s="112"/>
      <c r="L232" s="112"/>
      <c r="M232" s="112"/>
      <c r="N232" s="112"/>
      <c r="O232" s="114"/>
      <c r="P232" s="127"/>
      <c r="Q232" s="127"/>
      <c r="R232" s="114"/>
      <c r="S232" s="113"/>
      <c r="T232" s="120"/>
      <c r="U232" s="120"/>
      <c r="V232" s="116"/>
      <c r="W232" s="116"/>
      <c r="X232" s="112"/>
      <c r="Y232" s="120"/>
      <c r="Z232" s="120"/>
      <c r="AA232" s="116"/>
      <c r="AB232" s="118"/>
      <c r="AC232" s="118"/>
      <c r="AD232" s="118"/>
      <c r="AE232" s="118"/>
      <c r="AF232" s="117"/>
      <c r="AG232" s="118"/>
      <c r="AH232" s="116"/>
      <c r="AI232" s="116"/>
      <c r="AJ232" s="120"/>
      <c r="AK232" s="417"/>
      <c r="AL232" s="116"/>
      <c r="AM232" s="116"/>
      <c r="AN232" s="121"/>
      <c r="AO232" s="116"/>
      <c r="AP232" s="116"/>
      <c r="AQ232" s="121"/>
      <c r="AR232" s="116"/>
      <c r="AS232" s="116"/>
      <c r="AT232" s="116"/>
    </row>
    <row r="233" spans="1:46" ht="21.1">
      <c r="A233" s="82" t="s">
        <v>781</v>
      </c>
      <c r="B233" s="508"/>
      <c r="C233" s="214"/>
      <c r="D233" s="595"/>
      <c r="E233" s="602"/>
      <c r="F233" s="617"/>
      <c r="G233" s="621"/>
      <c r="H233" s="96"/>
      <c r="I233" s="96"/>
      <c r="J233" s="104"/>
      <c r="K233" s="75"/>
      <c r="L233" s="75"/>
      <c r="M233" s="75"/>
      <c r="N233" s="75"/>
      <c r="O233" s="96" t="s">
        <v>370</v>
      </c>
      <c r="P233" s="105"/>
      <c r="Q233" s="105"/>
      <c r="R233" s="96" t="s">
        <v>375</v>
      </c>
      <c r="S233" s="104"/>
      <c r="T233" s="110"/>
      <c r="U233" s="110"/>
      <c r="V233" s="100"/>
      <c r="W233" s="100"/>
      <c r="X233" s="100"/>
      <c r="Y233" s="110"/>
      <c r="Z233" s="110"/>
      <c r="AA233" s="100"/>
      <c r="AB233" s="109"/>
      <c r="AC233" s="109" t="s">
        <v>375</v>
      </c>
      <c r="AD233" s="109"/>
      <c r="AE233" s="109"/>
      <c r="AF233" s="108"/>
      <c r="AG233" s="109"/>
      <c r="AH233" s="100"/>
      <c r="AI233" s="100"/>
      <c r="AJ233" s="110"/>
      <c r="AK233" s="416"/>
      <c r="AL233" s="100"/>
      <c r="AM233" s="100"/>
      <c r="AN233" s="111"/>
      <c r="AO233" s="100"/>
      <c r="AP233" s="100"/>
      <c r="AQ233" s="111"/>
      <c r="AR233" s="100"/>
      <c r="AS233" s="100"/>
      <c r="AT233" s="100"/>
    </row>
    <row r="234" spans="1:46" ht="16.3">
      <c r="A234" s="246" t="s">
        <v>1</v>
      </c>
      <c r="B234" s="509">
        <f>SUM(J234+K234+L234+M234+N234+S234+V234+W234+X234+AA234+AI234+AJ234+AI234+AM234+AP234+AQ234+AS234+AT234+AU234+AV234+AN234)</f>
        <v>0</v>
      </c>
      <c r="C234" s="215">
        <f>B234</f>
        <v>0</v>
      </c>
      <c r="D234" s="596">
        <f>SUM(T234+U234+Y234+Z234+AK234+AL234+AO234+AR234)</f>
        <v>0</v>
      </c>
      <c r="E234" s="604">
        <f>D234</f>
        <v>0</v>
      </c>
      <c r="F234" s="626">
        <v>0</v>
      </c>
      <c r="G234" s="627">
        <v>0</v>
      </c>
      <c r="H234" s="96"/>
      <c r="I234" s="96"/>
      <c r="J234" s="104"/>
      <c r="K234" s="75"/>
      <c r="L234" s="75"/>
      <c r="M234" s="75"/>
      <c r="N234" s="75"/>
      <c r="O234" s="96">
        <v>1</v>
      </c>
      <c r="P234" s="105"/>
      <c r="Q234" s="105"/>
      <c r="R234" s="96"/>
      <c r="S234" s="104"/>
      <c r="T234" s="110"/>
      <c r="U234" s="110"/>
      <c r="V234" s="100"/>
      <c r="W234" s="100"/>
      <c r="X234" s="100"/>
      <c r="Y234" s="110"/>
      <c r="Z234" s="110"/>
      <c r="AA234" s="100"/>
      <c r="AB234" s="109"/>
      <c r="AC234" s="109"/>
      <c r="AD234" s="109"/>
      <c r="AE234" s="109"/>
      <c r="AF234" s="108"/>
      <c r="AG234" s="109"/>
      <c r="AH234" s="100"/>
      <c r="AI234" s="100"/>
      <c r="AJ234" s="110"/>
      <c r="AK234" s="416"/>
      <c r="AL234" s="100"/>
      <c r="AM234" s="100"/>
      <c r="AN234" s="111"/>
      <c r="AO234" s="100"/>
      <c r="AP234" s="100"/>
      <c r="AQ234" s="111"/>
      <c r="AR234" s="100"/>
      <c r="AS234" s="100"/>
      <c r="AT234" s="100"/>
    </row>
    <row r="235" spans="1:46" ht="16.3">
      <c r="A235" s="246" t="s">
        <v>2</v>
      </c>
      <c r="B235" s="509">
        <f>SUM(J235+K235+L235+M235+N235+S235+V235+W235+X235+AA235+AI235+AJ235+AI235+AM235+AP235+AQ235+AS235+AT235+AU235+AV235)</f>
        <v>0</v>
      </c>
      <c r="C235" s="215">
        <f t="shared" ref="C235:C238" si="108">B235</f>
        <v>0</v>
      </c>
      <c r="D235" s="596">
        <f>SUM(T235+U235+Y235+Z235+AK235+AL235+AO235+AR235)</f>
        <v>0</v>
      </c>
      <c r="E235" s="604">
        <f t="shared" ref="E235:E238" si="109">D235</f>
        <v>0</v>
      </c>
      <c r="F235" s="626">
        <v>0</v>
      </c>
      <c r="G235" s="627">
        <v>0</v>
      </c>
      <c r="H235" s="96"/>
      <c r="I235" s="96"/>
      <c r="J235" s="104"/>
      <c r="K235" s="75"/>
      <c r="L235" s="75"/>
      <c r="M235" s="75"/>
      <c r="N235" s="75"/>
      <c r="O235" s="96"/>
      <c r="P235" s="105"/>
      <c r="Q235" s="105"/>
      <c r="R235" s="96">
        <v>1</v>
      </c>
      <c r="S235" s="104"/>
      <c r="T235" s="110"/>
      <c r="U235" s="110"/>
      <c r="V235" s="100"/>
      <c r="W235" s="100"/>
      <c r="X235" s="100"/>
      <c r="Y235" s="110"/>
      <c r="Z235" s="110"/>
      <c r="AA235" s="100"/>
      <c r="AB235" s="109"/>
      <c r="AC235" s="109">
        <v>1</v>
      </c>
      <c r="AD235" s="109"/>
      <c r="AE235" s="109"/>
      <c r="AF235" s="108"/>
      <c r="AG235" s="109"/>
      <c r="AH235" s="100"/>
      <c r="AI235" s="100"/>
      <c r="AJ235" s="110"/>
      <c r="AK235" s="416"/>
      <c r="AL235" s="100"/>
      <c r="AM235" s="100"/>
      <c r="AN235" s="111"/>
      <c r="AO235" s="100"/>
      <c r="AP235" s="100"/>
      <c r="AQ235" s="111"/>
      <c r="AR235" s="100"/>
      <c r="AS235" s="100"/>
      <c r="AT235" s="100"/>
    </row>
    <row r="236" spans="1:46" ht="16.3">
      <c r="A236" s="83" t="s">
        <v>363</v>
      </c>
      <c r="B236" s="508">
        <f>SUM(B234+B235)</f>
        <v>0</v>
      </c>
      <c r="C236" s="214">
        <f t="shared" si="108"/>
        <v>0</v>
      </c>
      <c r="D236" s="595">
        <f>SUM(D234+D235)</f>
        <v>0</v>
      </c>
      <c r="E236" s="602">
        <f t="shared" si="109"/>
        <v>0</v>
      </c>
      <c r="F236" s="617">
        <v>0</v>
      </c>
      <c r="G236" s="621">
        <v>0</v>
      </c>
      <c r="H236" s="96"/>
      <c r="I236" s="96"/>
      <c r="J236" s="104"/>
      <c r="K236" s="75"/>
      <c r="L236" s="75"/>
      <c r="M236" s="75"/>
      <c r="N236" s="75"/>
      <c r="O236" s="96"/>
      <c r="P236" s="105"/>
      <c r="Q236" s="105"/>
      <c r="R236" s="96"/>
      <c r="S236" s="104"/>
      <c r="T236" s="110"/>
      <c r="U236" s="110"/>
      <c r="V236" s="100"/>
      <c r="W236" s="100"/>
      <c r="X236" s="100"/>
      <c r="Y236" s="110"/>
      <c r="Z236" s="110"/>
      <c r="AA236" s="100"/>
      <c r="AB236" s="109"/>
      <c r="AC236" s="109"/>
      <c r="AD236" s="109"/>
      <c r="AE236" s="109"/>
      <c r="AF236" s="108"/>
      <c r="AG236" s="109"/>
      <c r="AH236" s="100"/>
      <c r="AI236" s="100"/>
      <c r="AJ236" s="110"/>
      <c r="AK236" s="416"/>
      <c r="AL236" s="100"/>
      <c r="AM236" s="100"/>
      <c r="AN236" s="111"/>
      <c r="AO236" s="100"/>
      <c r="AP236" s="100"/>
      <c r="AQ236" s="111"/>
      <c r="AR236" s="100"/>
      <c r="AS236" s="100"/>
      <c r="AT236" s="100"/>
    </row>
    <row r="237" spans="1:46" ht="16.3">
      <c r="A237" s="83" t="s">
        <v>3</v>
      </c>
      <c r="B237" s="508">
        <f>SUM(J237+K237+L237+M237+N237+S237+V237+W237+X237+AA237+AI237+AJ237+AI237+AM237+AP237+AQ237+AS237+AT237+AU237+AV237)</f>
        <v>0</v>
      </c>
      <c r="C237" s="214">
        <f t="shared" si="108"/>
        <v>0</v>
      </c>
      <c r="D237" s="595">
        <f t="shared" ref="D237:D238" si="110">SUM(T237+U237+Y237+Z237+AK237+AL237+AO237+AR237)</f>
        <v>0</v>
      </c>
      <c r="E237" s="602">
        <f t="shared" si="109"/>
        <v>0</v>
      </c>
      <c r="F237" s="617">
        <v>0</v>
      </c>
      <c r="G237" s="621">
        <v>0</v>
      </c>
      <c r="H237" s="96"/>
      <c r="I237" s="96"/>
      <c r="J237" s="104"/>
      <c r="K237" s="75"/>
      <c r="L237" s="75"/>
      <c r="M237" s="75"/>
      <c r="N237" s="75"/>
      <c r="O237" s="96"/>
      <c r="P237" s="105"/>
      <c r="Q237" s="105"/>
      <c r="R237" s="96"/>
      <c r="S237" s="104"/>
      <c r="T237" s="110"/>
      <c r="U237" s="110"/>
      <c r="V237" s="100"/>
      <c r="W237" s="100"/>
      <c r="X237" s="100"/>
      <c r="Y237" s="110"/>
      <c r="Z237" s="110"/>
      <c r="AA237" s="100"/>
      <c r="AB237" s="109"/>
      <c r="AC237" s="109"/>
      <c r="AD237" s="109"/>
      <c r="AE237" s="109"/>
      <c r="AF237" s="108"/>
      <c r="AG237" s="109"/>
      <c r="AH237" s="100"/>
      <c r="AI237" s="100"/>
      <c r="AJ237" s="110"/>
      <c r="AK237" s="416"/>
      <c r="AL237" s="100"/>
      <c r="AM237" s="100"/>
      <c r="AN237" s="111"/>
      <c r="AO237" s="100"/>
      <c r="AP237" s="100"/>
      <c r="AQ237" s="111"/>
      <c r="AR237" s="100"/>
      <c r="AS237" s="100"/>
      <c r="AT237" s="100"/>
    </row>
    <row r="238" spans="1:46" ht="17" thickBot="1">
      <c r="A238" s="85" t="s">
        <v>4</v>
      </c>
      <c r="B238" s="510">
        <f>SUM(J238+K238+L238+M238+N238+S238+V238+W238+X238+AA238+AI238+AJ238+AI238+AM238+AP238+AQ238+AS238+AT238+AU238+AV238)</f>
        <v>0</v>
      </c>
      <c r="C238" s="217">
        <f t="shared" si="108"/>
        <v>0</v>
      </c>
      <c r="D238" s="597">
        <f t="shared" si="110"/>
        <v>0</v>
      </c>
      <c r="E238" s="603">
        <f t="shared" si="109"/>
        <v>0</v>
      </c>
      <c r="F238" s="618">
        <v>0</v>
      </c>
      <c r="G238" s="622">
        <v>0</v>
      </c>
      <c r="H238" s="114"/>
      <c r="I238" s="114"/>
      <c r="J238" s="113"/>
      <c r="K238" s="112"/>
      <c r="L238" s="112"/>
      <c r="M238" s="112"/>
      <c r="N238" s="112"/>
      <c r="O238" s="114"/>
      <c r="P238" s="127"/>
      <c r="Q238" s="127"/>
      <c r="R238" s="114"/>
      <c r="S238" s="113"/>
      <c r="T238" s="120"/>
      <c r="U238" s="120"/>
      <c r="V238" s="116"/>
      <c r="W238" s="116"/>
      <c r="X238" s="116"/>
      <c r="Y238" s="120"/>
      <c r="Z238" s="120"/>
      <c r="AA238" s="116"/>
      <c r="AB238" s="118"/>
      <c r="AC238" s="118"/>
      <c r="AD238" s="118"/>
      <c r="AE238" s="118"/>
      <c r="AF238" s="117"/>
      <c r="AG238" s="118"/>
      <c r="AH238" s="116"/>
      <c r="AI238" s="116"/>
      <c r="AJ238" s="120"/>
      <c r="AK238" s="417"/>
      <c r="AL238" s="116"/>
      <c r="AM238" s="116"/>
      <c r="AN238" s="121"/>
      <c r="AO238" s="116"/>
      <c r="AP238" s="116"/>
      <c r="AQ238" s="121"/>
      <c r="AR238" s="116"/>
      <c r="AS238" s="116"/>
      <c r="AT238" s="116"/>
    </row>
    <row r="239" spans="1:46" ht="21.1">
      <c r="A239" s="82" t="s">
        <v>661</v>
      </c>
      <c r="B239" s="508"/>
      <c r="C239" s="214"/>
      <c r="D239" s="595"/>
      <c r="E239" s="602"/>
      <c r="F239" s="617"/>
      <c r="G239" s="621"/>
      <c r="H239" s="96"/>
      <c r="I239" s="96" t="s">
        <v>375</v>
      </c>
      <c r="J239" s="104"/>
      <c r="K239" s="75"/>
      <c r="L239" s="75"/>
      <c r="M239" s="75"/>
      <c r="N239" s="75"/>
      <c r="O239" s="96"/>
      <c r="P239" s="105"/>
      <c r="Q239" s="105"/>
      <c r="R239" s="96"/>
      <c r="S239" s="104"/>
      <c r="T239" s="110"/>
      <c r="U239" s="110"/>
      <c r="V239" s="100"/>
      <c r="W239" s="100"/>
      <c r="X239" s="100"/>
      <c r="Y239" s="110"/>
      <c r="Z239" s="110"/>
      <c r="AA239" s="100"/>
      <c r="AB239" s="109"/>
      <c r="AC239" s="109" t="s">
        <v>369</v>
      </c>
      <c r="AD239" s="109"/>
      <c r="AE239" s="109"/>
      <c r="AF239" s="108"/>
      <c r="AG239" s="109"/>
      <c r="AH239" s="100"/>
      <c r="AI239" s="100"/>
      <c r="AJ239" s="110"/>
      <c r="AK239" s="416"/>
      <c r="AL239" s="100"/>
      <c r="AM239" s="100"/>
      <c r="AN239" s="111"/>
      <c r="AO239" s="100"/>
      <c r="AP239" s="100"/>
      <c r="AQ239" s="111"/>
      <c r="AR239" s="100"/>
      <c r="AS239" s="100"/>
      <c r="AT239" s="100"/>
    </row>
    <row r="240" spans="1:46" ht="16.3">
      <c r="A240" s="246" t="s">
        <v>1</v>
      </c>
      <c r="B240" s="509">
        <f>SUM(J240+K240+L240+M240+N240+S240+V240+W240+X240+AA240+AI240+AJ240+AI240+AM240+AP240+AQ240+AS240+AT240+AU240+AV240+AN240)</f>
        <v>0</v>
      </c>
      <c r="C240" s="215">
        <f>B240</f>
        <v>0</v>
      </c>
      <c r="D240" s="596">
        <f>SUM(T240+U240+Y240+Z240+AK240+AL240+AO240+AR240)</f>
        <v>0</v>
      </c>
      <c r="E240" s="604">
        <f>D240</f>
        <v>0</v>
      </c>
      <c r="F240" s="626">
        <v>0</v>
      </c>
      <c r="G240" s="627">
        <v>0</v>
      </c>
      <c r="H240" s="96"/>
      <c r="I240" s="96"/>
      <c r="J240" s="104"/>
      <c r="K240" s="75"/>
      <c r="L240" s="75"/>
      <c r="M240" s="75"/>
      <c r="N240" s="75"/>
      <c r="O240" s="96"/>
      <c r="P240" s="105"/>
      <c r="Q240" s="105"/>
      <c r="R240" s="96"/>
      <c r="S240" s="104"/>
      <c r="T240" s="110"/>
      <c r="U240" s="110"/>
      <c r="V240" s="100"/>
      <c r="W240" s="100"/>
      <c r="X240" s="100"/>
      <c r="Y240" s="110"/>
      <c r="Z240" s="110"/>
      <c r="AA240" s="100"/>
      <c r="AB240" s="109"/>
      <c r="AC240" s="109">
        <v>1</v>
      </c>
      <c r="AD240" s="109"/>
      <c r="AE240" s="109"/>
      <c r="AF240" s="108"/>
      <c r="AG240" s="109"/>
      <c r="AH240" s="100"/>
      <c r="AI240" s="100"/>
      <c r="AJ240" s="110"/>
      <c r="AK240" s="416"/>
      <c r="AL240" s="100"/>
      <c r="AM240" s="100"/>
      <c r="AN240" s="111"/>
      <c r="AO240" s="100"/>
      <c r="AP240" s="100"/>
      <c r="AQ240" s="111"/>
      <c r="AR240" s="100"/>
      <c r="AS240" s="100"/>
      <c r="AT240" s="100"/>
    </row>
    <row r="241" spans="1:46" ht="16.3">
      <c r="A241" s="246" t="s">
        <v>2</v>
      </c>
      <c r="B241" s="509">
        <f>SUM(J241+K241+L241+M241+N241+S241+V241+W241+X241+AA241+AI241+AJ241+AI241+AM241+AP241+AQ241+AS241+AT241+AU241+AV241)</f>
        <v>0</v>
      </c>
      <c r="C241" s="215">
        <f t="shared" ref="C241:C244" si="111">B241</f>
        <v>0</v>
      </c>
      <c r="D241" s="596">
        <f>SUM(T241+U241+Y241+Z241+AK241+AL241+AO241+AR241)</f>
        <v>0</v>
      </c>
      <c r="E241" s="604">
        <f t="shared" ref="E241:E244" si="112">D241</f>
        <v>0</v>
      </c>
      <c r="F241" s="626">
        <v>0</v>
      </c>
      <c r="G241" s="627">
        <v>0</v>
      </c>
      <c r="H241" s="96"/>
      <c r="I241" s="96">
        <v>1</v>
      </c>
      <c r="J241" s="104"/>
      <c r="K241" s="75"/>
      <c r="L241" s="75"/>
      <c r="M241" s="75"/>
      <c r="N241" s="75"/>
      <c r="O241" s="96"/>
      <c r="P241" s="105"/>
      <c r="Q241" s="105"/>
      <c r="R241" s="96"/>
      <c r="S241" s="104"/>
      <c r="T241" s="110"/>
      <c r="U241" s="110"/>
      <c r="V241" s="100"/>
      <c r="W241" s="100"/>
      <c r="X241" s="100"/>
      <c r="Y241" s="110"/>
      <c r="Z241" s="110"/>
      <c r="AA241" s="100"/>
      <c r="AB241" s="109"/>
      <c r="AC241" s="109"/>
      <c r="AD241" s="109"/>
      <c r="AE241" s="109"/>
      <c r="AF241" s="108"/>
      <c r="AG241" s="109"/>
      <c r="AH241" s="100"/>
      <c r="AI241" s="100"/>
      <c r="AJ241" s="110"/>
      <c r="AK241" s="416"/>
      <c r="AL241" s="100"/>
      <c r="AM241" s="100"/>
      <c r="AN241" s="111"/>
      <c r="AO241" s="100"/>
      <c r="AP241" s="100"/>
      <c r="AQ241" s="111"/>
      <c r="AR241" s="100"/>
      <c r="AS241" s="100"/>
      <c r="AT241" s="100"/>
    </row>
    <row r="242" spans="1:46" ht="16.3">
      <c r="A242" s="83" t="s">
        <v>363</v>
      </c>
      <c r="B242" s="508">
        <f>SUM(B240+B241)</f>
        <v>0</v>
      </c>
      <c r="C242" s="214">
        <f t="shared" si="111"/>
        <v>0</v>
      </c>
      <c r="D242" s="595">
        <f>SUM(D240+D241)</f>
        <v>0</v>
      </c>
      <c r="E242" s="602">
        <f t="shared" si="112"/>
        <v>0</v>
      </c>
      <c r="F242" s="617">
        <v>0</v>
      </c>
      <c r="G242" s="621">
        <v>0</v>
      </c>
      <c r="H242" s="96"/>
      <c r="I242" s="96"/>
      <c r="J242" s="104"/>
      <c r="K242" s="75"/>
      <c r="L242" s="75"/>
      <c r="M242" s="75"/>
      <c r="N242" s="75"/>
      <c r="O242" s="96"/>
      <c r="P242" s="105"/>
      <c r="Q242" s="105"/>
      <c r="R242" s="96"/>
      <c r="S242" s="104"/>
      <c r="T242" s="110"/>
      <c r="U242" s="110"/>
      <c r="V242" s="100"/>
      <c r="W242" s="100"/>
      <c r="X242" s="100"/>
      <c r="Y242" s="110"/>
      <c r="Z242" s="110"/>
      <c r="AA242" s="100"/>
      <c r="AB242" s="109"/>
      <c r="AC242" s="109"/>
      <c r="AD242" s="109"/>
      <c r="AE242" s="109"/>
      <c r="AF242" s="108"/>
      <c r="AG242" s="109"/>
      <c r="AH242" s="100"/>
      <c r="AI242" s="100"/>
      <c r="AJ242" s="110"/>
      <c r="AK242" s="416"/>
      <c r="AL242" s="100"/>
      <c r="AM242" s="100"/>
      <c r="AN242" s="111"/>
      <c r="AO242" s="100"/>
      <c r="AP242" s="100"/>
      <c r="AQ242" s="111"/>
      <c r="AR242" s="100"/>
      <c r="AS242" s="100"/>
      <c r="AT242" s="100"/>
    </row>
    <row r="243" spans="1:46" ht="16.3">
      <c r="A243" s="83" t="s">
        <v>3</v>
      </c>
      <c r="B243" s="508">
        <f>SUM(J243+K243+L243+M243+N243+S243+V243+W243+X243+AA243+AI243+AJ243+AI243+AM243+AP243+AQ243+AS243+AT243+AU243+AV243)</f>
        <v>0</v>
      </c>
      <c r="C243" s="214">
        <f t="shared" si="111"/>
        <v>0</v>
      </c>
      <c r="D243" s="595">
        <f t="shared" ref="D243:D244" si="113">SUM(T243+U243+Y243+Z243+AK243+AL243+AO243+AR243)</f>
        <v>0</v>
      </c>
      <c r="E243" s="602">
        <f t="shared" si="112"/>
        <v>0</v>
      </c>
      <c r="F243" s="617">
        <v>0</v>
      </c>
      <c r="G243" s="621">
        <v>0</v>
      </c>
      <c r="H243" s="96"/>
      <c r="I243" s="96"/>
      <c r="J243" s="104"/>
      <c r="K243" s="75"/>
      <c r="L243" s="75"/>
      <c r="M243" s="75"/>
      <c r="N243" s="75"/>
      <c r="O243" s="96"/>
      <c r="P243" s="105"/>
      <c r="Q243" s="105"/>
      <c r="R243" s="96"/>
      <c r="S243" s="104"/>
      <c r="T243" s="110"/>
      <c r="U243" s="110"/>
      <c r="V243" s="100"/>
      <c r="W243" s="100"/>
      <c r="X243" s="100"/>
      <c r="Y243" s="110"/>
      <c r="Z243" s="110"/>
      <c r="AA243" s="100"/>
      <c r="AB243" s="109"/>
      <c r="AC243" s="109"/>
      <c r="AD243" s="109"/>
      <c r="AE243" s="109"/>
      <c r="AF243" s="108"/>
      <c r="AG243" s="109"/>
      <c r="AH243" s="100"/>
      <c r="AI243" s="100"/>
      <c r="AJ243" s="110"/>
      <c r="AK243" s="416"/>
      <c r="AL243" s="100"/>
      <c r="AM243" s="100"/>
      <c r="AN243" s="111"/>
      <c r="AO243" s="100"/>
      <c r="AP243" s="100"/>
      <c r="AQ243" s="111"/>
      <c r="AR243" s="100"/>
      <c r="AS243" s="100"/>
      <c r="AT243" s="100"/>
    </row>
    <row r="244" spans="1:46" ht="17" thickBot="1">
      <c r="A244" s="85" t="s">
        <v>4</v>
      </c>
      <c r="B244" s="510">
        <f>SUM(J244+K244+L244+M244+N244+S244+V244+W244+X244+AA244+AI244+AJ244+AI244+AM244+AP244+AQ244+AS244+AT244+AU244+AV244)</f>
        <v>0</v>
      </c>
      <c r="C244" s="217">
        <f t="shared" si="111"/>
        <v>0</v>
      </c>
      <c r="D244" s="597">
        <f t="shared" si="113"/>
        <v>0</v>
      </c>
      <c r="E244" s="603">
        <f t="shared" si="112"/>
        <v>0</v>
      </c>
      <c r="F244" s="618">
        <v>0</v>
      </c>
      <c r="G244" s="622">
        <v>0</v>
      </c>
      <c r="H244" s="114"/>
      <c r="I244" s="114"/>
      <c r="J244" s="113"/>
      <c r="K244" s="112"/>
      <c r="L244" s="112"/>
      <c r="M244" s="112"/>
      <c r="N244" s="112"/>
      <c r="O244" s="114"/>
      <c r="P244" s="127"/>
      <c r="Q244" s="127"/>
      <c r="R244" s="114"/>
      <c r="S244" s="113"/>
      <c r="T244" s="120"/>
      <c r="U244" s="119"/>
      <c r="V244" s="112"/>
      <c r="W244" s="112"/>
      <c r="X244" s="112"/>
      <c r="Y244" s="119"/>
      <c r="Z244" s="119"/>
      <c r="AA244" s="112"/>
      <c r="AB244" s="114"/>
      <c r="AC244" s="109"/>
      <c r="AD244" s="109"/>
      <c r="AE244" s="109"/>
      <c r="AF244" s="108"/>
      <c r="AG244" s="109"/>
      <c r="AH244" s="112"/>
      <c r="AI244" s="112"/>
      <c r="AJ244" s="119"/>
      <c r="AK244" s="423"/>
      <c r="AL244" s="112"/>
      <c r="AM244" s="116"/>
      <c r="AN244" s="130"/>
      <c r="AO244" s="112"/>
      <c r="AP244" s="112"/>
      <c r="AQ244" s="111"/>
      <c r="AR244" s="112"/>
      <c r="AS244" s="112"/>
      <c r="AT244" s="116"/>
    </row>
    <row r="245" spans="1:46" ht="21.1">
      <c r="A245" s="82" t="s">
        <v>601</v>
      </c>
      <c r="B245" s="508"/>
      <c r="C245" s="214"/>
      <c r="D245" s="595"/>
      <c r="E245" s="602"/>
      <c r="F245" s="617"/>
      <c r="G245" s="621"/>
      <c r="H245" s="96" t="s">
        <v>439</v>
      </c>
      <c r="I245" s="96"/>
      <c r="J245" s="104" t="s">
        <v>371</v>
      </c>
      <c r="K245" s="75" t="s">
        <v>375</v>
      </c>
      <c r="L245" s="75" t="s">
        <v>371</v>
      </c>
      <c r="M245" s="75" t="s">
        <v>371</v>
      </c>
      <c r="N245" s="75" t="s">
        <v>371</v>
      </c>
      <c r="O245" s="96"/>
      <c r="P245" s="105"/>
      <c r="Q245" s="105"/>
      <c r="R245" s="96" t="s">
        <v>775</v>
      </c>
      <c r="S245" s="100" t="s">
        <v>371</v>
      </c>
      <c r="T245" s="110"/>
      <c r="U245" s="106" t="s">
        <v>371</v>
      </c>
      <c r="V245" s="75" t="s">
        <v>371</v>
      </c>
      <c r="W245" s="75" t="s">
        <v>371</v>
      </c>
      <c r="X245" s="100" t="s">
        <v>371</v>
      </c>
      <c r="Y245" s="110" t="s">
        <v>375</v>
      </c>
      <c r="Z245" s="106" t="s">
        <v>371</v>
      </c>
      <c r="AA245" s="100" t="s">
        <v>375</v>
      </c>
      <c r="AB245" s="109" t="s">
        <v>816</v>
      </c>
      <c r="AC245" s="99" t="s">
        <v>816</v>
      </c>
      <c r="AD245" s="99"/>
      <c r="AE245" s="99" t="s">
        <v>371</v>
      </c>
      <c r="AF245" s="98"/>
      <c r="AG245" s="99" t="s">
        <v>371</v>
      </c>
      <c r="AH245" s="75"/>
      <c r="AI245" s="75"/>
      <c r="AJ245" s="110"/>
      <c r="AK245" s="416"/>
      <c r="AL245" s="75"/>
      <c r="AM245" s="75"/>
      <c r="AN245" s="427"/>
      <c r="AO245" s="75"/>
      <c r="AP245" s="75"/>
      <c r="AQ245" s="103"/>
      <c r="AR245" s="75"/>
      <c r="AS245" s="75"/>
      <c r="AT245" s="75"/>
    </row>
    <row r="246" spans="1:46" ht="16.3">
      <c r="A246" s="246" t="s">
        <v>1</v>
      </c>
      <c r="B246" s="509">
        <f>SUM(J246+K246+L246+M246+N246+S246+V246+W246+X246+AA246+AI246+AJ246+AI246+AM246+AP246+AQ246+AS246+AT246+AU246+AV246+AN246)</f>
        <v>8</v>
      </c>
      <c r="C246" s="215">
        <f>SUM(J246+K246+L246+M246+N246+S246+W246+X246+V246+AA246+AJ246+AI246+AJ246+AN246+AQ246+AM246+AT246+AU246+AV246+AW246+AP246+AS246)+48</f>
        <v>56</v>
      </c>
      <c r="D246" s="596">
        <f>SUM(T246+U246+Y246+Z246+AK246+AL246+AO246+AR246)</f>
        <v>2</v>
      </c>
      <c r="E246" s="604">
        <f>SUM(U246+T246+Z246+Y246+AL246+AK246+AO246+AR246)</f>
        <v>2</v>
      </c>
      <c r="F246" s="626">
        <v>0</v>
      </c>
      <c r="G246" s="627">
        <v>4</v>
      </c>
      <c r="H246" s="96">
        <v>1</v>
      </c>
      <c r="I246" s="96"/>
      <c r="J246" s="104">
        <v>1</v>
      </c>
      <c r="K246" s="75"/>
      <c r="L246" s="75">
        <v>1</v>
      </c>
      <c r="M246" s="75">
        <v>1</v>
      </c>
      <c r="N246" s="75">
        <v>1</v>
      </c>
      <c r="O246" s="96"/>
      <c r="P246" s="105"/>
      <c r="Q246" s="105"/>
      <c r="R246" s="96"/>
      <c r="S246" s="104">
        <v>1</v>
      </c>
      <c r="T246" s="110"/>
      <c r="U246" s="106">
        <v>1</v>
      </c>
      <c r="V246" s="75">
        <v>1</v>
      </c>
      <c r="W246" s="75">
        <v>1</v>
      </c>
      <c r="X246" s="100">
        <v>1</v>
      </c>
      <c r="Y246" s="110"/>
      <c r="Z246" s="106">
        <v>1</v>
      </c>
      <c r="AA246" s="100"/>
      <c r="AB246" s="109"/>
      <c r="AC246" s="109"/>
      <c r="AD246" s="109"/>
      <c r="AE246" s="109">
        <v>1</v>
      </c>
      <c r="AF246" s="108"/>
      <c r="AG246" s="109">
        <v>1</v>
      </c>
      <c r="AH246" s="75"/>
      <c r="AI246" s="75"/>
      <c r="AJ246" s="110"/>
      <c r="AK246" s="416"/>
      <c r="AL246" s="75"/>
      <c r="AM246" s="75"/>
      <c r="AN246" s="111"/>
      <c r="AO246" s="75"/>
      <c r="AP246" s="75"/>
      <c r="AQ246" s="111"/>
      <c r="AR246" s="75"/>
      <c r="AS246" s="75"/>
      <c r="AT246" s="75"/>
    </row>
    <row r="247" spans="1:46" ht="16.3">
      <c r="A247" s="246" t="s">
        <v>2</v>
      </c>
      <c r="B247" s="509">
        <f>SUM(J247+K247+L247+M247+N247+S247+V247+W247+X247+AA247+AI247+AJ247+AI247+AM247+AP247+AQ247+AS247+AT247+AU247+AV247)</f>
        <v>2</v>
      </c>
      <c r="C247" s="215">
        <f>SUM(J247+K247+L247+M247+N247+S247+W247+X247+V247+AA247+AJ247+AI247+AJ247+AN247+AQ247+AM247+AT247+AU247+AV247+AW247+AP247+AS247)+38</f>
        <v>40</v>
      </c>
      <c r="D247" s="596">
        <f>SUM(T247+U247+Y247+Z247+AK247+AL247+AO247+AR247)</f>
        <v>1</v>
      </c>
      <c r="E247" s="604">
        <f>SUM(U247+T247+Z247+Y247+AL247+AK247+AO247+AR247)</f>
        <v>1</v>
      </c>
      <c r="F247" s="626">
        <v>0</v>
      </c>
      <c r="G247" s="627">
        <v>3</v>
      </c>
      <c r="H247" s="96"/>
      <c r="I247" s="96"/>
      <c r="J247" s="104"/>
      <c r="K247" s="75">
        <v>1</v>
      </c>
      <c r="L247" s="75"/>
      <c r="M247" s="75"/>
      <c r="N247" s="75"/>
      <c r="O247" s="96"/>
      <c r="P247" s="105"/>
      <c r="Q247" s="105"/>
      <c r="R247" s="96"/>
      <c r="S247" s="104"/>
      <c r="T247" s="110"/>
      <c r="U247" s="110"/>
      <c r="V247" s="100"/>
      <c r="W247" s="100"/>
      <c r="X247" s="100"/>
      <c r="Y247" s="110">
        <v>1</v>
      </c>
      <c r="Z247" s="110"/>
      <c r="AA247" s="100">
        <v>1</v>
      </c>
      <c r="AB247" s="109"/>
      <c r="AC247" s="109"/>
      <c r="AD247" s="109"/>
      <c r="AE247" s="109"/>
      <c r="AF247" s="108"/>
      <c r="AG247" s="109"/>
      <c r="AH247" s="100"/>
      <c r="AI247" s="100"/>
      <c r="AJ247" s="110"/>
      <c r="AK247" s="416"/>
      <c r="AL247" s="100"/>
      <c r="AM247" s="100"/>
      <c r="AN247" s="111"/>
      <c r="AO247" s="100"/>
      <c r="AP247" s="100"/>
      <c r="AQ247" s="111"/>
      <c r="AR247" s="100"/>
      <c r="AS247" s="100"/>
      <c r="AT247" s="100"/>
    </row>
    <row r="248" spans="1:46" ht="16.3">
      <c r="A248" s="83" t="s">
        <v>363</v>
      </c>
      <c r="B248" s="508">
        <f>SUM(B246+B247)</f>
        <v>10</v>
      </c>
      <c r="C248" s="214">
        <f>SUM(C246+C247)</f>
        <v>96</v>
      </c>
      <c r="D248" s="595">
        <f>SUM(D246+D247)</f>
        <v>3</v>
      </c>
      <c r="E248" s="602">
        <f>SUM(E246+E247)</f>
        <v>3</v>
      </c>
      <c r="F248" s="617">
        <v>0</v>
      </c>
      <c r="G248" s="621">
        <f>SUM(G246+G247)</f>
        <v>7</v>
      </c>
      <c r="H248" s="96"/>
      <c r="I248" s="96"/>
      <c r="J248" s="104"/>
      <c r="K248" s="75"/>
      <c r="L248" s="75"/>
      <c r="M248" s="75"/>
      <c r="N248" s="75"/>
      <c r="O248" s="96"/>
      <c r="P248" s="105"/>
      <c r="Q248" s="105"/>
      <c r="R248" s="96"/>
      <c r="S248" s="104"/>
      <c r="T248" s="110"/>
      <c r="U248" s="110"/>
      <c r="V248" s="100"/>
      <c r="W248" s="100"/>
      <c r="X248" s="100"/>
      <c r="Y248" s="110"/>
      <c r="Z248" s="110"/>
      <c r="AA248" s="100"/>
      <c r="AB248" s="109"/>
      <c r="AC248" s="109"/>
      <c r="AD248" s="109"/>
      <c r="AE248" s="109"/>
      <c r="AF248" s="108"/>
      <c r="AG248" s="109"/>
      <c r="AH248" s="100"/>
      <c r="AI248" s="100"/>
      <c r="AJ248" s="110"/>
      <c r="AK248" s="416"/>
      <c r="AL248" s="100"/>
      <c r="AM248" s="100"/>
      <c r="AN248" s="111"/>
      <c r="AO248" s="100"/>
      <c r="AP248" s="100"/>
      <c r="AQ248" s="111"/>
      <c r="AR248" s="100"/>
      <c r="AS248" s="100"/>
      <c r="AT248" s="100"/>
    </row>
    <row r="249" spans="1:46" ht="16.3">
      <c r="A249" s="246" t="s">
        <v>366</v>
      </c>
      <c r="B249" s="509">
        <f>SUM(J249+K249+L249+M249+N249+S249+V249+W249+X249+AA249+AI249+AJ249+AI249+AM249+AP249+AQ249+AS249+AT249+AU249+AV249)</f>
        <v>0</v>
      </c>
      <c r="C249" s="215">
        <f>SUM(J249+K249+L249+M249+N249+S249+W249+X249+V249+AA249+AJ249+AI249+AJ249+AN249+AQ249+AM249+AT249+AU249+AV249+AW249+AP249+AS249)+1</f>
        <v>1</v>
      </c>
      <c r="D249" s="596">
        <f t="shared" ref="D249:D252" si="114">SUM(T249+U249+Y249+Z249+AK249+AL249+AO249+AR249)</f>
        <v>0</v>
      </c>
      <c r="E249" s="604">
        <f>SUM(U249+T249+Z249+Y249+AL249+AK249+AO249+AR249)</f>
        <v>0</v>
      </c>
      <c r="F249" s="626">
        <v>0</v>
      </c>
      <c r="G249" s="627">
        <v>0</v>
      </c>
      <c r="H249" s="96"/>
      <c r="I249" s="96"/>
      <c r="J249" s="104"/>
      <c r="K249" s="75"/>
      <c r="L249" s="75"/>
      <c r="M249" s="75"/>
      <c r="N249" s="75"/>
      <c r="O249" s="96"/>
      <c r="P249" s="105"/>
      <c r="Q249" s="105"/>
      <c r="R249" s="96"/>
      <c r="S249" s="104"/>
      <c r="T249" s="110"/>
      <c r="U249" s="110"/>
      <c r="V249" s="100"/>
      <c r="W249" s="100"/>
      <c r="X249" s="100"/>
      <c r="Y249" s="110"/>
      <c r="Z249" s="110"/>
      <c r="AA249" s="100"/>
      <c r="AB249" s="109"/>
      <c r="AC249" s="109"/>
      <c r="AD249" s="109"/>
      <c r="AE249" s="109"/>
      <c r="AF249" s="108"/>
      <c r="AG249" s="109"/>
      <c r="AH249" s="100"/>
      <c r="AI249" s="100"/>
      <c r="AJ249" s="110"/>
      <c r="AK249" s="416"/>
      <c r="AL249" s="100"/>
      <c r="AM249" s="100"/>
      <c r="AN249" s="111"/>
      <c r="AO249" s="100"/>
      <c r="AP249" s="100"/>
      <c r="AQ249" s="111"/>
      <c r="AR249" s="100"/>
      <c r="AS249" s="100"/>
      <c r="AT249" s="100"/>
    </row>
    <row r="250" spans="1:46" ht="16.3">
      <c r="A250" s="246" t="s">
        <v>362</v>
      </c>
      <c r="B250" s="509">
        <f>SUM(J250+K250+L250+M250+N250+S250+V250+W250+X250+AA250+AI250+AJ250+AI250+AM250+AP250+AQ250+AS250+AT250+AU250+AV250+AN250)</f>
        <v>0</v>
      </c>
      <c r="C250" s="215">
        <f>SUM(J250+K250+L250+M250+N250+S250+W250+X250+V250+AA250+AJ250+AI250+AJ250+AN250+AQ250+AM250+AT250+AU250+AV250+AW250+AP250+AS250)+2</f>
        <v>2</v>
      </c>
      <c r="D250" s="596">
        <f t="shared" si="114"/>
        <v>0</v>
      </c>
      <c r="E250" s="604">
        <f>SUM(U250+T250+Z250+Y250+AL250+AK250+AO250+AR250)</f>
        <v>0</v>
      </c>
      <c r="F250" s="626">
        <v>0</v>
      </c>
      <c r="G250" s="627">
        <v>1</v>
      </c>
      <c r="H250" s="96"/>
      <c r="I250" s="96"/>
      <c r="J250" s="104"/>
      <c r="K250" s="75"/>
      <c r="L250" s="75"/>
      <c r="M250" s="75"/>
      <c r="N250" s="75"/>
      <c r="O250" s="96"/>
      <c r="P250" s="105"/>
      <c r="Q250" s="105"/>
      <c r="R250" s="96"/>
      <c r="S250" s="104"/>
      <c r="T250" s="110"/>
      <c r="U250" s="110"/>
      <c r="V250" s="100"/>
      <c r="W250" s="100"/>
      <c r="X250" s="100"/>
      <c r="Y250" s="110"/>
      <c r="Z250" s="110"/>
      <c r="AA250" s="100"/>
      <c r="AB250" s="109"/>
      <c r="AC250" s="109"/>
      <c r="AD250" s="109"/>
      <c r="AE250" s="109"/>
      <c r="AF250" s="108"/>
      <c r="AG250" s="109"/>
      <c r="AH250" s="100"/>
      <c r="AI250" s="100"/>
      <c r="AJ250" s="110"/>
      <c r="AK250" s="416"/>
      <c r="AL250" s="100"/>
      <c r="AM250" s="100"/>
      <c r="AN250" s="111"/>
      <c r="AO250" s="100"/>
      <c r="AP250" s="100"/>
      <c r="AQ250" s="111"/>
      <c r="AR250" s="100"/>
      <c r="AS250" s="100"/>
      <c r="AT250" s="100"/>
    </row>
    <row r="251" spans="1:46" ht="16.3">
      <c r="A251" s="83" t="s">
        <v>3</v>
      </c>
      <c r="B251" s="508">
        <f>SUM(J251+K251+L251+M251+N251+S251+V251+W251+X251+AA251+AI251+AJ251+AI251+AM251+AP251+AQ251+AS251+AT251+AU251+AV251)</f>
        <v>1</v>
      </c>
      <c r="C251" s="214">
        <f>SUM(J251+K251+L251+M251+N251+S251+W251+X251+V251+AA251+AJ251+AI251+AJ251+AN251+AQ251+AM251+AT251+AU251+AV251+AW251+AP251+AS251)+23</f>
        <v>24</v>
      </c>
      <c r="D251" s="595">
        <f t="shared" si="114"/>
        <v>1</v>
      </c>
      <c r="E251" s="602">
        <f>SUM(U251+T251+Z251+Y251+AL251+AK251+AO251+AR251)</f>
        <v>1</v>
      </c>
      <c r="F251" s="617">
        <v>0</v>
      </c>
      <c r="G251" s="621">
        <v>0</v>
      </c>
      <c r="H251" s="96">
        <v>2</v>
      </c>
      <c r="I251" s="96"/>
      <c r="J251" s="104"/>
      <c r="K251" s="75"/>
      <c r="L251" s="75"/>
      <c r="M251" s="75"/>
      <c r="N251" s="75"/>
      <c r="O251" s="96"/>
      <c r="P251" s="105"/>
      <c r="Q251" s="105"/>
      <c r="R251" s="96"/>
      <c r="S251" s="104"/>
      <c r="T251" s="110"/>
      <c r="U251" s="110"/>
      <c r="V251" s="100"/>
      <c r="W251" s="100"/>
      <c r="X251" s="100"/>
      <c r="Y251" s="110"/>
      <c r="Z251" s="110">
        <v>1</v>
      </c>
      <c r="AA251" s="100">
        <v>1</v>
      </c>
      <c r="AB251" s="109"/>
      <c r="AC251" s="109"/>
      <c r="AD251" s="109"/>
      <c r="AE251" s="109">
        <v>1</v>
      </c>
      <c r="AF251" s="108"/>
      <c r="AG251" s="109"/>
      <c r="AH251" s="100"/>
      <c r="AI251" s="100"/>
      <c r="AJ251" s="110"/>
      <c r="AK251" s="416"/>
      <c r="AL251" s="100"/>
      <c r="AM251" s="100"/>
      <c r="AN251" s="111"/>
      <c r="AO251" s="100"/>
      <c r="AP251" s="100"/>
      <c r="AQ251" s="111"/>
      <c r="AR251" s="100"/>
      <c r="AS251" s="100"/>
      <c r="AT251" s="100"/>
    </row>
    <row r="252" spans="1:46" ht="17" thickBot="1">
      <c r="A252" s="85" t="s">
        <v>4</v>
      </c>
      <c r="B252" s="510">
        <f>SUM(J252+K252+L252+M252+N252+S252+V252+W252+X252+AA252+AI252+AJ252+AI252+AM252+AP252+AQ252+AS252+AT252+AU252+AV252+AN252)</f>
        <v>5</v>
      </c>
      <c r="C252" s="217">
        <f>SUM(J252+K252+L252+M252+N252+S252+W252+X252+V252+AA252+AJ252+AI252+AJ252+AN252+AQ252+AM252+AT252+AU252+AV252+AW252+AP252+AS252)+115</f>
        <v>120</v>
      </c>
      <c r="D252" s="597">
        <f t="shared" si="114"/>
        <v>5</v>
      </c>
      <c r="E252" s="603">
        <f>SUM(U252+T252+Z252+Y252+AL252+AK252+AO252+AR252)</f>
        <v>5</v>
      </c>
      <c r="F252" s="618">
        <v>0</v>
      </c>
      <c r="G252" s="622">
        <v>0</v>
      </c>
      <c r="H252" s="114">
        <v>10</v>
      </c>
      <c r="I252" s="114"/>
      <c r="J252" s="113"/>
      <c r="K252" s="112"/>
      <c r="L252" s="112"/>
      <c r="M252" s="112"/>
      <c r="N252" s="112"/>
      <c r="O252" s="114"/>
      <c r="P252" s="127"/>
      <c r="Q252" s="127"/>
      <c r="R252" s="114"/>
      <c r="S252" s="113"/>
      <c r="T252" s="120"/>
      <c r="U252" s="119"/>
      <c r="V252" s="116"/>
      <c r="W252" s="116"/>
      <c r="X252" s="116"/>
      <c r="Y252" s="120"/>
      <c r="Z252" s="120">
        <v>5</v>
      </c>
      <c r="AA252" s="116">
        <v>5</v>
      </c>
      <c r="AB252" s="118"/>
      <c r="AC252" s="118"/>
      <c r="AD252" s="118"/>
      <c r="AE252" s="118">
        <v>5</v>
      </c>
      <c r="AF252" s="117"/>
      <c r="AG252" s="118"/>
      <c r="AH252" s="116"/>
      <c r="AI252" s="116"/>
      <c r="AJ252" s="120"/>
      <c r="AK252" s="417"/>
      <c r="AL252" s="116"/>
      <c r="AM252" s="116"/>
      <c r="AN252" s="121"/>
      <c r="AO252" s="116"/>
      <c r="AP252" s="116"/>
      <c r="AQ252" s="121"/>
      <c r="AR252" s="116"/>
      <c r="AS252" s="116"/>
      <c r="AT252" s="116"/>
    </row>
    <row r="253" spans="1:46" ht="21.1">
      <c r="A253" s="82" t="s">
        <v>20</v>
      </c>
      <c r="B253" s="508"/>
      <c r="C253" s="214"/>
      <c r="D253" s="595"/>
      <c r="E253" s="602"/>
      <c r="F253" s="617"/>
      <c r="G253" s="621"/>
      <c r="H253" s="96"/>
      <c r="I253" s="96" t="s">
        <v>654</v>
      </c>
      <c r="J253" s="104" t="s">
        <v>375</v>
      </c>
      <c r="K253" s="75" t="s">
        <v>371</v>
      </c>
      <c r="L253" s="75" t="s">
        <v>375</v>
      </c>
      <c r="M253" s="75" t="s">
        <v>375</v>
      </c>
      <c r="N253" s="75" t="s">
        <v>375</v>
      </c>
      <c r="O253" s="96"/>
      <c r="P253" s="105"/>
      <c r="Q253" s="105"/>
      <c r="R253" s="96" t="s">
        <v>654</v>
      </c>
      <c r="S253" s="104" t="s">
        <v>375</v>
      </c>
      <c r="T253" s="110" t="s">
        <v>851</v>
      </c>
      <c r="U253" s="110"/>
      <c r="V253" s="102" t="s">
        <v>441</v>
      </c>
      <c r="W253" s="102" t="s">
        <v>703</v>
      </c>
      <c r="X253" s="102" t="s">
        <v>375</v>
      </c>
      <c r="Y253" s="101" t="s">
        <v>371</v>
      </c>
      <c r="Z253" s="101"/>
      <c r="AA253" s="102" t="s">
        <v>371</v>
      </c>
      <c r="AB253" s="99" t="s">
        <v>375</v>
      </c>
      <c r="AC253" s="99" t="s">
        <v>375</v>
      </c>
      <c r="AD253" s="99" t="s">
        <v>375</v>
      </c>
      <c r="AE253" s="99"/>
      <c r="AF253" s="98"/>
      <c r="AG253" s="99"/>
      <c r="AH253" s="102"/>
      <c r="AI253" s="102"/>
      <c r="AJ253" s="101"/>
      <c r="AK253" s="414"/>
      <c r="AL253" s="102"/>
      <c r="AM253" s="102"/>
      <c r="AN253" s="103"/>
      <c r="AO253" s="102"/>
      <c r="AP253" s="102"/>
      <c r="AQ253" s="103"/>
      <c r="AR253" s="102"/>
      <c r="AS253" s="102"/>
      <c r="AT253" s="102"/>
    </row>
    <row r="254" spans="1:46" ht="16.3">
      <c r="A254" s="246" t="s">
        <v>1</v>
      </c>
      <c r="B254" s="509">
        <f>SUM(J254+K254+L254+M254+N254+S254+V254+W254+X254+AA254+AI254+AJ254+AI254+AM254+AP254+AQ254+AS254+AT254+AU254+AV254+AN254)+26</f>
        <v>28</v>
      </c>
      <c r="C254" s="215">
        <f>SUM(J254+K254+L254+M254+N254+S254+W254+X254+V254+AA254+AJ254+AI254+AJ254+AN254+AQ254+AM254+AT254+AU254+AV254+AW254+AP254+AS254)+26</f>
        <v>28</v>
      </c>
      <c r="D254" s="596">
        <f>SUM(T254+U254+Y254+Z254+AK254+AL254+AO254+AR254)+4</f>
        <v>6</v>
      </c>
      <c r="E254" s="604">
        <f>SUM(U254+T254+Z254+Y254+AL254+AK254+AO254+AR254)+6</f>
        <v>8</v>
      </c>
      <c r="F254" s="626">
        <v>4</v>
      </c>
      <c r="G254" s="627">
        <f t="shared" ref="G254:G260" si="115">F254</f>
        <v>4</v>
      </c>
      <c r="H254" s="96"/>
      <c r="I254" s="96">
        <v>1</v>
      </c>
      <c r="J254" s="104"/>
      <c r="K254" s="75">
        <v>1</v>
      </c>
      <c r="L254" s="75"/>
      <c r="M254" s="75"/>
      <c r="N254" s="75"/>
      <c r="O254" s="96"/>
      <c r="P254" s="105"/>
      <c r="Q254" s="105"/>
      <c r="R254" s="96">
        <v>1</v>
      </c>
      <c r="S254" s="104"/>
      <c r="T254" s="110">
        <v>1</v>
      </c>
      <c r="U254" s="110"/>
      <c r="V254" s="100"/>
      <c r="W254" s="100"/>
      <c r="X254" s="100"/>
      <c r="Y254" s="110">
        <v>1</v>
      </c>
      <c r="Z254" s="110"/>
      <c r="AA254" s="100">
        <v>1</v>
      </c>
      <c r="AB254" s="109"/>
      <c r="AC254" s="109"/>
      <c r="AD254" s="109"/>
      <c r="AE254" s="109"/>
      <c r="AF254" s="108"/>
      <c r="AG254" s="109"/>
      <c r="AH254" s="100"/>
      <c r="AI254" s="100"/>
      <c r="AJ254" s="110"/>
      <c r="AK254" s="416"/>
      <c r="AL254" s="100"/>
      <c r="AM254" s="100"/>
      <c r="AN254" s="111"/>
      <c r="AO254" s="100"/>
      <c r="AP254" s="100"/>
      <c r="AQ254" s="111"/>
      <c r="AR254" s="100"/>
      <c r="AS254" s="100"/>
      <c r="AT254" s="100"/>
    </row>
    <row r="255" spans="1:46" ht="16.3">
      <c r="A255" s="246" t="s">
        <v>2</v>
      </c>
      <c r="B255" s="509">
        <f>SUM(J255+K255+L255+M255+N255+S255+V255+W255+X255+AA255+AI255+AJ255+AI255+AM255+AP255+AQ255+AS255+AT255+AU255+AV255)+64</f>
        <v>71</v>
      </c>
      <c r="C255" s="215">
        <f>SUM(J255+K255+L255+M255+N255+S255+W255+X255+V255+AA255+AJ255+AI255+AJ255+AN255+AQ255+AM255+AT255+AU255+AV255+AW255+AP255+AS255)+77</f>
        <v>84</v>
      </c>
      <c r="D255" s="596">
        <f>SUM(T255+U255+Y255+Z255+AK255+AL255+AO255+AR255)+11</f>
        <v>11</v>
      </c>
      <c r="E255" s="604">
        <f>SUM(U255+V255+Z255+AA255+AL255+AM255+AP255+AS255)+13</f>
        <v>14</v>
      </c>
      <c r="F255" s="626">
        <v>5</v>
      </c>
      <c r="G255" s="627">
        <f t="shared" si="115"/>
        <v>5</v>
      </c>
      <c r="H255" s="96"/>
      <c r="I255" s="96"/>
      <c r="J255" s="104">
        <v>1</v>
      </c>
      <c r="K255" s="75"/>
      <c r="L255" s="75">
        <v>1</v>
      </c>
      <c r="M255" s="75">
        <v>1</v>
      </c>
      <c r="N255" s="75">
        <v>1</v>
      </c>
      <c r="O255" s="96"/>
      <c r="P255" s="105"/>
      <c r="Q255" s="105"/>
      <c r="R255" s="96"/>
      <c r="S255" s="104">
        <v>1</v>
      </c>
      <c r="T255" s="110"/>
      <c r="U255" s="110"/>
      <c r="V255" s="100">
        <v>1</v>
      </c>
      <c r="W255" s="100"/>
      <c r="X255" s="100">
        <v>1</v>
      </c>
      <c r="Y255" s="110"/>
      <c r="Z255" s="110"/>
      <c r="AA255" s="100"/>
      <c r="AB255" s="109">
        <v>1</v>
      </c>
      <c r="AC255" s="109">
        <v>1</v>
      </c>
      <c r="AD255" s="109">
        <v>1</v>
      </c>
      <c r="AE255" s="109"/>
      <c r="AF255" s="108"/>
      <c r="AG255" s="109"/>
      <c r="AH255" s="100"/>
      <c r="AI255" s="100"/>
      <c r="AJ255" s="110"/>
      <c r="AK255" s="416"/>
      <c r="AL255" s="100"/>
      <c r="AM255" s="100"/>
      <c r="AN255" s="111"/>
      <c r="AO255" s="100"/>
      <c r="AP255" s="100"/>
      <c r="AQ255" s="111"/>
      <c r="AR255" s="100"/>
      <c r="AS255" s="100"/>
      <c r="AT255" s="100"/>
    </row>
    <row r="256" spans="1:46" ht="16.3">
      <c r="A256" s="83" t="s">
        <v>363</v>
      </c>
      <c r="B256" s="508">
        <f>SUM(B254+B255)</f>
        <v>99</v>
      </c>
      <c r="C256" s="214">
        <f>SUM(C254+C255)</f>
        <v>112</v>
      </c>
      <c r="D256" s="595">
        <f>SUM(D254+D255)</f>
        <v>17</v>
      </c>
      <c r="E256" s="602">
        <f>SUM(E254+E255)</f>
        <v>22</v>
      </c>
      <c r="F256" s="617">
        <f>SUM(F254+F255)</f>
        <v>9</v>
      </c>
      <c r="G256" s="621">
        <f t="shared" si="115"/>
        <v>9</v>
      </c>
      <c r="H256" s="96"/>
      <c r="I256" s="96"/>
      <c r="J256" s="104"/>
      <c r="K256" s="75"/>
      <c r="L256" s="75"/>
      <c r="M256" s="75"/>
      <c r="N256" s="75"/>
      <c r="O256" s="96"/>
      <c r="P256" s="105"/>
      <c r="Q256" s="105"/>
      <c r="R256" s="96"/>
      <c r="S256" s="104"/>
      <c r="T256" s="110"/>
      <c r="U256" s="110"/>
      <c r="V256" s="100"/>
      <c r="W256" s="100"/>
      <c r="X256" s="100"/>
      <c r="Y256" s="110"/>
      <c r="Z256" s="110"/>
      <c r="AA256" s="100"/>
      <c r="AB256" s="109"/>
      <c r="AC256" s="109"/>
      <c r="AD256" s="109"/>
      <c r="AE256" s="109"/>
      <c r="AF256" s="108"/>
      <c r="AG256" s="109"/>
      <c r="AH256" s="100"/>
      <c r="AI256" s="100"/>
      <c r="AJ256" s="110"/>
      <c r="AK256" s="416"/>
      <c r="AL256" s="100"/>
      <c r="AM256" s="100"/>
      <c r="AN256" s="111"/>
      <c r="AO256" s="100"/>
      <c r="AP256" s="100"/>
      <c r="AQ256" s="111"/>
      <c r="AR256" s="100"/>
      <c r="AS256" s="100"/>
      <c r="AT256" s="100"/>
    </row>
    <row r="257" spans="1:46" ht="16.3">
      <c r="A257" s="246" t="s">
        <v>366</v>
      </c>
      <c r="B257" s="509">
        <f>SUM(J257+K257+L257+M257+N257+S257+V257+W257+X257+AA257+AI257+AJ257+AI257+AM257+AP257+AQ257+AS257+AT257+AU257+AV257)</f>
        <v>0</v>
      </c>
      <c r="C257" s="215">
        <f>SUM(J257+K257+L257+M257+N257+S257+W257+X257+V257+AA257+AJ257+AI257+AJ257+AN257+AQ257+AM257+AT257+AU257+AV257+AW257+AP257+AS257)</f>
        <v>0</v>
      </c>
      <c r="D257" s="596">
        <f>SUM(T257+U257+Y257+Z257+AK257+AL257+AO257+AR257)</f>
        <v>1</v>
      </c>
      <c r="E257" s="604">
        <f>SUM(U257+T257+Z257+Y257+AL257+AK257+AO257+AR257)</f>
        <v>1</v>
      </c>
      <c r="F257" s="626">
        <v>0</v>
      </c>
      <c r="G257" s="627">
        <f t="shared" si="115"/>
        <v>0</v>
      </c>
      <c r="H257" s="96"/>
      <c r="I257" s="96">
        <v>1</v>
      </c>
      <c r="J257" s="104"/>
      <c r="K257" s="75"/>
      <c r="L257" s="75"/>
      <c r="M257" s="75"/>
      <c r="N257" s="75"/>
      <c r="O257" s="96"/>
      <c r="P257" s="105"/>
      <c r="Q257" s="105"/>
      <c r="R257" s="96">
        <v>1</v>
      </c>
      <c r="S257" s="104"/>
      <c r="T257" s="110">
        <v>1</v>
      </c>
      <c r="U257" s="110"/>
      <c r="V257" s="100"/>
      <c r="W257" s="100"/>
      <c r="X257" s="100"/>
      <c r="Y257" s="110"/>
      <c r="Z257" s="110"/>
      <c r="AA257" s="100"/>
      <c r="AB257" s="109"/>
      <c r="AC257" s="109"/>
      <c r="AD257" s="109"/>
      <c r="AE257" s="109"/>
      <c r="AF257" s="108"/>
      <c r="AG257" s="109"/>
      <c r="AH257" s="100"/>
      <c r="AI257" s="100"/>
      <c r="AJ257" s="110"/>
      <c r="AK257" s="416"/>
      <c r="AL257" s="100"/>
      <c r="AM257" s="100"/>
      <c r="AN257" s="111"/>
      <c r="AO257" s="100"/>
      <c r="AP257" s="100"/>
      <c r="AQ257" s="111"/>
      <c r="AR257" s="100"/>
      <c r="AS257" s="100"/>
      <c r="AT257" s="100"/>
    </row>
    <row r="258" spans="1:46" ht="16.3">
      <c r="A258" s="246" t="s">
        <v>362</v>
      </c>
      <c r="B258" s="509">
        <f>SUM(J258+K258+L258+M258+N258+S258+V258+W258+X258+AA258+AI258+AJ258+AI258+AM258+AP258+AQ258+AS258+AT258+AU258+AV258+AN258)+2</f>
        <v>3</v>
      </c>
      <c r="C258" s="215">
        <f>SUM(J258+K258+L258+M258+N258+S258+W258+X258+V258+AA258+AJ258+AI258+AJ258+AN258+AQ258+AM258+AT258+AU258+AV258+AW258+AP258+AS258)+2</f>
        <v>3</v>
      </c>
      <c r="D258" s="596">
        <f>SUM(T258+U258+Y258+Z258+AK258+AL258+AO258+AR258)+1</f>
        <v>1</v>
      </c>
      <c r="E258" s="604">
        <f>SUM(U258+T258+Z258+Y258+AL258+AK258+AO258+AR258)+1</f>
        <v>1</v>
      </c>
      <c r="F258" s="626">
        <v>1</v>
      </c>
      <c r="G258" s="627">
        <f t="shared" si="115"/>
        <v>1</v>
      </c>
      <c r="H258" s="96"/>
      <c r="I258" s="96"/>
      <c r="J258" s="104"/>
      <c r="K258" s="75"/>
      <c r="L258" s="75"/>
      <c r="M258" s="75"/>
      <c r="N258" s="75"/>
      <c r="O258" s="96"/>
      <c r="P258" s="105"/>
      <c r="Q258" s="105"/>
      <c r="R258" s="96"/>
      <c r="S258" s="104"/>
      <c r="T258" s="110"/>
      <c r="U258" s="110"/>
      <c r="V258" s="100">
        <v>1</v>
      </c>
      <c r="W258" s="100"/>
      <c r="X258" s="100"/>
      <c r="Y258" s="110"/>
      <c r="Z258" s="110"/>
      <c r="AA258" s="100"/>
      <c r="AB258" s="109"/>
      <c r="AC258" s="109"/>
      <c r="AD258" s="109"/>
      <c r="AE258" s="109"/>
      <c r="AF258" s="108"/>
      <c r="AG258" s="109"/>
      <c r="AH258" s="100"/>
      <c r="AI258" s="100"/>
      <c r="AJ258" s="110"/>
      <c r="AK258" s="416"/>
      <c r="AL258" s="100"/>
      <c r="AM258" s="100"/>
      <c r="AN258" s="111"/>
      <c r="AO258" s="100"/>
      <c r="AP258" s="100"/>
      <c r="AQ258" s="111"/>
      <c r="AR258" s="100"/>
      <c r="AS258" s="100"/>
      <c r="AT258" s="100"/>
    </row>
    <row r="259" spans="1:46" ht="16.3">
      <c r="A259" s="83" t="s">
        <v>3</v>
      </c>
      <c r="B259" s="508">
        <f>SUM(J259+K259+L259+M259+N259+S259+V259+W259+X259+AA259+AI259+AJ259+AI259+AM259+AP259+AQ259+AS259+AT259+AU259+AV259)+8</f>
        <v>8</v>
      </c>
      <c r="C259" s="214">
        <f>SUM(J259+K259+L259+M259+N259+S259+W259+X259+V259+AA259+AJ259+AI259+AJ259+AN259+AQ259+AM259+AT259+AU259+AV259+AW259+AP259+AS259)+8</f>
        <v>8</v>
      </c>
      <c r="D259" s="595">
        <f>SUM(T259+U259+Y259+Z259+AK259+AL259+AO259+AR259)+3</f>
        <v>3</v>
      </c>
      <c r="E259" s="602">
        <f>SUM(U259+T259+Z259+Y259+AL259+AK259+AO259+AR259)+3</f>
        <v>3</v>
      </c>
      <c r="F259" s="617">
        <v>2</v>
      </c>
      <c r="G259" s="621">
        <f t="shared" si="115"/>
        <v>2</v>
      </c>
      <c r="H259" s="96"/>
      <c r="I259" s="96">
        <v>1</v>
      </c>
      <c r="J259" s="104"/>
      <c r="K259" s="75"/>
      <c r="L259" s="75"/>
      <c r="M259" s="75"/>
      <c r="N259" s="75"/>
      <c r="O259" s="96"/>
      <c r="P259" s="105"/>
      <c r="Q259" s="105"/>
      <c r="R259" s="96"/>
      <c r="S259" s="104"/>
      <c r="T259" s="110"/>
      <c r="U259" s="110"/>
      <c r="V259" s="100"/>
      <c r="W259" s="100"/>
      <c r="X259" s="100"/>
      <c r="Y259" s="110"/>
      <c r="Z259" s="110"/>
      <c r="AA259" s="100"/>
      <c r="AB259" s="109">
        <v>1</v>
      </c>
      <c r="AC259" s="109"/>
      <c r="AD259" s="109"/>
      <c r="AE259" s="109"/>
      <c r="AF259" s="108"/>
      <c r="AG259" s="109"/>
      <c r="AH259" s="100"/>
      <c r="AI259" s="100"/>
      <c r="AJ259" s="110"/>
      <c r="AK259" s="416"/>
      <c r="AL259" s="100"/>
      <c r="AM259" s="100"/>
      <c r="AN259" s="111"/>
      <c r="AO259" s="100"/>
      <c r="AP259" s="100"/>
      <c r="AQ259" s="111"/>
      <c r="AR259" s="100"/>
      <c r="AS259" s="100"/>
      <c r="AT259" s="100"/>
    </row>
    <row r="260" spans="1:46" ht="17" thickBot="1">
      <c r="A260" s="85" t="s">
        <v>4</v>
      </c>
      <c r="B260" s="510">
        <f>SUM(J260+K260+L260+M260+N260+S260+V260+W260+X260+AA260+AI260+AJ260+AI260+AM260+AP260+AQ260+AS260+AT260+AU260+AV260+AN260)+40</f>
        <v>40</v>
      </c>
      <c r="C260" s="217">
        <f>SUM(J260+K260+L260+M260+N260+S260+W260+X260+V260+AA260+AJ260+AI260+AJ260+AN260+AQ260+AM260+AT260+AU260+AV260+AW260+AP260+AS260)+40</f>
        <v>40</v>
      </c>
      <c r="D260" s="597">
        <f>SUM(T260+U260+Y260+Z260+AK260+AL260+AO260+AR260)+15</f>
        <v>15</v>
      </c>
      <c r="E260" s="603">
        <f>SUM(U260+T260+Z260+Y260+AL260+AK260+AO260+AR260)+15</f>
        <v>15</v>
      </c>
      <c r="F260" s="618">
        <v>10</v>
      </c>
      <c r="G260" s="622">
        <f t="shared" si="115"/>
        <v>10</v>
      </c>
      <c r="H260" s="114"/>
      <c r="I260" s="114">
        <v>5</v>
      </c>
      <c r="J260" s="113"/>
      <c r="K260" s="112"/>
      <c r="L260" s="112"/>
      <c r="M260" s="112"/>
      <c r="N260" s="112"/>
      <c r="O260" s="114"/>
      <c r="P260" s="127"/>
      <c r="Q260" s="127"/>
      <c r="R260" s="114"/>
      <c r="S260" s="113"/>
      <c r="T260" s="120"/>
      <c r="U260" s="119"/>
      <c r="V260" s="116"/>
      <c r="W260" s="116"/>
      <c r="X260" s="116"/>
      <c r="Y260" s="119"/>
      <c r="Z260" s="119"/>
      <c r="AA260" s="116"/>
      <c r="AB260" s="118">
        <v>5</v>
      </c>
      <c r="AC260" s="118"/>
      <c r="AD260" s="118"/>
      <c r="AE260" s="118"/>
      <c r="AF260" s="117"/>
      <c r="AG260" s="118"/>
      <c r="AH260" s="116"/>
      <c r="AI260" s="116"/>
      <c r="AJ260" s="120"/>
      <c r="AK260" s="417"/>
      <c r="AL260" s="116"/>
      <c r="AM260" s="116"/>
      <c r="AN260" s="121"/>
      <c r="AO260" s="116"/>
      <c r="AP260" s="116"/>
      <c r="AQ260" s="121"/>
      <c r="AR260" s="116"/>
      <c r="AS260" s="116"/>
      <c r="AT260" s="116"/>
    </row>
    <row r="261" spans="1:46" ht="21.1">
      <c r="A261" s="82" t="s">
        <v>156</v>
      </c>
      <c r="B261" s="508"/>
      <c r="C261" s="214"/>
      <c r="D261" s="595"/>
      <c r="E261" s="602"/>
      <c r="F261" s="617"/>
      <c r="G261" s="621"/>
      <c r="H261" s="96" t="s">
        <v>375</v>
      </c>
      <c r="I261" s="96" t="s">
        <v>375</v>
      </c>
      <c r="J261" s="104"/>
      <c r="K261" s="75"/>
      <c r="L261" s="75"/>
      <c r="M261" s="75"/>
      <c r="N261" s="75"/>
      <c r="O261" s="96" t="s">
        <v>371</v>
      </c>
      <c r="P261" s="105"/>
      <c r="Q261" s="105"/>
      <c r="R261" s="96" t="s">
        <v>375</v>
      </c>
      <c r="S261" s="104"/>
      <c r="T261" s="110" t="s">
        <v>375</v>
      </c>
      <c r="U261" s="110" t="s">
        <v>375</v>
      </c>
      <c r="V261" s="100"/>
      <c r="W261" s="100" t="s">
        <v>375</v>
      </c>
      <c r="X261" s="100"/>
      <c r="Y261" s="110"/>
      <c r="Z261" s="110" t="s">
        <v>375</v>
      </c>
      <c r="AA261" s="100"/>
      <c r="AB261" s="109" t="s">
        <v>371</v>
      </c>
      <c r="AC261" s="109" t="s">
        <v>371</v>
      </c>
      <c r="AD261" s="109" t="s">
        <v>371</v>
      </c>
      <c r="AE261" s="109" t="s">
        <v>375</v>
      </c>
      <c r="AF261" s="108"/>
      <c r="AG261" s="109" t="s">
        <v>375</v>
      </c>
      <c r="AH261" s="100"/>
      <c r="AI261" s="100"/>
      <c r="AJ261" s="110"/>
      <c r="AK261" s="416"/>
      <c r="AL261" s="100"/>
      <c r="AM261" s="100"/>
      <c r="AN261" s="111"/>
      <c r="AO261" s="100"/>
      <c r="AP261" s="100"/>
      <c r="AQ261" s="111"/>
      <c r="AR261" s="100"/>
      <c r="AS261" s="100"/>
      <c r="AT261" s="100"/>
    </row>
    <row r="262" spans="1:46" ht="16.3">
      <c r="A262" s="246" t="s">
        <v>1</v>
      </c>
      <c r="B262" s="509">
        <f>SUM(J262+K262+L262+M262+N262+S262+V262+W262+X262+AA262+AI262+AJ262+AI262+AM262+AP262+AQ262+AS262+AT262+AU262+AV262+AN262)</f>
        <v>0</v>
      </c>
      <c r="C262" s="215">
        <f>B262</f>
        <v>0</v>
      </c>
      <c r="D262" s="596">
        <f>SUM(T262+U262+Y262+Z262+AK262+AL262+AO262+AR262)+1</f>
        <v>1</v>
      </c>
      <c r="E262" s="604">
        <f>D262</f>
        <v>1</v>
      </c>
      <c r="F262" s="626">
        <v>0</v>
      </c>
      <c r="G262" s="627">
        <v>0</v>
      </c>
      <c r="H262" s="96"/>
      <c r="I262" s="96"/>
      <c r="J262" s="104"/>
      <c r="K262" s="75"/>
      <c r="L262" s="75"/>
      <c r="M262" s="75"/>
      <c r="N262" s="75"/>
      <c r="O262" s="96">
        <v>1</v>
      </c>
      <c r="P262" s="105"/>
      <c r="Q262" s="105"/>
      <c r="R262" s="96"/>
      <c r="S262" s="104"/>
      <c r="T262" s="110"/>
      <c r="U262" s="110"/>
      <c r="V262" s="100"/>
      <c r="W262" s="100"/>
      <c r="X262" s="100"/>
      <c r="Y262" s="110"/>
      <c r="Z262" s="110"/>
      <c r="AA262" s="100"/>
      <c r="AB262" s="109">
        <v>1</v>
      </c>
      <c r="AC262" s="109">
        <v>1</v>
      </c>
      <c r="AD262" s="109">
        <v>1</v>
      </c>
      <c r="AE262" s="109"/>
      <c r="AF262" s="108"/>
      <c r="AG262" s="109"/>
      <c r="AH262" s="100"/>
      <c r="AI262" s="100"/>
      <c r="AJ262" s="110"/>
      <c r="AK262" s="416"/>
      <c r="AL262" s="100"/>
      <c r="AM262" s="100"/>
      <c r="AN262" s="111"/>
      <c r="AO262" s="100"/>
      <c r="AP262" s="100"/>
      <c r="AQ262" s="111"/>
      <c r="AR262" s="100"/>
      <c r="AS262" s="100"/>
      <c r="AT262" s="100"/>
    </row>
    <row r="263" spans="1:46" ht="16.3">
      <c r="A263" s="246" t="s">
        <v>2</v>
      </c>
      <c r="B263" s="509">
        <f>SUM(J263+K263+L263+M263+N263+S263+V263+W263+X263+AA263+AI263+AJ263+AI263+AM263+AP263+AQ263+AS263+AT263+AU263+AV263)+6</f>
        <v>7</v>
      </c>
      <c r="C263" s="215">
        <f t="shared" ref="C263:C266" si="116">B263</f>
        <v>7</v>
      </c>
      <c r="D263" s="596">
        <f>SUM(T263+U263+Y263+Z263+AK263+AL263+AO263+AR263)+3</f>
        <v>6</v>
      </c>
      <c r="E263" s="604">
        <f t="shared" ref="E263:E266" si="117">D263</f>
        <v>6</v>
      </c>
      <c r="F263" s="626">
        <v>0</v>
      </c>
      <c r="G263" s="627">
        <v>0</v>
      </c>
      <c r="H263" s="96">
        <v>1</v>
      </c>
      <c r="I263" s="96">
        <v>1</v>
      </c>
      <c r="J263" s="104"/>
      <c r="K263" s="75"/>
      <c r="L263" s="75"/>
      <c r="M263" s="75"/>
      <c r="N263" s="75"/>
      <c r="O263" s="96"/>
      <c r="P263" s="105"/>
      <c r="Q263" s="105"/>
      <c r="R263" s="96">
        <v>1</v>
      </c>
      <c r="S263" s="104"/>
      <c r="T263" s="110">
        <v>1</v>
      </c>
      <c r="U263" s="110">
        <v>1</v>
      </c>
      <c r="V263" s="100"/>
      <c r="W263" s="100">
        <v>1</v>
      </c>
      <c r="X263" s="100"/>
      <c r="Y263" s="110"/>
      <c r="Z263" s="110">
        <v>1</v>
      </c>
      <c r="AA263" s="100"/>
      <c r="AB263" s="109"/>
      <c r="AC263" s="109"/>
      <c r="AD263" s="109"/>
      <c r="AE263" s="109">
        <v>1</v>
      </c>
      <c r="AF263" s="108"/>
      <c r="AG263" s="109">
        <v>1</v>
      </c>
      <c r="AH263" s="100"/>
      <c r="AI263" s="100"/>
      <c r="AJ263" s="110"/>
      <c r="AK263" s="416"/>
      <c r="AL263" s="100"/>
      <c r="AM263" s="100"/>
      <c r="AN263" s="111"/>
      <c r="AO263" s="100"/>
      <c r="AP263" s="100"/>
      <c r="AQ263" s="111"/>
      <c r="AR263" s="100"/>
      <c r="AS263" s="100"/>
      <c r="AT263" s="100"/>
    </row>
    <row r="264" spans="1:46" ht="16.3">
      <c r="A264" s="83" t="s">
        <v>363</v>
      </c>
      <c r="B264" s="508">
        <f>SUM(B262+B263)</f>
        <v>7</v>
      </c>
      <c r="C264" s="214">
        <f t="shared" si="116"/>
        <v>7</v>
      </c>
      <c r="D264" s="595">
        <f>SUM(D262+D263)</f>
        <v>7</v>
      </c>
      <c r="E264" s="602">
        <f t="shared" si="117"/>
        <v>7</v>
      </c>
      <c r="F264" s="617">
        <v>0</v>
      </c>
      <c r="G264" s="621">
        <v>0</v>
      </c>
      <c r="H264" s="96"/>
      <c r="I264" s="96"/>
      <c r="J264" s="104"/>
      <c r="K264" s="75"/>
      <c r="L264" s="75"/>
      <c r="M264" s="75"/>
      <c r="N264" s="75"/>
      <c r="O264" s="96"/>
      <c r="P264" s="105"/>
      <c r="Q264" s="105"/>
      <c r="R264" s="96"/>
      <c r="S264" s="104"/>
      <c r="T264" s="110"/>
      <c r="U264" s="110"/>
      <c r="V264" s="100"/>
      <c r="W264" s="100"/>
      <c r="X264" s="100"/>
      <c r="Y264" s="110"/>
      <c r="Z264" s="110"/>
      <c r="AA264" s="100"/>
      <c r="AB264" s="109"/>
      <c r="AC264" s="109"/>
      <c r="AD264" s="109"/>
      <c r="AE264" s="109"/>
      <c r="AF264" s="108"/>
      <c r="AG264" s="109"/>
      <c r="AH264" s="100"/>
      <c r="AI264" s="100"/>
      <c r="AJ264" s="110"/>
      <c r="AK264" s="416"/>
      <c r="AL264" s="100"/>
      <c r="AM264" s="100"/>
      <c r="AN264" s="111"/>
      <c r="AO264" s="100"/>
      <c r="AP264" s="100"/>
      <c r="AQ264" s="111"/>
      <c r="AR264" s="100"/>
      <c r="AS264" s="100"/>
      <c r="AT264" s="100"/>
    </row>
    <row r="265" spans="1:46" ht="16.3">
      <c r="A265" s="83" t="s">
        <v>3</v>
      </c>
      <c r="B265" s="508">
        <f>SUM(J265+K265+L265+M265+N265+S265+V265+W265+X265+AA265+AI265+AJ265+AI265+AM265+AP265+AQ265+AS265+AT265+AU265+AV265)</f>
        <v>0</v>
      </c>
      <c r="C265" s="214">
        <f t="shared" si="116"/>
        <v>0</v>
      </c>
      <c r="D265" s="595">
        <f t="shared" ref="D265:D266" si="118">SUM(T265+U265+Y265+Z265+AK265+AL265+AO265+AR265)</f>
        <v>0</v>
      </c>
      <c r="E265" s="602">
        <f t="shared" si="117"/>
        <v>0</v>
      </c>
      <c r="F265" s="617">
        <v>0</v>
      </c>
      <c r="G265" s="621">
        <v>0</v>
      </c>
      <c r="H265" s="96"/>
      <c r="I265" s="96"/>
      <c r="J265" s="104"/>
      <c r="K265" s="75"/>
      <c r="L265" s="75"/>
      <c r="M265" s="75"/>
      <c r="N265" s="75"/>
      <c r="O265" s="96"/>
      <c r="P265" s="105"/>
      <c r="Q265" s="105"/>
      <c r="R265" s="96"/>
      <c r="S265" s="104"/>
      <c r="T265" s="110"/>
      <c r="U265" s="110"/>
      <c r="V265" s="100"/>
      <c r="W265" s="100"/>
      <c r="X265" s="100"/>
      <c r="Y265" s="110"/>
      <c r="Z265" s="110"/>
      <c r="AA265" s="100"/>
      <c r="AB265" s="109"/>
      <c r="AC265" s="109"/>
      <c r="AD265" s="109">
        <v>1</v>
      </c>
      <c r="AE265" s="109"/>
      <c r="AF265" s="108"/>
      <c r="AG265" s="109"/>
      <c r="AH265" s="100"/>
      <c r="AI265" s="100"/>
      <c r="AJ265" s="110"/>
      <c r="AK265" s="416"/>
      <c r="AL265" s="100"/>
      <c r="AM265" s="100"/>
      <c r="AN265" s="111"/>
      <c r="AO265" s="100"/>
      <c r="AP265" s="100"/>
      <c r="AQ265" s="111"/>
      <c r="AR265" s="100"/>
      <c r="AS265" s="100"/>
      <c r="AT265" s="100"/>
    </row>
    <row r="266" spans="1:46" ht="17" thickBot="1">
      <c r="A266" s="85" t="s">
        <v>4</v>
      </c>
      <c r="B266" s="510">
        <f>SUM(J266+K266+L266+M266+N266+S266+V266+W266+X266+AA266+AI266+AJ266+AI266+AM266+AP266+AQ266+AS266+AT266+AU266+AV266)</f>
        <v>0</v>
      </c>
      <c r="C266" s="217">
        <f t="shared" si="116"/>
        <v>0</v>
      </c>
      <c r="D266" s="597">
        <f t="shared" si="118"/>
        <v>0</v>
      </c>
      <c r="E266" s="603">
        <f t="shared" si="117"/>
        <v>0</v>
      </c>
      <c r="F266" s="618">
        <v>0</v>
      </c>
      <c r="G266" s="622">
        <v>0</v>
      </c>
      <c r="H266" s="114"/>
      <c r="I266" s="114"/>
      <c r="J266" s="113"/>
      <c r="K266" s="112"/>
      <c r="L266" s="112"/>
      <c r="M266" s="112"/>
      <c r="N266" s="112"/>
      <c r="O266" s="114"/>
      <c r="P266" s="127"/>
      <c r="Q266" s="127"/>
      <c r="R266" s="114"/>
      <c r="S266" s="113"/>
      <c r="T266" s="120"/>
      <c r="U266" s="120"/>
      <c r="V266" s="116"/>
      <c r="W266" s="116"/>
      <c r="X266" s="116"/>
      <c r="Y266" s="120"/>
      <c r="Z266" s="120"/>
      <c r="AA266" s="116"/>
      <c r="AB266" s="118"/>
      <c r="AC266" s="118"/>
      <c r="AD266" s="118">
        <v>5</v>
      </c>
      <c r="AE266" s="118"/>
      <c r="AF266" s="117"/>
      <c r="AG266" s="118"/>
      <c r="AH266" s="116"/>
      <c r="AI266" s="116"/>
      <c r="AJ266" s="120"/>
      <c r="AK266" s="417"/>
      <c r="AL266" s="116"/>
      <c r="AM266" s="116"/>
      <c r="AN266" s="121"/>
      <c r="AO266" s="116"/>
      <c r="AP266" s="116"/>
      <c r="AQ266" s="121"/>
      <c r="AR266" s="116"/>
      <c r="AS266" s="116"/>
      <c r="AT266" s="116"/>
    </row>
    <row r="267" spans="1:46" ht="21.1">
      <c r="A267" s="82" t="s">
        <v>762</v>
      </c>
      <c r="B267" s="508"/>
      <c r="C267" s="214"/>
      <c r="D267" s="595"/>
      <c r="E267" s="602"/>
      <c r="F267" s="617"/>
      <c r="G267" s="621"/>
      <c r="H267" s="96"/>
      <c r="I267" s="96"/>
      <c r="J267" s="104"/>
      <c r="K267" s="75"/>
      <c r="L267" s="75"/>
      <c r="M267" s="75"/>
      <c r="N267" s="75"/>
      <c r="O267" s="96" t="s">
        <v>375</v>
      </c>
      <c r="P267" s="105"/>
      <c r="Q267" s="105"/>
      <c r="R267" s="96"/>
      <c r="S267" s="104"/>
      <c r="T267" s="110"/>
      <c r="U267" s="110"/>
      <c r="V267" s="100"/>
      <c r="W267" s="100"/>
      <c r="X267" s="100"/>
      <c r="Y267" s="110"/>
      <c r="Z267" s="110"/>
      <c r="AA267" s="100"/>
      <c r="AB267" s="109"/>
      <c r="AC267" s="109"/>
      <c r="AD267" s="109"/>
      <c r="AE267" s="109"/>
      <c r="AF267" s="108"/>
      <c r="AG267" s="109"/>
      <c r="AH267" s="100"/>
      <c r="AI267" s="100"/>
      <c r="AJ267" s="110"/>
      <c r="AK267" s="416"/>
      <c r="AL267" s="100"/>
      <c r="AM267" s="100"/>
      <c r="AN267" s="111"/>
      <c r="AO267" s="100"/>
      <c r="AP267" s="100"/>
      <c r="AQ267" s="111"/>
      <c r="AR267" s="100"/>
      <c r="AS267" s="100"/>
      <c r="AT267" s="100"/>
    </row>
    <row r="268" spans="1:46" ht="16.3">
      <c r="A268" s="246" t="s">
        <v>1</v>
      </c>
      <c r="B268" s="509">
        <f>SUM(J268+K268+L268+M268+N268+S268+V268+W268+X268+AA268+AI268+AJ268+AI268+AM268+AP268+AQ268+AS268+AT268+AU268+AV268+AN268)</f>
        <v>0</v>
      </c>
      <c r="C268" s="215">
        <f>SUM(J268+K268+L268+M268+N268+S268+W268+X268+V268+AA268+AJ268+AI268+AJ268+AN268+AQ268+AM268+AT268+AU268+AV268+AW268+AP268+AS268)</f>
        <v>0</v>
      </c>
      <c r="D268" s="596">
        <f>SUM(T268+U268+Y268+Z268+AK268+AL268+AO268+AR268)</f>
        <v>0</v>
      </c>
      <c r="E268" s="604">
        <f t="shared" ref="E268:E272" si="119">D268</f>
        <v>0</v>
      </c>
      <c r="F268" s="626">
        <v>0</v>
      </c>
      <c r="G268" s="627">
        <v>0</v>
      </c>
      <c r="H268" s="96"/>
      <c r="I268" s="96"/>
      <c r="J268" s="104"/>
      <c r="K268" s="75"/>
      <c r="L268" s="75"/>
      <c r="M268" s="75"/>
      <c r="N268" s="75"/>
      <c r="O268" s="96"/>
      <c r="P268" s="105"/>
      <c r="Q268" s="105"/>
      <c r="R268" s="96"/>
      <c r="S268" s="104"/>
      <c r="T268" s="110"/>
      <c r="U268" s="110"/>
      <c r="V268" s="100"/>
      <c r="W268" s="100"/>
      <c r="X268" s="100"/>
      <c r="Y268" s="110"/>
      <c r="Z268" s="110"/>
      <c r="AA268" s="100"/>
      <c r="AB268" s="109"/>
      <c r="AC268" s="109"/>
      <c r="AD268" s="109"/>
      <c r="AE268" s="109"/>
      <c r="AF268" s="108"/>
      <c r="AG268" s="109"/>
      <c r="AH268" s="100"/>
      <c r="AI268" s="100"/>
      <c r="AJ268" s="110"/>
      <c r="AK268" s="416"/>
      <c r="AL268" s="100"/>
      <c r="AM268" s="100"/>
      <c r="AN268" s="111"/>
      <c r="AO268" s="100"/>
      <c r="AP268" s="100"/>
      <c r="AQ268" s="111"/>
      <c r="AR268" s="100"/>
      <c r="AS268" s="100"/>
      <c r="AT268" s="100"/>
    </row>
    <row r="269" spans="1:46" ht="16.3">
      <c r="A269" s="246" t="s">
        <v>2</v>
      </c>
      <c r="B269" s="509">
        <f>SUM(J269+K269+L269+M269+N269+S269+V269+W269+X269+AA269+AI269+AJ269+AI269+AM269+AP269+AQ269+AS269+AT269+AU269+AV269)</f>
        <v>0</v>
      </c>
      <c r="C269" s="215">
        <f>SUM(J269+K269+L269+M269+N269+S269+W269+X269+V269+AA269+AJ269+AI269+AJ269+AN269+AQ269+AM269+AT269+AU269+AV269+AW269+AP269+AS269)+3</f>
        <v>3</v>
      </c>
      <c r="D269" s="596">
        <f>SUM(T269+U269+Y269+Z269+AK269+AL269+AO269+AR269)</f>
        <v>0</v>
      </c>
      <c r="E269" s="604">
        <f t="shared" si="119"/>
        <v>0</v>
      </c>
      <c r="F269" s="626">
        <v>0</v>
      </c>
      <c r="G269" s="627">
        <v>0</v>
      </c>
      <c r="H269" s="96"/>
      <c r="I269" s="96"/>
      <c r="J269" s="104"/>
      <c r="K269" s="75"/>
      <c r="L269" s="75"/>
      <c r="M269" s="75"/>
      <c r="N269" s="75"/>
      <c r="O269" s="96">
        <v>1</v>
      </c>
      <c r="P269" s="105"/>
      <c r="Q269" s="105"/>
      <c r="R269" s="96"/>
      <c r="S269" s="104"/>
      <c r="T269" s="110"/>
      <c r="U269" s="110"/>
      <c r="V269" s="100"/>
      <c r="W269" s="100"/>
      <c r="X269" s="100"/>
      <c r="Y269" s="110"/>
      <c r="Z269" s="110"/>
      <c r="AA269" s="100"/>
      <c r="AB269" s="109"/>
      <c r="AC269" s="109"/>
      <c r="AD269" s="109"/>
      <c r="AE269" s="109"/>
      <c r="AF269" s="108"/>
      <c r="AG269" s="109"/>
      <c r="AH269" s="100"/>
      <c r="AI269" s="100"/>
      <c r="AJ269" s="110"/>
      <c r="AK269" s="416"/>
      <c r="AL269" s="100"/>
      <c r="AM269" s="100"/>
      <c r="AN269" s="111"/>
      <c r="AO269" s="100"/>
      <c r="AP269" s="100"/>
      <c r="AQ269" s="111"/>
      <c r="AR269" s="100"/>
      <c r="AS269" s="100"/>
      <c r="AT269" s="100"/>
    </row>
    <row r="270" spans="1:46" ht="16.3">
      <c r="A270" s="83" t="s">
        <v>363</v>
      </c>
      <c r="B270" s="508">
        <f>SUM(B268+B269)</f>
        <v>0</v>
      </c>
      <c r="C270" s="214">
        <f>SUM(C268+C269)</f>
        <v>3</v>
      </c>
      <c r="D270" s="595">
        <f>SUM(D268+D269)</f>
        <v>0</v>
      </c>
      <c r="E270" s="602">
        <f t="shared" si="119"/>
        <v>0</v>
      </c>
      <c r="F270" s="617">
        <v>0</v>
      </c>
      <c r="G270" s="621">
        <v>0</v>
      </c>
      <c r="H270" s="96"/>
      <c r="I270" s="96"/>
      <c r="J270" s="104"/>
      <c r="K270" s="75"/>
      <c r="L270" s="75"/>
      <c r="M270" s="75"/>
      <c r="N270" s="75"/>
      <c r="O270" s="96"/>
      <c r="P270" s="105"/>
      <c r="Q270" s="105"/>
      <c r="R270" s="96"/>
      <c r="S270" s="104"/>
      <c r="T270" s="110"/>
      <c r="U270" s="110"/>
      <c r="V270" s="100"/>
      <c r="W270" s="100"/>
      <c r="X270" s="100"/>
      <c r="Y270" s="110"/>
      <c r="Z270" s="110"/>
      <c r="AA270" s="100"/>
      <c r="AB270" s="109"/>
      <c r="AC270" s="109"/>
      <c r="AD270" s="109"/>
      <c r="AE270" s="109"/>
      <c r="AF270" s="108"/>
      <c r="AG270" s="109"/>
      <c r="AH270" s="100"/>
      <c r="AI270" s="100"/>
      <c r="AJ270" s="110"/>
      <c r="AK270" s="416"/>
      <c r="AL270" s="100"/>
      <c r="AM270" s="100"/>
      <c r="AN270" s="111"/>
      <c r="AO270" s="100"/>
      <c r="AP270" s="100"/>
      <c r="AQ270" s="111"/>
      <c r="AR270" s="100"/>
      <c r="AS270" s="100"/>
      <c r="AT270" s="100"/>
    </row>
    <row r="271" spans="1:46" ht="16.3">
      <c r="A271" s="83" t="s">
        <v>3</v>
      </c>
      <c r="B271" s="508">
        <f>SUM(J271+K271+L271+M271+N271+S271+V271+W271+X271+AA271+AI271+AJ271+AI271+AM271+AP271+AQ271+AS271+AT271+AU271+AV271)</f>
        <v>0</v>
      </c>
      <c r="C271" s="214">
        <f>SUM(J271+K271+L271+M271+N271+S271+W271+X271+V271+AA271+AJ271+AI271+AJ271+AN271+AQ271+AM271+AT271+AU271+AV271+AW271+AP271+AS271)</f>
        <v>0</v>
      </c>
      <c r="D271" s="595">
        <f t="shared" ref="D271:D272" si="120">SUM(T271+U271+Y271+Z271+AK271+AL271+AO271+AR271)</f>
        <v>0</v>
      </c>
      <c r="E271" s="602">
        <f t="shared" si="119"/>
        <v>0</v>
      </c>
      <c r="F271" s="617">
        <v>0</v>
      </c>
      <c r="G271" s="621">
        <v>0</v>
      </c>
      <c r="H271" s="96"/>
      <c r="I271" s="96"/>
      <c r="J271" s="104"/>
      <c r="K271" s="75"/>
      <c r="L271" s="75"/>
      <c r="M271" s="75"/>
      <c r="N271" s="75"/>
      <c r="O271" s="96"/>
      <c r="P271" s="105"/>
      <c r="Q271" s="105"/>
      <c r="R271" s="96"/>
      <c r="S271" s="104"/>
      <c r="T271" s="110"/>
      <c r="U271" s="110"/>
      <c r="V271" s="100"/>
      <c r="W271" s="100"/>
      <c r="X271" s="100"/>
      <c r="Y271" s="110"/>
      <c r="Z271" s="110"/>
      <c r="AA271" s="100"/>
      <c r="AB271" s="109"/>
      <c r="AC271" s="109"/>
      <c r="AD271" s="109"/>
      <c r="AE271" s="109"/>
      <c r="AF271" s="108"/>
      <c r="AG271" s="109"/>
      <c r="AH271" s="100"/>
      <c r="AI271" s="100"/>
      <c r="AJ271" s="110"/>
      <c r="AK271" s="416"/>
      <c r="AL271" s="100"/>
      <c r="AM271" s="100"/>
      <c r="AN271" s="111"/>
      <c r="AO271" s="100"/>
      <c r="AP271" s="100"/>
      <c r="AQ271" s="111"/>
      <c r="AR271" s="100"/>
      <c r="AS271" s="100"/>
      <c r="AT271" s="100"/>
    </row>
    <row r="272" spans="1:46" ht="17" thickBot="1">
      <c r="A272" s="85" t="s">
        <v>4</v>
      </c>
      <c r="B272" s="510">
        <f>SUM(J272+K272+L272+M272+N272+S272+V272+W272+X272+AA272+AI272+AJ272+AI272+AM272+AP272+AQ272+AS272+AT272+AU272+AV272+AN272)</f>
        <v>0</v>
      </c>
      <c r="C272" s="217">
        <f>SUM(J272+K272+L272+M272+N272+S272+W272+X272+V272+AA272+AJ272+AI272+AJ272+AN272+AQ272+AM272+AT272+AU272+AV272+AW272+AP272+AS272)</f>
        <v>0</v>
      </c>
      <c r="D272" s="597">
        <f t="shared" si="120"/>
        <v>0</v>
      </c>
      <c r="E272" s="603">
        <f t="shared" si="119"/>
        <v>0</v>
      </c>
      <c r="F272" s="618">
        <v>0</v>
      </c>
      <c r="G272" s="622">
        <v>0</v>
      </c>
      <c r="H272" s="114"/>
      <c r="I272" s="114"/>
      <c r="J272" s="113"/>
      <c r="K272" s="112"/>
      <c r="L272" s="112"/>
      <c r="M272" s="112"/>
      <c r="N272" s="112"/>
      <c r="O272" s="114"/>
      <c r="P272" s="127"/>
      <c r="Q272" s="127"/>
      <c r="R272" s="114"/>
      <c r="S272" s="113"/>
      <c r="T272" s="120"/>
      <c r="U272" s="120"/>
      <c r="V272" s="116"/>
      <c r="W272" s="116"/>
      <c r="X272" s="116"/>
      <c r="Y272" s="120"/>
      <c r="Z272" s="120"/>
      <c r="AA272" s="116"/>
      <c r="AB272" s="118"/>
      <c r="AC272" s="118"/>
      <c r="AD272" s="118"/>
      <c r="AE272" s="118"/>
      <c r="AF272" s="117"/>
      <c r="AG272" s="118"/>
      <c r="AH272" s="116"/>
      <c r="AI272" s="116"/>
      <c r="AJ272" s="120"/>
      <c r="AK272" s="417"/>
      <c r="AL272" s="116"/>
      <c r="AM272" s="116"/>
      <c r="AN272" s="121"/>
      <c r="AO272" s="116"/>
      <c r="AP272" s="116"/>
      <c r="AQ272" s="121"/>
      <c r="AR272" s="116"/>
      <c r="AS272" s="116"/>
      <c r="AT272" s="116"/>
    </row>
    <row r="273" spans="1:46" ht="21.1">
      <c r="A273" s="82" t="s">
        <v>102</v>
      </c>
      <c r="B273" s="508"/>
      <c r="C273" s="214"/>
      <c r="D273" s="595"/>
      <c r="E273" s="602"/>
      <c r="F273" s="617"/>
      <c r="G273" s="621"/>
      <c r="H273" s="96" t="s">
        <v>501</v>
      </c>
      <c r="I273" s="96" t="s">
        <v>501</v>
      </c>
      <c r="J273" s="75" t="s">
        <v>501</v>
      </c>
      <c r="K273" s="75" t="s">
        <v>443</v>
      </c>
      <c r="L273" s="75" t="s">
        <v>443</v>
      </c>
      <c r="M273" s="75" t="s">
        <v>443</v>
      </c>
      <c r="N273" s="75" t="s">
        <v>443</v>
      </c>
      <c r="O273" s="96" t="s">
        <v>775</v>
      </c>
      <c r="P273" s="105"/>
      <c r="Q273" s="105"/>
      <c r="R273" s="96" t="s">
        <v>339</v>
      </c>
      <c r="S273" s="104" t="s">
        <v>339</v>
      </c>
      <c r="T273" s="110" t="s">
        <v>339</v>
      </c>
      <c r="U273" s="110" t="s">
        <v>339</v>
      </c>
      <c r="V273" s="100" t="s">
        <v>375</v>
      </c>
      <c r="W273" s="100" t="s">
        <v>443</v>
      </c>
      <c r="X273" s="100" t="s">
        <v>443</v>
      </c>
      <c r="Y273" s="110" t="s">
        <v>881</v>
      </c>
      <c r="Z273" s="110"/>
      <c r="AA273" s="100" t="s">
        <v>443</v>
      </c>
      <c r="AB273" s="109" t="s">
        <v>775</v>
      </c>
      <c r="AC273" s="109" t="s">
        <v>775</v>
      </c>
      <c r="AD273" s="109" t="s">
        <v>775</v>
      </c>
      <c r="AE273" s="109" t="s">
        <v>775</v>
      </c>
      <c r="AF273" s="108"/>
      <c r="AG273" s="109" t="s">
        <v>775</v>
      </c>
      <c r="AH273" s="100"/>
      <c r="AI273" s="100"/>
      <c r="AJ273" s="110"/>
      <c r="AK273" s="416"/>
      <c r="AL273" s="100"/>
      <c r="AM273" s="100"/>
      <c r="AN273" s="111"/>
      <c r="AO273" s="100"/>
      <c r="AP273" s="100"/>
      <c r="AQ273" s="111"/>
      <c r="AR273" s="100"/>
      <c r="AS273" s="100"/>
      <c r="AT273" s="100"/>
    </row>
    <row r="274" spans="1:46" ht="16.3">
      <c r="A274" s="246" t="s">
        <v>1</v>
      </c>
      <c r="B274" s="509">
        <f>SUM(J274+K274+L274+M274+N274+S274+V274+W274+X274+AA274+AI274+AJ274+AI274+AM274+AP274+AQ274+AS274+AT274+AU274+AV274+AN274)+40</f>
        <v>47</v>
      </c>
      <c r="C274" s="215">
        <f>B274</f>
        <v>47</v>
      </c>
      <c r="D274" s="596">
        <f>SUM(T274+U274+Y274+Z274+AK274+AL274+AO274+AR274)+13</f>
        <v>14</v>
      </c>
      <c r="E274" s="604">
        <f>D274</f>
        <v>14</v>
      </c>
      <c r="F274" s="626">
        <v>1</v>
      </c>
      <c r="G274" s="627">
        <v>1</v>
      </c>
      <c r="H274" s="96"/>
      <c r="I274" s="96"/>
      <c r="J274" s="75"/>
      <c r="K274" s="75">
        <v>1</v>
      </c>
      <c r="L274" s="75">
        <v>1</v>
      </c>
      <c r="M274" s="75">
        <v>1</v>
      </c>
      <c r="N274" s="75">
        <v>1</v>
      </c>
      <c r="O274" s="96"/>
      <c r="P274" s="105"/>
      <c r="Q274" s="105"/>
      <c r="R274" s="96"/>
      <c r="S274" s="104"/>
      <c r="T274" s="110"/>
      <c r="U274" s="110"/>
      <c r="V274" s="100"/>
      <c r="W274" s="100">
        <v>1</v>
      </c>
      <c r="X274" s="100">
        <v>1</v>
      </c>
      <c r="Y274" s="110">
        <v>1</v>
      </c>
      <c r="Z274" s="110"/>
      <c r="AA274" s="100">
        <v>1</v>
      </c>
      <c r="AB274" s="109"/>
      <c r="AC274" s="109"/>
      <c r="AD274" s="109"/>
      <c r="AE274" s="109"/>
      <c r="AF274" s="108"/>
      <c r="AG274" s="109"/>
      <c r="AH274" s="100"/>
      <c r="AI274" s="100"/>
      <c r="AJ274" s="110"/>
      <c r="AK274" s="416"/>
      <c r="AL274" s="100"/>
      <c r="AM274" s="100"/>
      <c r="AN274" s="111"/>
      <c r="AO274" s="100"/>
      <c r="AP274" s="100"/>
      <c r="AQ274" s="111"/>
      <c r="AR274" s="100"/>
      <c r="AS274" s="100"/>
      <c r="AT274" s="100"/>
    </row>
    <row r="275" spans="1:46" ht="16.3">
      <c r="A275" s="246" t="s">
        <v>2</v>
      </c>
      <c r="B275" s="509">
        <f>SUM(J275+K275+L275+M275+N275+S275+V275+W275+X275+AA275+AI275+AJ275+AI275+AM275+AP275+AQ275+AS275+AT275+AU275+AV275)+11</f>
        <v>12</v>
      </c>
      <c r="C275" s="215">
        <f t="shared" ref="C275:C278" si="121">B275</f>
        <v>12</v>
      </c>
      <c r="D275" s="596">
        <f>SUM(T275+U275+Y275+Z275+AK275+AL275+AO275+AR275)+1</f>
        <v>1</v>
      </c>
      <c r="E275" s="604">
        <f t="shared" ref="E275:E280" si="122">D275</f>
        <v>1</v>
      </c>
      <c r="F275" s="626">
        <v>0</v>
      </c>
      <c r="G275" s="627">
        <v>0</v>
      </c>
      <c r="H275" s="96"/>
      <c r="I275" s="96"/>
      <c r="J275" s="75"/>
      <c r="K275" s="75"/>
      <c r="L275" s="75"/>
      <c r="M275" s="75"/>
      <c r="N275" s="75"/>
      <c r="O275" s="96"/>
      <c r="P275" s="105"/>
      <c r="Q275" s="105"/>
      <c r="R275" s="96"/>
      <c r="S275" s="104"/>
      <c r="T275" s="110"/>
      <c r="U275" s="110"/>
      <c r="V275" s="100">
        <v>1</v>
      </c>
      <c r="W275" s="100"/>
      <c r="X275" s="100"/>
      <c r="Y275" s="110"/>
      <c r="Z275" s="110"/>
      <c r="AA275" s="100"/>
      <c r="AB275" s="109"/>
      <c r="AC275" s="109"/>
      <c r="AD275" s="109"/>
      <c r="AE275" s="109"/>
      <c r="AF275" s="108"/>
      <c r="AG275" s="109"/>
      <c r="AH275" s="100"/>
      <c r="AI275" s="100"/>
      <c r="AJ275" s="110"/>
      <c r="AK275" s="416"/>
      <c r="AL275" s="100"/>
      <c r="AM275" s="100"/>
      <c r="AN275" s="111"/>
      <c r="AO275" s="100"/>
      <c r="AP275" s="100"/>
      <c r="AQ275" s="111"/>
      <c r="AR275" s="100"/>
      <c r="AS275" s="100"/>
      <c r="AT275" s="100"/>
    </row>
    <row r="276" spans="1:46" ht="16.3">
      <c r="A276" s="83" t="s">
        <v>363</v>
      </c>
      <c r="B276" s="508">
        <f>SUM(B274+B275)</f>
        <v>59</v>
      </c>
      <c r="C276" s="214">
        <f t="shared" si="121"/>
        <v>59</v>
      </c>
      <c r="D276" s="595">
        <f>SUM(D274+D275)</f>
        <v>15</v>
      </c>
      <c r="E276" s="602">
        <f t="shared" si="122"/>
        <v>15</v>
      </c>
      <c r="F276" s="617">
        <v>1</v>
      </c>
      <c r="G276" s="621">
        <v>1</v>
      </c>
      <c r="H276" s="96"/>
      <c r="I276" s="96"/>
      <c r="J276" s="75"/>
      <c r="K276" s="75"/>
      <c r="L276" s="75"/>
      <c r="M276" s="75"/>
      <c r="N276" s="75"/>
      <c r="O276" s="96"/>
      <c r="P276" s="105"/>
      <c r="Q276" s="105"/>
      <c r="R276" s="96"/>
      <c r="S276" s="104"/>
      <c r="T276" s="110"/>
      <c r="U276" s="110"/>
      <c r="V276" s="100"/>
      <c r="W276" s="100"/>
      <c r="X276" s="100"/>
      <c r="Y276" s="110"/>
      <c r="Z276" s="110"/>
      <c r="AA276" s="100"/>
      <c r="AB276" s="109"/>
      <c r="AC276" s="109"/>
      <c r="AD276" s="109"/>
      <c r="AE276" s="109"/>
      <c r="AF276" s="108"/>
      <c r="AG276" s="109"/>
      <c r="AH276" s="100"/>
      <c r="AI276" s="100"/>
      <c r="AJ276" s="110"/>
      <c r="AK276" s="416"/>
      <c r="AL276" s="100"/>
      <c r="AM276" s="100"/>
      <c r="AN276" s="111"/>
      <c r="AO276" s="100"/>
      <c r="AP276" s="100"/>
      <c r="AQ276" s="111"/>
      <c r="AR276" s="100"/>
      <c r="AS276" s="100"/>
      <c r="AT276" s="100"/>
    </row>
    <row r="277" spans="1:46" ht="16.3">
      <c r="A277" s="246" t="s">
        <v>366</v>
      </c>
      <c r="B277" s="509">
        <f>SUM(J277+K277+L277+M277+N277+S277+V277+W277+X277+AA277+AI277+AJ277+AI277+AM277+AP277+AQ277+AS277+AT277+AU277+AV277)+2</f>
        <v>9</v>
      </c>
      <c r="C277" s="215">
        <f t="shared" si="121"/>
        <v>9</v>
      </c>
      <c r="D277" s="596">
        <f>SUM(T277+U277+Y277+Z277+AK277+AL277+AO277+AR277)</f>
        <v>1</v>
      </c>
      <c r="E277" s="604">
        <f t="shared" ref="E277:E278" si="123">D277</f>
        <v>1</v>
      </c>
      <c r="F277" s="626">
        <v>0</v>
      </c>
      <c r="G277" s="627">
        <v>0</v>
      </c>
      <c r="H277" s="96"/>
      <c r="I277" s="96"/>
      <c r="J277" s="75"/>
      <c r="K277" s="75">
        <v>1</v>
      </c>
      <c r="L277" s="75">
        <v>1</v>
      </c>
      <c r="M277" s="75">
        <v>1</v>
      </c>
      <c r="N277" s="75">
        <v>1</v>
      </c>
      <c r="O277" s="96"/>
      <c r="P277" s="105"/>
      <c r="Q277" s="105"/>
      <c r="R277" s="96"/>
      <c r="S277" s="104"/>
      <c r="T277" s="110"/>
      <c r="U277" s="110"/>
      <c r="V277" s="100"/>
      <c r="W277" s="100">
        <v>1</v>
      </c>
      <c r="X277" s="100">
        <v>1</v>
      </c>
      <c r="Y277" s="110">
        <v>1</v>
      </c>
      <c r="Z277" s="110"/>
      <c r="AA277" s="100">
        <v>1</v>
      </c>
      <c r="AB277" s="109"/>
      <c r="AC277" s="109"/>
      <c r="AD277" s="109"/>
      <c r="AE277" s="109"/>
      <c r="AF277" s="108"/>
      <c r="AG277" s="109"/>
      <c r="AH277" s="100"/>
      <c r="AI277" s="100"/>
      <c r="AJ277" s="110"/>
      <c r="AK277" s="416"/>
      <c r="AL277" s="100"/>
      <c r="AM277" s="100"/>
      <c r="AN277" s="111"/>
      <c r="AO277" s="100"/>
      <c r="AP277" s="100"/>
      <c r="AQ277" s="111"/>
      <c r="AR277" s="100"/>
      <c r="AS277" s="100"/>
      <c r="AT277" s="100"/>
    </row>
    <row r="278" spans="1:46" ht="16.3">
      <c r="A278" s="246" t="s">
        <v>362</v>
      </c>
      <c r="B278" s="509">
        <f>SUM(J278+K278+L278+M278+N278+S278+V278+W278+X278+AA278+AI278+AJ278+AI278+AM278+AP278+AQ278+AS278+AT278+AU278+AV278)+3</f>
        <v>3</v>
      </c>
      <c r="C278" s="215">
        <f t="shared" si="121"/>
        <v>3</v>
      </c>
      <c r="D278" s="596">
        <f>SUM(T278+U278+Y278+Z278+AK278+AL278+AO278+AR278)</f>
        <v>0</v>
      </c>
      <c r="E278" s="604">
        <f t="shared" si="123"/>
        <v>0</v>
      </c>
      <c r="F278" s="626">
        <v>0</v>
      </c>
      <c r="G278" s="627">
        <v>0</v>
      </c>
      <c r="H278" s="96"/>
      <c r="I278" s="96"/>
      <c r="J278" s="75"/>
      <c r="K278" s="75"/>
      <c r="L278" s="75"/>
      <c r="M278" s="75"/>
      <c r="N278" s="75"/>
      <c r="O278" s="96"/>
      <c r="P278" s="105"/>
      <c r="Q278" s="105"/>
      <c r="R278" s="96"/>
      <c r="S278" s="104"/>
      <c r="T278" s="110"/>
      <c r="U278" s="110"/>
      <c r="V278" s="100"/>
      <c r="W278" s="100"/>
      <c r="X278" s="100"/>
      <c r="Y278" s="110"/>
      <c r="Z278" s="110"/>
      <c r="AA278" s="100"/>
      <c r="AB278" s="109"/>
      <c r="AC278" s="109"/>
      <c r="AD278" s="109"/>
      <c r="AE278" s="109"/>
      <c r="AF278" s="108"/>
      <c r="AG278" s="109"/>
      <c r="AH278" s="100"/>
      <c r="AI278" s="100"/>
      <c r="AJ278" s="110"/>
      <c r="AK278" s="416"/>
      <c r="AL278" s="100"/>
      <c r="AM278" s="100"/>
      <c r="AN278" s="111"/>
      <c r="AO278" s="100"/>
      <c r="AP278" s="100"/>
      <c r="AQ278" s="111"/>
      <c r="AR278" s="100"/>
      <c r="AS278" s="100"/>
      <c r="AT278" s="100"/>
    </row>
    <row r="279" spans="1:46" ht="16.3">
      <c r="A279" s="83" t="s">
        <v>3</v>
      </c>
      <c r="B279" s="508">
        <f>SUM(J279+K279+L279+M279+N279+S279+V279+W279+X279+AA279+AI279+AJ279+AI279+AM279+AP279+AQ279+AS279+AT279+AU279+AV279)+4</f>
        <v>5</v>
      </c>
      <c r="C279" s="214">
        <f t="shared" ref="C279:C280" si="124">B279</f>
        <v>5</v>
      </c>
      <c r="D279" s="595">
        <f t="shared" ref="D279:D280" si="125">SUM(T279+U279+Y279+Z279+AK279+AL279+AO279+AR279)</f>
        <v>1</v>
      </c>
      <c r="E279" s="602">
        <f t="shared" si="122"/>
        <v>1</v>
      </c>
      <c r="F279" s="617">
        <v>0</v>
      </c>
      <c r="G279" s="621">
        <v>0</v>
      </c>
      <c r="H279" s="96"/>
      <c r="I279" s="96"/>
      <c r="J279" s="104"/>
      <c r="K279" s="75"/>
      <c r="L279" s="75"/>
      <c r="M279" s="75"/>
      <c r="N279" s="75"/>
      <c r="O279" s="96"/>
      <c r="P279" s="105"/>
      <c r="Q279" s="105"/>
      <c r="R279" s="96"/>
      <c r="S279" s="104"/>
      <c r="T279" s="110"/>
      <c r="U279" s="110"/>
      <c r="V279" s="100">
        <v>1</v>
      </c>
      <c r="W279" s="100"/>
      <c r="X279" s="100"/>
      <c r="Y279" s="110">
        <v>1</v>
      </c>
      <c r="Z279" s="110"/>
      <c r="AA279" s="100"/>
      <c r="AB279" s="109"/>
      <c r="AC279" s="109"/>
      <c r="AD279" s="109"/>
      <c r="AE279" s="109"/>
      <c r="AF279" s="108"/>
      <c r="AG279" s="109"/>
      <c r="AH279" s="100"/>
      <c r="AI279" s="100"/>
      <c r="AJ279" s="110"/>
      <c r="AK279" s="416"/>
      <c r="AL279" s="100"/>
      <c r="AM279" s="100"/>
      <c r="AN279" s="111"/>
      <c r="AO279" s="100"/>
      <c r="AP279" s="100"/>
      <c r="AQ279" s="111"/>
      <c r="AR279" s="100"/>
      <c r="AS279" s="100"/>
      <c r="AT279" s="100"/>
    </row>
    <row r="280" spans="1:46" ht="17" thickBot="1">
      <c r="A280" s="85" t="s">
        <v>4</v>
      </c>
      <c r="B280" s="510">
        <f>SUM(J280+K280+L280+M280+N280+S280+V280+W280+X280+AA280+AI280+AJ280+AI280+AM280+AP280+AQ280+AS280+AT280+AU280+AV280)+20</f>
        <v>25</v>
      </c>
      <c r="C280" s="217">
        <f t="shared" si="124"/>
        <v>25</v>
      </c>
      <c r="D280" s="597">
        <f t="shared" si="125"/>
        <v>5</v>
      </c>
      <c r="E280" s="603">
        <f t="shared" si="122"/>
        <v>5</v>
      </c>
      <c r="F280" s="618">
        <v>0</v>
      </c>
      <c r="G280" s="622">
        <v>0</v>
      </c>
      <c r="H280" s="114"/>
      <c r="I280" s="114"/>
      <c r="J280" s="113"/>
      <c r="K280" s="112"/>
      <c r="L280" s="112"/>
      <c r="M280" s="112"/>
      <c r="N280" s="112"/>
      <c r="O280" s="114"/>
      <c r="P280" s="127"/>
      <c r="Q280" s="127"/>
      <c r="R280" s="114"/>
      <c r="S280" s="113"/>
      <c r="T280" s="120"/>
      <c r="U280" s="119"/>
      <c r="V280" s="100">
        <v>5</v>
      </c>
      <c r="W280" s="100"/>
      <c r="X280" s="100"/>
      <c r="Y280" s="110">
        <v>5</v>
      </c>
      <c r="Z280" s="110"/>
      <c r="AA280" s="100"/>
      <c r="AB280" s="109"/>
      <c r="AC280" s="109"/>
      <c r="AD280" s="109"/>
      <c r="AE280" s="109"/>
      <c r="AF280" s="108"/>
      <c r="AG280" s="109"/>
      <c r="AH280" s="100"/>
      <c r="AI280" s="100"/>
      <c r="AJ280" s="110"/>
      <c r="AK280" s="416"/>
      <c r="AL280" s="100"/>
      <c r="AM280" s="100"/>
      <c r="AN280" s="111"/>
      <c r="AO280" s="100"/>
      <c r="AP280" s="100"/>
      <c r="AQ280" s="111"/>
      <c r="AR280" s="100"/>
      <c r="AS280" s="100"/>
      <c r="AT280" s="100"/>
    </row>
    <row r="281" spans="1:46" ht="21.1">
      <c r="A281" s="86" t="s">
        <v>22</v>
      </c>
      <c r="B281" s="508"/>
      <c r="C281" s="214"/>
      <c r="D281" s="595"/>
      <c r="E281" s="602"/>
      <c r="F281" s="617"/>
      <c r="G281" s="621"/>
      <c r="H281" s="96" t="s">
        <v>339</v>
      </c>
      <c r="I281" s="96" t="s">
        <v>339</v>
      </c>
      <c r="J281" s="104" t="s">
        <v>339</v>
      </c>
      <c r="K281" s="75" t="s">
        <v>339</v>
      </c>
      <c r="L281" s="75" t="s">
        <v>339</v>
      </c>
      <c r="M281" s="75" t="s">
        <v>339</v>
      </c>
      <c r="N281" s="75" t="s">
        <v>339</v>
      </c>
      <c r="O281" s="96" t="s">
        <v>339</v>
      </c>
      <c r="P281" s="105"/>
      <c r="Q281" s="105"/>
      <c r="R281" s="96" t="s">
        <v>339</v>
      </c>
      <c r="S281" s="104" t="s">
        <v>339</v>
      </c>
      <c r="T281" s="110" t="s">
        <v>339</v>
      </c>
      <c r="U281" s="110" t="s">
        <v>339</v>
      </c>
      <c r="V281" s="102" t="s">
        <v>339</v>
      </c>
      <c r="W281" s="102" t="s">
        <v>339</v>
      </c>
      <c r="X281" s="102" t="s">
        <v>339</v>
      </c>
      <c r="Y281" s="101" t="s">
        <v>339</v>
      </c>
      <c r="Z281" s="101" t="s">
        <v>339</v>
      </c>
      <c r="AA281" s="102" t="s">
        <v>339</v>
      </c>
      <c r="AB281" s="99" t="s">
        <v>339</v>
      </c>
      <c r="AC281" s="99" t="s">
        <v>339</v>
      </c>
      <c r="AD281" s="99" t="s">
        <v>339</v>
      </c>
      <c r="AE281" s="99" t="s">
        <v>339</v>
      </c>
      <c r="AF281" s="98"/>
      <c r="AG281" s="99" t="s">
        <v>1051</v>
      </c>
      <c r="AH281" s="102"/>
      <c r="AI281" s="102"/>
      <c r="AJ281" s="101"/>
      <c r="AK281" s="414"/>
      <c r="AL281" s="102"/>
      <c r="AM281" s="102"/>
      <c r="AN281" s="103"/>
      <c r="AO281" s="102"/>
      <c r="AP281" s="102"/>
      <c r="AQ281" s="103"/>
      <c r="AR281" s="102"/>
      <c r="AS281" s="102"/>
      <c r="AT281" s="102"/>
    </row>
    <row r="282" spans="1:46" ht="16.3">
      <c r="A282" s="246" t="s">
        <v>1</v>
      </c>
      <c r="B282" s="509">
        <f>SUM(J282+K282+L282+M282+N282+S282+V282+W282+X282+AA282+AI282+AJ282+AI282+AM282+AP282+AQ282+AS282+AT282+AU282+AV282+AN282)+44</f>
        <v>44</v>
      </c>
      <c r="C282" s="215">
        <f>B282</f>
        <v>44</v>
      </c>
      <c r="D282" s="596">
        <f>SUM(T282+U282+Y282+Z282+AK282+AL282+AO282+AR282)+9</f>
        <v>9</v>
      </c>
      <c r="E282" s="604">
        <f>D282</f>
        <v>9</v>
      </c>
      <c r="F282" s="626">
        <v>3</v>
      </c>
      <c r="G282" s="627">
        <v>3</v>
      </c>
      <c r="H282" s="96"/>
      <c r="I282" s="96"/>
      <c r="J282" s="104"/>
      <c r="K282" s="75"/>
      <c r="L282" s="75"/>
      <c r="M282" s="75"/>
      <c r="N282" s="75"/>
      <c r="O282" s="96"/>
      <c r="P282" s="105"/>
      <c r="Q282" s="105"/>
      <c r="R282" s="96"/>
      <c r="S282" s="104"/>
      <c r="T282" s="110"/>
      <c r="U282" s="110"/>
      <c r="V282" s="100"/>
      <c r="W282" s="100"/>
      <c r="X282" s="100"/>
      <c r="Y282" s="110"/>
      <c r="Z282" s="110"/>
      <c r="AA282" s="100"/>
      <c r="AB282" s="109"/>
      <c r="AC282" s="109"/>
      <c r="AD282" s="109"/>
      <c r="AE282" s="109"/>
      <c r="AF282" s="108"/>
      <c r="AG282" s="109"/>
      <c r="AH282" s="100"/>
      <c r="AI282" s="100"/>
      <c r="AJ282" s="110"/>
      <c r="AK282" s="416"/>
      <c r="AL282" s="100"/>
      <c r="AM282" s="100"/>
      <c r="AN282" s="111"/>
      <c r="AO282" s="100"/>
      <c r="AP282" s="100"/>
      <c r="AQ282" s="111"/>
      <c r="AR282" s="100"/>
      <c r="AS282" s="100"/>
      <c r="AT282" s="100"/>
    </row>
    <row r="283" spans="1:46" ht="16.3">
      <c r="A283" s="246" t="s">
        <v>2</v>
      </c>
      <c r="B283" s="509">
        <f>SUM(J283+K283+L283+M283+N283+S283+V283+W283+X283+AA283+AI283+AJ283+AI283+AM283+AP283+AQ283+AS283+AT283+AU283+AV283)+14</f>
        <v>14</v>
      </c>
      <c r="C283" s="215">
        <f t="shared" ref="C283:C287" si="126">B283</f>
        <v>14</v>
      </c>
      <c r="D283" s="596">
        <f>SUM(T283+U283+Y283+Z283+AK283+AL283+AO283+AR283)+1</f>
        <v>1</v>
      </c>
      <c r="E283" s="604">
        <f t="shared" ref="E283:E287" si="127">D283</f>
        <v>1</v>
      </c>
      <c r="F283" s="626">
        <v>0</v>
      </c>
      <c r="G283" s="627">
        <v>0</v>
      </c>
      <c r="H283" s="96"/>
      <c r="I283" s="96"/>
      <c r="J283" s="104"/>
      <c r="K283" s="75"/>
      <c r="L283" s="75"/>
      <c r="M283" s="75"/>
      <c r="N283" s="75"/>
      <c r="O283" s="96"/>
      <c r="P283" s="105"/>
      <c r="Q283" s="105"/>
      <c r="R283" s="96"/>
      <c r="S283" s="128"/>
      <c r="T283" s="106"/>
      <c r="U283" s="106"/>
      <c r="V283" s="75"/>
      <c r="W283" s="75"/>
      <c r="X283" s="75"/>
      <c r="Y283" s="106"/>
      <c r="Z283" s="106"/>
      <c r="AA283" s="75"/>
      <c r="AB283" s="96"/>
      <c r="AC283" s="96"/>
      <c r="AD283" s="96"/>
      <c r="AE283" s="96"/>
      <c r="AF283" s="105"/>
      <c r="AG283" s="96"/>
      <c r="AH283" s="75"/>
      <c r="AI283" s="75"/>
      <c r="AJ283" s="106"/>
      <c r="AK283" s="415"/>
      <c r="AL283" s="75"/>
      <c r="AM283" s="75"/>
      <c r="AN283" s="107"/>
      <c r="AO283" s="75"/>
      <c r="AP283" s="75"/>
      <c r="AQ283" s="107"/>
      <c r="AR283" s="75"/>
      <c r="AS283" s="75"/>
      <c r="AT283" s="75"/>
    </row>
    <row r="284" spans="1:46" ht="16.3">
      <c r="A284" s="83" t="s">
        <v>363</v>
      </c>
      <c r="B284" s="508">
        <f>SUM(B282+B283)</f>
        <v>58</v>
      </c>
      <c r="C284" s="214">
        <f t="shared" si="126"/>
        <v>58</v>
      </c>
      <c r="D284" s="595">
        <f>SUM(D282+D283)</f>
        <v>10</v>
      </c>
      <c r="E284" s="602">
        <f t="shared" si="127"/>
        <v>10</v>
      </c>
      <c r="F284" s="617">
        <v>3</v>
      </c>
      <c r="G284" s="621">
        <v>3</v>
      </c>
      <c r="H284" s="96"/>
      <c r="I284" s="96"/>
      <c r="J284" s="104"/>
      <c r="K284" s="75"/>
      <c r="L284" s="75"/>
      <c r="M284" s="75"/>
      <c r="N284" s="75"/>
      <c r="O284" s="96"/>
      <c r="P284" s="105"/>
      <c r="Q284" s="105"/>
      <c r="R284" s="96"/>
      <c r="S284" s="104"/>
      <c r="T284" s="110"/>
      <c r="U284" s="110"/>
      <c r="V284" s="100"/>
      <c r="W284" s="100"/>
      <c r="X284" s="100"/>
      <c r="Y284" s="110"/>
      <c r="Z284" s="110"/>
      <c r="AA284" s="100"/>
      <c r="AB284" s="109"/>
      <c r="AC284" s="109"/>
      <c r="AD284" s="109"/>
      <c r="AE284" s="109"/>
      <c r="AF284" s="108"/>
      <c r="AG284" s="109"/>
      <c r="AH284" s="100"/>
      <c r="AI284" s="100"/>
      <c r="AJ284" s="110"/>
      <c r="AK284" s="416"/>
      <c r="AL284" s="100"/>
      <c r="AM284" s="100"/>
      <c r="AN284" s="111"/>
      <c r="AO284" s="100"/>
      <c r="AP284" s="100"/>
      <c r="AQ284" s="111"/>
      <c r="AR284" s="100"/>
      <c r="AS284" s="100"/>
      <c r="AT284" s="100"/>
    </row>
    <row r="285" spans="1:46" ht="16.3">
      <c r="A285" s="246" t="s">
        <v>362</v>
      </c>
      <c r="B285" s="509">
        <f>SUM(J285+K285+L285+M285+N285+S285+V285+W285+X285+AA285+AI285+AJ285+AI285+AM285+AP285+AQ285+AS285+AT285+AU285+AV285)+2</f>
        <v>2</v>
      </c>
      <c r="C285" s="215">
        <f t="shared" si="126"/>
        <v>2</v>
      </c>
      <c r="D285" s="596">
        <f>SUM(T285+U285+Y285+Z285+AK285+AL285+AO285+AR285)</f>
        <v>0</v>
      </c>
      <c r="E285" s="604">
        <f t="shared" ref="E285" si="128">D285</f>
        <v>0</v>
      </c>
      <c r="F285" s="626">
        <v>0</v>
      </c>
      <c r="G285" s="627">
        <v>0</v>
      </c>
      <c r="H285" s="96"/>
      <c r="I285" s="96"/>
      <c r="J285" s="104"/>
      <c r="K285" s="75"/>
      <c r="L285" s="75"/>
      <c r="M285" s="75"/>
      <c r="N285" s="75"/>
      <c r="O285" s="96"/>
      <c r="P285" s="105"/>
      <c r="Q285" s="105"/>
      <c r="R285" s="96"/>
      <c r="S285" s="104"/>
      <c r="T285" s="110"/>
      <c r="U285" s="110"/>
      <c r="V285" s="100"/>
      <c r="W285" s="100"/>
      <c r="X285" s="100"/>
      <c r="Y285" s="110"/>
      <c r="Z285" s="110"/>
      <c r="AA285" s="100"/>
      <c r="AB285" s="109"/>
      <c r="AC285" s="109"/>
      <c r="AD285" s="109"/>
      <c r="AE285" s="109"/>
      <c r="AF285" s="108"/>
      <c r="AG285" s="109"/>
      <c r="AH285" s="100"/>
      <c r="AI285" s="100"/>
      <c r="AJ285" s="110"/>
      <c r="AK285" s="416"/>
      <c r="AL285" s="100"/>
      <c r="AM285" s="100"/>
      <c r="AN285" s="111"/>
      <c r="AO285" s="100"/>
      <c r="AP285" s="100"/>
      <c r="AQ285" s="111"/>
      <c r="AR285" s="100"/>
      <c r="AS285" s="100"/>
      <c r="AT285" s="100"/>
    </row>
    <row r="286" spans="1:46" ht="16.3">
      <c r="A286" s="83" t="s">
        <v>3</v>
      </c>
      <c r="B286" s="508">
        <f>SUM(J286+K286+L286+M286+N286+S286+V286+W286+X286+AA286+AI286+AJ286+AI286+AM286+AP286+AQ286+AS286+AT286+AU286+AV286)+8</f>
        <v>8</v>
      </c>
      <c r="C286" s="214">
        <f t="shared" si="126"/>
        <v>8</v>
      </c>
      <c r="D286" s="595">
        <f>SUM(T286+U286+Y286+Z286+AK286+AL286+AO286+AR286)+1</f>
        <v>1</v>
      </c>
      <c r="E286" s="602">
        <f t="shared" si="127"/>
        <v>1</v>
      </c>
      <c r="F286" s="617">
        <v>0</v>
      </c>
      <c r="G286" s="621">
        <v>0</v>
      </c>
      <c r="H286" s="96"/>
      <c r="I286" s="96"/>
      <c r="J286" s="104"/>
      <c r="K286" s="75"/>
      <c r="L286" s="75"/>
      <c r="M286" s="75"/>
      <c r="N286" s="75"/>
      <c r="O286" s="96"/>
      <c r="P286" s="105"/>
      <c r="Q286" s="105"/>
      <c r="R286" s="96"/>
      <c r="S286" s="104"/>
      <c r="T286" s="110"/>
      <c r="U286" s="110"/>
      <c r="V286" s="100"/>
      <c r="W286" s="100"/>
      <c r="X286" s="100"/>
      <c r="Y286" s="110"/>
      <c r="Z286" s="110"/>
      <c r="AA286" s="100"/>
      <c r="AB286" s="109"/>
      <c r="AC286" s="109"/>
      <c r="AD286" s="109"/>
      <c r="AE286" s="109"/>
      <c r="AF286" s="108"/>
      <c r="AG286" s="109"/>
      <c r="AH286" s="100"/>
      <c r="AI286" s="100"/>
      <c r="AJ286" s="110"/>
      <c r="AK286" s="416"/>
      <c r="AL286" s="100"/>
      <c r="AM286" s="100"/>
      <c r="AN286" s="111"/>
      <c r="AO286" s="100"/>
      <c r="AP286" s="100"/>
      <c r="AQ286" s="111"/>
      <c r="AR286" s="100"/>
      <c r="AS286" s="100"/>
      <c r="AT286" s="100"/>
    </row>
    <row r="287" spans="1:46" ht="17" thickBot="1">
      <c r="A287" s="85" t="s">
        <v>4</v>
      </c>
      <c r="B287" s="510">
        <f>SUM(J287+K287+L287+M287+N287+S287+V287+W287+X287+AA287+AI287+AJ287+AI287+AM287+AP287+AQ287+AS287+AT287+AU287+AV287)+40</f>
        <v>40</v>
      </c>
      <c r="C287" s="217">
        <f t="shared" si="126"/>
        <v>40</v>
      </c>
      <c r="D287" s="597">
        <f>SUM(T287+U287+Y287+Z287+AK287+AL287+AO287+AR287)+5</f>
        <v>5</v>
      </c>
      <c r="E287" s="603">
        <f t="shared" si="127"/>
        <v>5</v>
      </c>
      <c r="F287" s="618">
        <v>0</v>
      </c>
      <c r="G287" s="622">
        <v>0</v>
      </c>
      <c r="H287" s="114"/>
      <c r="I287" s="114"/>
      <c r="J287" s="113"/>
      <c r="K287" s="112"/>
      <c r="L287" s="112"/>
      <c r="M287" s="112"/>
      <c r="N287" s="112"/>
      <c r="O287" s="114"/>
      <c r="P287" s="127"/>
      <c r="Q287" s="127"/>
      <c r="R287" s="114"/>
      <c r="S287" s="113"/>
      <c r="T287" s="120"/>
      <c r="U287" s="119"/>
      <c r="V287" s="100"/>
      <c r="W287" s="100"/>
      <c r="X287" s="100"/>
      <c r="Y287" s="110"/>
      <c r="Z287" s="110"/>
      <c r="AA287" s="100"/>
      <c r="AB287" s="109"/>
      <c r="AC287" s="109"/>
      <c r="AD287" s="109"/>
      <c r="AE287" s="109"/>
      <c r="AF287" s="108"/>
      <c r="AG287" s="109"/>
      <c r="AH287" s="100"/>
      <c r="AI287" s="100"/>
      <c r="AJ287" s="110"/>
      <c r="AK287" s="416"/>
      <c r="AL287" s="100"/>
      <c r="AM287" s="100"/>
      <c r="AN287" s="111"/>
      <c r="AO287" s="100"/>
      <c r="AP287" s="100"/>
      <c r="AQ287" s="111"/>
      <c r="AR287" s="100"/>
      <c r="AS287" s="100"/>
      <c r="AT287" s="100"/>
    </row>
    <row r="288" spans="1:46" ht="21.1">
      <c r="A288" s="82" t="s">
        <v>25</v>
      </c>
      <c r="B288" s="508"/>
      <c r="C288" s="214"/>
      <c r="D288" s="595"/>
      <c r="E288" s="602"/>
      <c r="F288" s="617"/>
      <c r="G288" s="621"/>
      <c r="H288" s="96"/>
      <c r="I288" s="96"/>
      <c r="J288" s="104">
        <v>4</v>
      </c>
      <c r="K288" s="75" t="s">
        <v>727</v>
      </c>
      <c r="L288" s="75" t="s">
        <v>717</v>
      </c>
      <c r="M288" s="75">
        <v>4</v>
      </c>
      <c r="N288" s="75" t="s">
        <v>372</v>
      </c>
      <c r="O288" s="96"/>
      <c r="P288" s="105"/>
      <c r="Q288" s="105"/>
      <c r="R288" s="96" t="s">
        <v>372</v>
      </c>
      <c r="S288" s="104">
        <v>4</v>
      </c>
      <c r="T288" s="110">
        <v>4</v>
      </c>
      <c r="U288" s="110">
        <v>4</v>
      </c>
      <c r="V288" s="102">
        <v>4</v>
      </c>
      <c r="W288" s="102">
        <v>4</v>
      </c>
      <c r="X288" s="102">
        <v>4</v>
      </c>
      <c r="Y288" s="101">
        <v>4</v>
      </c>
      <c r="Z288" s="101"/>
      <c r="AA288" s="102" t="s">
        <v>894</v>
      </c>
      <c r="AB288" s="99"/>
      <c r="AC288" s="99"/>
      <c r="AD288" s="99"/>
      <c r="AE288" s="99"/>
      <c r="AF288" s="98"/>
      <c r="AG288" s="99"/>
      <c r="AH288" s="102"/>
      <c r="AI288" s="102"/>
      <c r="AJ288" s="101"/>
      <c r="AK288" s="414"/>
      <c r="AL288" s="102"/>
      <c r="AM288" s="102"/>
      <c r="AN288" s="103"/>
      <c r="AO288" s="102"/>
      <c r="AP288" s="102"/>
      <c r="AQ288" s="103"/>
      <c r="AR288" s="102"/>
      <c r="AS288" s="102"/>
      <c r="AT288" s="102"/>
    </row>
    <row r="289" spans="1:46" ht="16.3">
      <c r="A289" s="246" t="s">
        <v>1</v>
      </c>
      <c r="B289" s="509">
        <f>SUM(J289+K289+L289+M289+N289+S289+V289+W289+X289+AA289+AI289+AJ289+AI289+AM289+AP289+AQ289+AS289+AT289+AU289+AV289+AN289)+35</f>
        <v>44</v>
      </c>
      <c r="C289" s="215">
        <f>B289</f>
        <v>44</v>
      </c>
      <c r="D289" s="596">
        <f>SUM(T289+U289+Y289+Z289+AK289+AL289+AO289+AR289)+8</f>
        <v>11</v>
      </c>
      <c r="E289" s="604">
        <f t="shared" ref="E289:E294" si="129">D289</f>
        <v>11</v>
      </c>
      <c r="F289" s="626">
        <v>3</v>
      </c>
      <c r="G289" s="627">
        <f t="shared" ref="G289:G301" si="130">F289</f>
        <v>3</v>
      </c>
      <c r="H289" s="96"/>
      <c r="I289" s="96"/>
      <c r="J289" s="104">
        <v>1</v>
      </c>
      <c r="K289" s="75">
        <v>1</v>
      </c>
      <c r="L289" s="75"/>
      <c r="M289" s="75">
        <v>1</v>
      </c>
      <c r="N289" s="75">
        <v>1</v>
      </c>
      <c r="O289" s="96"/>
      <c r="P289" s="105"/>
      <c r="Q289" s="105"/>
      <c r="R289" s="96">
        <v>1</v>
      </c>
      <c r="S289" s="104">
        <v>1</v>
      </c>
      <c r="T289" s="110">
        <v>1</v>
      </c>
      <c r="U289" s="110">
        <v>1</v>
      </c>
      <c r="V289" s="100">
        <v>1</v>
      </c>
      <c r="W289" s="100">
        <v>1</v>
      </c>
      <c r="X289" s="100">
        <v>1</v>
      </c>
      <c r="Y289" s="110">
        <v>1</v>
      </c>
      <c r="Z289" s="110"/>
      <c r="AA289" s="100">
        <v>1</v>
      </c>
      <c r="AB289" s="109"/>
      <c r="AC289" s="109"/>
      <c r="AD289" s="109"/>
      <c r="AE289" s="109"/>
      <c r="AF289" s="108"/>
      <c r="AG289" s="109"/>
      <c r="AH289" s="100"/>
      <c r="AI289" s="100"/>
      <c r="AJ289" s="110"/>
      <c r="AK289" s="416"/>
      <c r="AL289" s="100"/>
      <c r="AM289" s="100"/>
      <c r="AN289" s="111"/>
      <c r="AO289" s="100"/>
      <c r="AP289" s="100"/>
      <c r="AQ289" s="111"/>
      <c r="AR289" s="100"/>
      <c r="AS289" s="100"/>
      <c r="AT289" s="100"/>
    </row>
    <row r="290" spans="1:46" ht="16.3">
      <c r="A290" s="246" t="s">
        <v>2</v>
      </c>
      <c r="B290" s="509">
        <f>SUM(J290+K290+L290+M290+N290+S290+V290+W290+X290+AA290+AI290+AJ290+AI290+AM290+AP290+AQ290+AS290+AT290+AU290+AV290)+12</f>
        <v>12</v>
      </c>
      <c r="C290" s="215">
        <f t="shared" ref="C290:C294" si="131">B290</f>
        <v>12</v>
      </c>
      <c r="D290" s="596">
        <f>SUM(T290+U290+Y290+Z290+AK290+AL290+AO290+AR290)+1</f>
        <v>1</v>
      </c>
      <c r="E290" s="604">
        <f t="shared" si="129"/>
        <v>1</v>
      </c>
      <c r="F290" s="626">
        <v>1</v>
      </c>
      <c r="G290" s="627">
        <f t="shared" si="130"/>
        <v>1</v>
      </c>
      <c r="H290" s="96"/>
      <c r="I290" s="96"/>
      <c r="J290" s="104"/>
      <c r="K290" s="75"/>
      <c r="L290" s="75"/>
      <c r="M290" s="75"/>
      <c r="N290" s="75"/>
      <c r="O290" s="96"/>
      <c r="P290" s="105"/>
      <c r="Q290" s="105"/>
      <c r="R290" s="96"/>
      <c r="S290" s="104"/>
      <c r="T290" s="110"/>
      <c r="U290" s="110"/>
      <c r="V290" s="100"/>
      <c r="W290" s="100"/>
      <c r="X290" s="100"/>
      <c r="Y290" s="110"/>
      <c r="Z290" s="110"/>
      <c r="AA290" s="100"/>
      <c r="AB290" s="109"/>
      <c r="AC290" s="109"/>
      <c r="AD290" s="109"/>
      <c r="AE290" s="109"/>
      <c r="AF290" s="108"/>
      <c r="AG290" s="109"/>
      <c r="AH290" s="100"/>
      <c r="AI290" s="100"/>
      <c r="AJ290" s="110"/>
      <c r="AK290" s="416"/>
      <c r="AL290" s="100"/>
      <c r="AM290" s="100"/>
      <c r="AN290" s="111"/>
      <c r="AO290" s="100"/>
      <c r="AP290" s="100"/>
      <c r="AQ290" s="111"/>
      <c r="AR290" s="100"/>
      <c r="AS290" s="100"/>
      <c r="AT290" s="100"/>
    </row>
    <row r="291" spans="1:46" ht="16.3">
      <c r="A291" s="83" t="s">
        <v>363</v>
      </c>
      <c r="B291" s="508">
        <f>SUM(B289+B290)</f>
        <v>56</v>
      </c>
      <c r="C291" s="214">
        <f t="shared" si="131"/>
        <v>56</v>
      </c>
      <c r="D291" s="595">
        <f>SUM(D289+D290)</f>
        <v>12</v>
      </c>
      <c r="E291" s="602">
        <f t="shared" si="129"/>
        <v>12</v>
      </c>
      <c r="F291" s="617">
        <f>SUM(F289+F290)</f>
        <v>4</v>
      </c>
      <c r="G291" s="621">
        <f t="shared" si="130"/>
        <v>4</v>
      </c>
      <c r="H291" s="96"/>
      <c r="I291" s="96"/>
      <c r="J291" s="104"/>
      <c r="K291" s="75"/>
      <c r="L291" s="75"/>
      <c r="M291" s="75"/>
      <c r="N291" s="75"/>
      <c r="O291" s="96"/>
      <c r="P291" s="105"/>
      <c r="Q291" s="105"/>
      <c r="R291" s="96"/>
      <c r="S291" s="104"/>
      <c r="T291" s="110"/>
      <c r="U291" s="110"/>
      <c r="V291" s="100"/>
      <c r="W291" s="100"/>
      <c r="X291" s="100"/>
      <c r="Y291" s="110"/>
      <c r="Z291" s="110"/>
      <c r="AA291" s="100"/>
      <c r="AB291" s="109"/>
      <c r="AC291" s="109"/>
      <c r="AD291" s="109"/>
      <c r="AE291" s="109"/>
      <c r="AF291" s="108"/>
      <c r="AG291" s="109"/>
      <c r="AH291" s="100"/>
      <c r="AI291" s="100"/>
      <c r="AJ291" s="110"/>
      <c r="AK291" s="416"/>
      <c r="AL291" s="100"/>
      <c r="AM291" s="100"/>
      <c r="AN291" s="111"/>
      <c r="AO291" s="100"/>
      <c r="AP291" s="100"/>
      <c r="AQ291" s="111"/>
      <c r="AR291" s="100"/>
      <c r="AS291" s="100"/>
      <c r="AT291" s="100"/>
    </row>
    <row r="292" spans="1:46" ht="16.3">
      <c r="A292" s="246" t="s">
        <v>362</v>
      </c>
      <c r="B292" s="509">
        <f>SUM(J292+K292+L292+M292+N292+S292+V292+W292+X292+AA292+AI292+AJ292+AI292+AM292+AP292+AQ292+AS292+AT292+AU292+AV292)+1</f>
        <v>1</v>
      </c>
      <c r="C292" s="215">
        <f t="shared" si="131"/>
        <v>1</v>
      </c>
      <c r="D292" s="596">
        <f>SUM(T292+U292+Y292+Z292+AK292+AL292+AO292+AR292)+1</f>
        <v>1</v>
      </c>
      <c r="E292" s="604">
        <f t="shared" si="129"/>
        <v>1</v>
      </c>
      <c r="F292" s="626">
        <v>0</v>
      </c>
      <c r="G292" s="627">
        <f t="shared" si="130"/>
        <v>0</v>
      </c>
      <c r="H292" s="96"/>
      <c r="I292" s="96"/>
      <c r="J292" s="104"/>
      <c r="K292" s="75"/>
      <c r="L292" s="75"/>
      <c r="M292" s="75"/>
      <c r="N292" s="75"/>
      <c r="O292" s="96"/>
      <c r="P292" s="105"/>
      <c r="Q292" s="105"/>
      <c r="R292" s="96"/>
      <c r="S292" s="104"/>
      <c r="T292" s="110"/>
      <c r="U292" s="110"/>
      <c r="V292" s="100"/>
      <c r="W292" s="100"/>
      <c r="X292" s="100"/>
      <c r="Y292" s="110"/>
      <c r="Z292" s="110"/>
      <c r="AA292" s="100"/>
      <c r="AB292" s="109"/>
      <c r="AC292" s="109"/>
      <c r="AD292" s="109"/>
      <c r="AE292" s="109"/>
      <c r="AF292" s="108"/>
      <c r="AG292" s="109"/>
      <c r="AH292" s="100"/>
      <c r="AI292" s="100"/>
      <c r="AJ292" s="110"/>
      <c r="AK292" s="416"/>
      <c r="AL292" s="100"/>
      <c r="AM292" s="100"/>
      <c r="AN292" s="111"/>
      <c r="AO292" s="100"/>
      <c r="AP292" s="100"/>
      <c r="AQ292" s="111"/>
      <c r="AR292" s="100"/>
      <c r="AS292" s="100"/>
      <c r="AT292" s="100"/>
    </row>
    <row r="293" spans="1:46" ht="16.3">
      <c r="A293" s="83" t="s">
        <v>3</v>
      </c>
      <c r="B293" s="508">
        <f>SUM(J293+K293+L293+M293+N293+S293+V293+W293+X293+AA293+AI293+AJ293+AI293+AM293+AP293+AQ293+AS293+AT293+AU293+AV293)+7</f>
        <v>9</v>
      </c>
      <c r="C293" s="214">
        <f t="shared" si="131"/>
        <v>9</v>
      </c>
      <c r="D293" s="595">
        <f>SUM(T293+U293+Y293+Z293+AK293+AL293+AO293+AR293)</f>
        <v>1</v>
      </c>
      <c r="E293" s="602">
        <f t="shared" si="129"/>
        <v>1</v>
      </c>
      <c r="F293" s="617">
        <v>0</v>
      </c>
      <c r="G293" s="621">
        <f t="shared" si="130"/>
        <v>0</v>
      </c>
      <c r="H293" s="96"/>
      <c r="I293" s="96"/>
      <c r="J293" s="104"/>
      <c r="K293" s="75"/>
      <c r="L293" s="75"/>
      <c r="M293" s="75"/>
      <c r="N293" s="75">
        <v>1</v>
      </c>
      <c r="O293" s="96"/>
      <c r="P293" s="105"/>
      <c r="Q293" s="105"/>
      <c r="R293" s="96"/>
      <c r="S293" s="104"/>
      <c r="T293" s="110"/>
      <c r="U293" s="110"/>
      <c r="V293" s="100"/>
      <c r="W293" s="100">
        <v>1</v>
      </c>
      <c r="X293" s="100"/>
      <c r="Y293" s="110">
        <v>1</v>
      </c>
      <c r="Z293" s="110"/>
      <c r="AA293" s="100"/>
      <c r="AB293" s="109"/>
      <c r="AC293" s="109"/>
      <c r="AD293" s="109"/>
      <c r="AE293" s="109"/>
      <c r="AF293" s="108"/>
      <c r="AG293" s="109"/>
      <c r="AH293" s="100"/>
      <c r="AI293" s="100"/>
      <c r="AJ293" s="110"/>
      <c r="AK293" s="416"/>
      <c r="AL293" s="100"/>
      <c r="AM293" s="100"/>
      <c r="AN293" s="111"/>
      <c r="AO293" s="100"/>
      <c r="AP293" s="100"/>
      <c r="AQ293" s="111"/>
      <c r="AR293" s="100"/>
      <c r="AS293" s="100"/>
      <c r="AT293" s="100"/>
    </row>
    <row r="294" spans="1:46" ht="17" thickBot="1">
      <c r="A294" s="85" t="s">
        <v>4</v>
      </c>
      <c r="B294" s="510">
        <f>SUM(J294+K294+L294+M294+N294+S294+V294+W294+X294+AA294+AI294+AJ294+AI294+AM294+AP294+AQ294+AS294+AT294+AU294+AV294)+35</f>
        <v>45</v>
      </c>
      <c r="C294" s="217">
        <f t="shared" si="131"/>
        <v>45</v>
      </c>
      <c r="D294" s="597">
        <f>SUM(T294+U294+Y294+Z294+AK294+AL294+AO294+AR294)</f>
        <v>5</v>
      </c>
      <c r="E294" s="603">
        <f t="shared" si="129"/>
        <v>5</v>
      </c>
      <c r="F294" s="618">
        <v>0</v>
      </c>
      <c r="G294" s="622">
        <f t="shared" si="130"/>
        <v>0</v>
      </c>
      <c r="H294" s="114"/>
      <c r="I294" s="114"/>
      <c r="J294" s="113"/>
      <c r="K294" s="112"/>
      <c r="L294" s="112"/>
      <c r="M294" s="112"/>
      <c r="N294" s="112">
        <v>5</v>
      </c>
      <c r="O294" s="114"/>
      <c r="P294" s="127"/>
      <c r="Q294" s="127"/>
      <c r="R294" s="114"/>
      <c r="S294" s="113"/>
      <c r="T294" s="120"/>
      <c r="U294" s="119"/>
      <c r="V294" s="100"/>
      <c r="W294" s="100">
        <v>5</v>
      </c>
      <c r="X294" s="100"/>
      <c r="Y294" s="110">
        <v>5</v>
      </c>
      <c r="Z294" s="110"/>
      <c r="AA294" s="100"/>
      <c r="AB294" s="109"/>
      <c r="AC294" s="109"/>
      <c r="AD294" s="109"/>
      <c r="AE294" s="109"/>
      <c r="AF294" s="108"/>
      <c r="AG294" s="109"/>
      <c r="AH294" s="100"/>
      <c r="AI294" s="100"/>
      <c r="AJ294" s="110"/>
      <c r="AK294" s="416"/>
      <c r="AL294" s="100"/>
      <c r="AM294" s="100"/>
      <c r="AN294" s="111"/>
      <c r="AO294" s="100"/>
      <c r="AP294" s="100"/>
      <c r="AQ294" s="111"/>
      <c r="AR294" s="100"/>
      <c r="AS294" s="100"/>
      <c r="AT294" s="100"/>
    </row>
    <row r="295" spans="1:46" ht="21.1">
      <c r="A295" s="82" t="s">
        <v>21</v>
      </c>
      <c r="B295" s="508"/>
      <c r="C295" s="214"/>
      <c r="D295" s="595"/>
      <c r="E295" s="602"/>
      <c r="F295" s="617"/>
      <c r="G295" s="621"/>
      <c r="H295" s="96"/>
      <c r="I295" s="96">
        <v>4</v>
      </c>
      <c r="J295" s="104"/>
      <c r="K295" s="75"/>
      <c r="L295" s="75" t="s">
        <v>372</v>
      </c>
      <c r="M295" s="75" t="s">
        <v>393</v>
      </c>
      <c r="N295" s="75" t="s">
        <v>375</v>
      </c>
      <c r="O295" s="96">
        <v>4</v>
      </c>
      <c r="P295" s="105"/>
      <c r="Q295" s="105"/>
      <c r="R295" s="96" t="s">
        <v>375</v>
      </c>
      <c r="S295" s="104" t="s">
        <v>375</v>
      </c>
      <c r="T295" s="110">
        <v>5</v>
      </c>
      <c r="U295" s="110" t="s">
        <v>387</v>
      </c>
      <c r="V295" s="102" t="s">
        <v>387</v>
      </c>
      <c r="W295" s="102"/>
      <c r="X295" s="102"/>
      <c r="Y295" s="101"/>
      <c r="Z295" s="101">
        <v>5</v>
      </c>
      <c r="AA295" s="102"/>
      <c r="AB295" s="99" t="s">
        <v>372</v>
      </c>
      <c r="AC295" s="99">
        <v>4</v>
      </c>
      <c r="AD295" s="99">
        <v>4</v>
      </c>
      <c r="AE295" s="99">
        <v>4</v>
      </c>
      <c r="AF295" s="98"/>
      <c r="AG295" s="99">
        <v>4</v>
      </c>
      <c r="AH295" s="102"/>
      <c r="AI295" s="102"/>
      <c r="AJ295" s="101"/>
      <c r="AK295" s="414"/>
      <c r="AL295" s="102"/>
      <c r="AM295" s="102"/>
      <c r="AN295" s="103"/>
      <c r="AO295" s="102"/>
      <c r="AP295" s="102"/>
      <c r="AQ295" s="103"/>
      <c r="AR295" s="102"/>
      <c r="AS295" s="102"/>
      <c r="AT295" s="102"/>
    </row>
    <row r="296" spans="1:46" ht="16.3">
      <c r="A296" s="246" t="s">
        <v>1</v>
      </c>
      <c r="B296" s="509">
        <f>SUM(J296+K296+L296+M296+N296+S296+V296+W296+X296+AA296+AI296+AJ296+AI296+AM296+AP296+AQ296+AS296+AT296+AU296+AV296+AN296)+89</f>
        <v>91</v>
      </c>
      <c r="C296" s="215">
        <f>B296</f>
        <v>91</v>
      </c>
      <c r="D296" s="596">
        <f>SUM(T296+U296+Y296+Z296+AK296+AL296+AO296+AR296)+16</f>
        <v>19</v>
      </c>
      <c r="E296" s="604">
        <f>D296</f>
        <v>19</v>
      </c>
      <c r="F296" s="626">
        <v>8</v>
      </c>
      <c r="G296" s="627">
        <f t="shared" si="130"/>
        <v>8</v>
      </c>
      <c r="H296" s="96"/>
      <c r="I296" s="96">
        <v>1</v>
      </c>
      <c r="J296" s="104"/>
      <c r="K296" s="75"/>
      <c r="L296" s="75">
        <v>1</v>
      </c>
      <c r="M296" s="75"/>
      <c r="N296" s="75"/>
      <c r="O296" s="96">
        <v>1</v>
      </c>
      <c r="P296" s="105"/>
      <c r="Q296" s="105"/>
      <c r="R296" s="96"/>
      <c r="S296" s="104"/>
      <c r="T296" s="110">
        <v>1</v>
      </c>
      <c r="U296" s="110">
        <v>1</v>
      </c>
      <c r="V296" s="100">
        <v>1</v>
      </c>
      <c r="W296" s="100"/>
      <c r="X296" s="100"/>
      <c r="Y296" s="110"/>
      <c r="Z296" s="110">
        <v>1</v>
      </c>
      <c r="AA296" s="100"/>
      <c r="AB296" s="109">
        <v>1</v>
      </c>
      <c r="AC296" s="109">
        <v>1</v>
      </c>
      <c r="AD296" s="109">
        <v>1</v>
      </c>
      <c r="AE296" s="109">
        <v>1</v>
      </c>
      <c r="AF296" s="108"/>
      <c r="AG296" s="109">
        <v>1</v>
      </c>
      <c r="AH296" s="100"/>
      <c r="AI296" s="100"/>
      <c r="AJ296" s="110"/>
      <c r="AK296" s="416"/>
      <c r="AL296" s="100"/>
      <c r="AM296" s="100"/>
      <c r="AN296" s="111"/>
      <c r="AO296" s="100"/>
      <c r="AP296" s="100"/>
      <c r="AQ296" s="111"/>
      <c r="AR296" s="100"/>
      <c r="AS296" s="100"/>
      <c r="AT296" s="100"/>
    </row>
    <row r="297" spans="1:46" ht="16.3">
      <c r="A297" s="246" t="s">
        <v>2</v>
      </c>
      <c r="B297" s="509">
        <f>SUM(J297+K297+L297+M297+N297+S297+V297+W297+X297+AA297+AI297+AJ297+AI297+AM297+AP297+AQ297+AS297+AT297+AU297+AV297)+59</f>
        <v>61</v>
      </c>
      <c r="C297" s="215">
        <f t="shared" ref="C297:C301" si="132">B297</f>
        <v>61</v>
      </c>
      <c r="D297" s="596">
        <f>SUM(T297+U297+Y297+Z297+AK297+AL297+AO297+AR297)+11</f>
        <v>11</v>
      </c>
      <c r="E297" s="604">
        <f t="shared" ref="E297:E301" si="133">D297</f>
        <v>11</v>
      </c>
      <c r="F297" s="626">
        <v>3</v>
      </c>
      <c r="G297" s="627">
        <f t="shared" si="130"/>
        <v>3</v>
      </c>
      <c r="H297" s="96"/>
      <c r="I297" s="96"/>
      <c r="J297" s="104"/>
      <c r="K297" s="75"/>
      <c r="L297" s="75"/>
      <c r="M297" s="75"/>
      <c r="N297" s="75">
        <v>1</v>
      </c>
      <c r="O297" s="96"/>
      <c r="P297" s="105"/>
      <c r="Q297" s="105"/>
      <c r="R297" s="96">
        <v>1</v>
      </c>
      <c r="S297" s="104">
        <v>1</v>
      </c>
      <c r="T297" s="110"/>
      <c r="U297" s="110"/>
      <c r="V297" s="100"/>
      <c r="W297" s="100"/>
      <c r="X297" s="100"/>
      <c r="Y297" s="110"/>
      <c r="Z297" s="110"/>
      <c r="AA297" s="100"/>
      <c r="AB297" s="109"/>
      <c r="AC297" s="109"/>
      <c r="AD297" s="109"/>
      <c r="AE297" s="109"/>
      <c r="AF297" s="108"/>
      <c r="AG297" s="109"/>
      <c r="AH297" s="100"/>
      <c r="AI297" s="100"/>
      <c r="AJ297" s="110"/>
      <c r="AK297" s="416"/>
      <c r="AL297" s="100"/>
      <c r="AM297" s="100"/>
      <c r="AN297" s="111"/>
      <c r="AO297" s="100"/>
      <c r="AP297" s="100"/>
      <c r="AQ297" s="111"/>
      <c r="AR297" s="100"/>
      <c r="AS297" s="100"/>
      <c r="AT297" s="100"/>
    </row>
    <row r="298" spans="1:46" ht="16.3">
      <c r="A298" s="83" t="s">
        <v>363</v>
      </c>
      <c r="B298" s="508">
        <f>SUM(B296+B297)</f>
        <v>152</v>
      </c>
      <c r="C298" s="214">
        <f t="shared" si="132"/>
        <v>152</v>
      </c>
      <c r="D298" s="595">
        <f>SUM(D296+D297)</f>
        <v>30</v>
      </c>
      <c r="E298" s="602">
        <f t="shared" si="133"/>
        <v>30</v>
      </c>
      <c r="F298" s="617">
        <f>SUM(F296+F297)</f>
        <v>11</v>
      </c>
      <c r="G298" s="621">
        <f t="shared" si="130"/>
        <v>11</v>
      </c>
      <c r="H298" s="96"/>
      <c r="I298" s="96"/>
      <c r="J298" s="104"/>
      <c r="K298" s="75"/>
      <c r="L298" s="75"/>
      <c r="M298" s="75"/>
      <c r="N298" s="75"/>
      <c r="O298" s="96"/>
      <c r="P298" s="105"/>
      <c r="Q298" s="105"/>
      <c r="R298" s="96"/>
      <c r="S298" s="104"/>
      <c r="T298" s="110"/>
      <c r="U298" s="110"/>
      <c r="V298" s="100"/>
      <c r="W298" s="100"/>
      <c r="X298" s="100"/>
      <c r="Y298" s="110"/>
      <c r="Z298" s="110"/>
      <c r="AA298" s="100"/>
      <c r="AB298" s="109"/>
      <c r="AC298" s="109"/>
      <c r="AD298" s="109"/>
      <c r="AE298" s="109"/>
      <c r="AF298" s="108"/>
      <c r="AG298" s="109"/>
      <c r="AH298" s="100"/>
      <c r="AI298" s="100"/>
      <c r="AJ298" s="110"/>
      <c r="AK298" s="416"/>
      <c r="AL298" s="100"/>
      <c r="AM298" s="100"/>
      <c r="AN298" s="111"/>
      <c r="AO298" s="100"/>
      <c r="AP298" s="100"/>
      <c r="AQ298" s="111"/>
      <c r="AR298" s="100"/>
      <c r="AS298" s="100"/>
      <c r="AT298" s="100"/>
    </row>
    <row r="299" spans="1:46" ht="16.3">
      <c r="A299" s="246" t="s">
        <v>362</v>
      </c>
      <c r="B299" s="509">
        <f>SUM(J299+K299+L299+M299+N299+S299+V299+W299+X299+AA299+AI299+AJ299+AI299+AM299+AP299+AQ299+AS299+AT299+AU299+AV299)+6</f>
        <v>6</v>
      </c>
      <c r="C299" s="215">
        <f t="shared" si="132"/>
        <v>6</v>
      </c>
      <c r="D299" s="596">
        <f>SUM(T299+U299+Y299+Z299+AK299+AL299+AO299+AR299)</f>
        <v>0</v>
      </c>
      <c r="E299" s="604">
        <f t="shared" ref="E299" si="134">D299</f>
        <v>0</v>
      </c>
      <c r="F299" s="626">
        <v>0</v>
      </c>
      <c r="G299" s="627">
        <f t="shared" si="130"/>
        <v>0</v>
      </c>
      <c r="H299" s="96"/>
      <c r="I299" s="96"/>
      <c r="J299" s="104"/>
      <c r="K299" s="75"/>
      <c r="L299" s="75"/>
      <c r="M299" s="75"/>
      <c r="N299" s="75"/>
      <c r="O299" s="96"/>
      <c r="P299" s="105"/>
      <c r="Q299" s="105"/>
      <c r="R299" s="96"/>
      <c r="S299" s="104"/>
      <c r="T299" s="110"/>
      <c r="U299" s="110"/>
      <c r="V299" s="100"/>
      <c r="W299" s="100"/>
      <c r="X299" s="100"/>
      <c r="Y299" s="110"/>
      <c r="Z299" s="110"/>
      <c r="AA299" s="100"/>
      <c r="AB299" s="109"/>
      <c r="AC299" s="109"/>
      <c r="AD299" s="109"/>
      <c r="AE299" s="109"/>
      <c r="AF299" s="108"/>
      <c r="AG299" s="109"/>
      <c r="AH299" s="100"/>
      <c r="AI299" s="100"/>
      <c r="AJ299" s="110"/>
      <c r="AK299" s="416"/>
      <c r="AL299" s="100"/>
      <c r="AM299" s="100"/>
      <c r="AN299" s="111"/>
      <c r="AO299" s="100"/>
      <c r="AP299" s="100"/>
      <c r="AQ299" s="111"/>
      <c r="AR299" s="100"/>
      <c r="AS299" s="100"/>
      <c r="AT299" s="100"/>
    </row>
    <row r="300" spans="1:46" ht="16.3">
      <c r="A300" s="83" t="s">
        <v>3</v>
      </c>
      <c r="B300" s="508">
        <f>SUM(J300+K300+L300+M300+N300+S300+V300+W300+X300+AA300+AI300+AJ300+AI300+AM300+AP300+AQ300+AS300+AT300+AU300+AV300)+5</f>
        <v>6</v>
      </c>
      <c r="C300" s="214">
        <f t="shared" si="132"/>
        <v>6</v>
      </c>
      <c r="D300" s="595">
        <f>SUM(T300+U300+Y300+Z300+AK300+AL300+AO300+AR300)+2</f>
        <v>2</v>
      </c>
      <c r="E300" s="602">
        <f t="shared" si="133"/>
        <v>2</v>
      </c>
      <c r="F300" s="617">
        <v>3</v>
      </c>
      <c r="G300" s="621">
        <f t="shared" si="130"/>
        <v>3</v>
      </c>
      <c r="H300" s="96"/>
      <c r="I300" s="96"/>
      <c r="J300" s="104"/>
      <c r="K300" s="75"/>
      <c r="L300" s="75">
        <v>1</v>
      </c>
      <c r="M300" s="75"/>
      <c r="N300" s="75"/>
      <c r="O300" s="96"/>
      <c r="P300" s="105"/>
      <c r="Q300" s="105"/>
      <c r="R300" s="96"/>
      <c r="S300" s="104"/>
      <c r="T300" s="110"/>
      <c r="U300" s="110"/>
      <c r="V300" s="100"/>
      <c r="W300" s="100"/>
      <c r="X300" s="100"/>
      <c r="Y300" s="110"/>
      <c r="Z300" s="110"/>
      <c r="AA300" s="100"/>
      <c r="AB300" s="109"/>
      <c r="AC300" s="109"/>
      <c r="AD300" s="109"/>
      <c r="AE300" s="109"/>
      <c r="AF300" s="108"/>
      <c r="AG300" s="109"/>
      <c r="AH300" s="100"/>
      <c r="AI300" s="100"/>
      <c r="AJ300" s="110"/>
      <c r="AK300" s="416"/>
      <c r="AL300" s="100"/>
      <c r="AM300" s="100"/>
      <c r="AN300" s="111"/>
      <c r="AO300" s="100"/>
      <c r="AP300" s="100"/>
      <c r="AQ300" s="111"/>
      <c r="AR300" s="100"/>
      <c r="AS300" s="100"/>
      <c r="AT300" s="100"/>
    </row>
    <row r="301" spans="1:46" ht="17" thickBot="1">
      <c r="A301" s="85" t="s">
        <v>4</v>
      </c>
      <c r="B301" s="510">
        <f>SUM(J301+K301+L301+M301+N301+S301+V301+W301+X301+AA301+AI301+AJ301+AI301+AM301+AP301+AQ301+AS301+AT301+AU301+AV301)+25</f>
        <v>30</v>
      </c>
      <c r="C301" s="217">
        <f t="shared" si="132"/>
        <v>30</v>
      </c>
      <c r="D301" s="597">
        <f>SUM(T301+U301+Y301+Z301+AK301+AL301+AO301+AR301)+10</f>
        <v>10</v>
      </c>
      <c r="E301" s="603">
        <f t="shared" si="133"/>
        <v>10</v>
      </c>
      <c r="F301" s="618">
        <v>15</v>
      </c>
      <c r="G301" s="622">
        <f t="shared" si="130"/>
        <v>15</v>
      </c>
      <c r="H301" s="114"/>
      <c r="I301" s="114"/>
      <c r="J301" s="113"/>
      <c r="K301" s="112"/>
      <c r="L301" s="112">
        <v>5</v>
      </c>
      <c r="M301" s="112"/>
      <c r="N301" s="112"/>
      <c r="O301" s="114"/>
      <c r="P301" s="127"/>
      <c r="Q301" s="127"/>
      <c r="R301" s="114"/>
      <c r="S301" s="113"/>
      <c r="T301" s="120"/>
      <c r="U301" s="119"/>
      <c r="V301" s="116"/>
      <c r="W301" s="116"/>
      <c r="X301" s="116"/>
      <c r="Y301" s="120"/>
      <c r="Z301" s="120"/>
      <c r="AA301" s="116"/>
      <c r="AB301" s="118"/>
      <c r="AC301" s="118"/>
      <c r="AD301" s="118"/>
      <c r="AE301" s="118"/>
      <c r="AF301" s="117"/>
      <c r="AG301" s="118"/>
      <c r="AH301" s="116"/>
      <c r="AI301" s="116"/>
      <c r="AJ301" s="120"/>
      <c r="AK301" s="417"/>
      <c r="AL301" s="116"/>
      <c r="AM301" s="116"/>
      <c r="AN301" s="121"/>
      <c r="AO301" s="116"/>
      <c r="AP301" s="116"/>
      <c r="AQ301" s="121"/>
      <c r="AR301" s="116"/>
      <c r="AS301" s="116"/>
      <c r="AT301" s="116"/>
    </row>
    <row r="302" spans="1:46" ht="21.1">
      <c r="A302" s="82" t="s">
        <v>602</v>
      </c>
      <c r="B302" s="508"/>
      <c r="C302" s="214"/>
      <c r="D302" s="595"/>
      <c r="E302" s="602"/>
      <c r="F302" s="617"/>
      <c r="G302" s="621"/>
      <c r="H302" s="96" t="s">
        <v>628</v>
      </c>
      <c r="I302" s="96"/>
      <c r="J302" s="104" t="s">
        <v>387</v>
      </c>
      <c r="K302" s="75" t="s">
        <v>375</v>
      </c>
      <c r="L302" s="75"/>
      <c r="M302" s="75"/>
      <c r="N302" s="75"/>
      <c r="O302" s="96" t="s">
        <v>375</v>
      </c>
      <c r="P302" s="105"/>
      <c r="Q302" s="105"/>
      <c r="R302" s="96" t="s">
        <v>387</v>
      </c>
      <c r="S302" s="104" t="s">
        <v>387</v>
      </c>
      <c r="T302" s="110" t="s">
        <v>382</v>
      </c>
      <c r="U302" s="110">
        <v>6</v>
      </c>
      <c r="V302" s="100" t="s">
        <v>382</v>
      </c>
      <c r="W302" s="100" t="s">
        <v>375</v>
      </c>
      <c r="X302" s="100" t="s">
        <v>382</v>
      </c>
      <c r="Y302" s="110">
        <v>6</v>
      </c>
      <c r="Z302" s="110" t="s">
        <v>372</v>
      </c>
      <c r="AA302" s="100"/>
      <c r="AB302" s="109"/>
      <c r="AC302" s="109"/>
      <c r="AD302" s="109"/>
      <c r="AE302" s="109"/>
      <c r="AF302" s="108"/>
      <c r="AG302" s="109"/>
      <c r="AH302" s="100"/>
      <c r="AI302" s="100"/>
      <c r="AJ302" s="110"/>
      <c r="AK302" s="416"/>
      <c r="AL302" s="100"/>
      <c r="AM302" s="100"/>
      <c r="AN302" s="111"/>
      <c r="AO302" s="100"/>
      <c r="AP302" s="100"/>
      <c r="AQ302" s="111"/>
      <c r="AR302" s="100"/>
      <c r="AS302" s="100"/>
      <c r="AT302" s="100"/>
    </row>
    <row r="303" spans="1:46" ht="16.3">
      <c r="A303" s="246" t="s">
        <v>1</v>
      </c>
      <c r="B303" s="509">
        <f>SUM(J303+K303+L303+M303+N303+S303+V303+W303+X303+AA303+AI303+AJ303+AI303+AM303+AP303+AQ303+AS303+AT303+AU303+AV303+AN303)</f>
        <v>4</v>
      </c>
      <c r="C303" s="215">
        <f>B303</f>
        <v>4</v>
      </c>
      <c r="D303" s="596">
        <f>SUM(T303+U303+Y303+Z303+AK303+AL303+AO303+AR303)</f>
        <v>4</v>
      </c>
      <c r="E303" s="604">
        <f>D303</f>
        <v>4</v>
      </c>
      <c r="F303" s="626">
        <v>0</v>
      </c>
      <c r="G303" s="627">
        <v>0</v>
      </c>
      <c r="H303" s="96">
        <v>1</v>
      </c>
      <c r="I303" s="96"/>
      <c r="J303" s="104">
        <v>1</v>
      </c>
      <c r="K303" s="75"/>
      <c r="L303" s="75"/>
      <c r="M303" s="75"/>
      <c r="N303" s="75"/>
      <c r="O303" s="96"/>
      <c r="P303" s="105"/>
      <c r="Q303" s="105"/>
      <c r="R303" s="96">
        <v>1</v>
      </c>
      <c r="S303" s="104">
        <v>1</v>
      </c>
      <c r="T303" s="110">
        <v>1</v>
      </c>
      <c r="U303" s="110">
        <v>1</v>
      </c>
      <c r="V303" s="100">
        <v>1</v>
      </c>
      <c r="W303" s="100"/>
      <c r="X303" s="100">
        <v>1</v>
      </c>
      <c r="Y303" s="110">
        <v>1</v>
      </c>
      <c r="Z303" s="110">
        <v>1</v>
      </c>
      <c r="AA303" s="100"/>
      <c r="AB303" s="109"/>
      <c r="AC303" s="109"/>
      <c r="AD303" s="109"/>
      <c r="AE303" s="109"/>
      <c r="AF303" s="108"/>
      <c r="AG303" s="109"/>
      <c r="AH303" s="100"/>
      <c r="AI303" s="100"/>
      <c r="AJ303" s="110"/>
      <c r="AK303" s="416"/>
      <c r="AL303" s="100"/>
      <c r="AM303" s="100"/>
      <c r="AN303" s="111"/>
      <c r="AO303" s="100"/>
      <c r="AP303" s="100"/>
      <c r="AQ303" s="111"/>
      <c r="AR303" s="100"/>
      <c r="AS303" s="100"/>
      <c r="AT303" s="100"/>
    </row>
    <row r="304" spans="1:46" ht="16.3">
      <c r="A304" s="246" t="s">
        <v>2</v>
      </c>
      <c r="B304" s="509">
        <f>SUM(J304+K304+L304+M304+N304+S304+V304+W304+X304+AA304+AI304+AJ304+AI304+AM304+AP304+AQ304+AS304+AT304+AU304+AV304)</f>
        <v>2</v>
      </c>
      <c r="C304" s="215">
        <f t="shared" ref="C304:C307" si="135">B304</f>
        <v>2</v>
      </c>
      <c r="D304" s="596">
        <f>SUM(T304+U304+Y304+Z304+AK304+AL304+AO304+AR304)</f>
        <v>0</v>
      </c>
      <c r="E304" s="604">
        <f t="shared" ref="E304:E307" si="136">D304</f>
        <v>0</v>
      </c>
      <c r="F304" s="626">
        <v>0</v>
      </c>
      <c r="G304" s="627">
        <v>0</v>
      </c>
      <c r="H304" s="96"/>
      <c r="I304" s="96"/>
      <c r="J304" s="104"/>
      <c r="K304" s="75">
        <v>1</v>
      </c>
      <c r="L304" s="75"/>
      <c r="M304" s="75"/>
      <c r="N304" s="75"/>
      <c r="O304" s="96">
        <v>1</v>
      </c>
      <c r="P304" s="105"/>
      <c r="Q304" s="105"/>
      <c r="R304" s="96"/>
      <c r="S304" s="104"/>
      <c r="T304" s="110"/>
      <c r="U304" s="110"/>
      <c r="V304" s="100"/>
      <c r="W304" s="100">
        <v>1</v>
      </c>
      <c r="X304" s="100"/>
      <c r="Y304" s="110"/>
      <c r="Z304" s="110"/>
      <c r="AA304" s="100"/>
      <c r="AB304" s="109"/>
      <c r="AC304" s="109"/>
      <c r="AD304" s="109"/>
      <c r="AE304" s="109"/>
      <c r="AF304" s="108"/>
      <c r="AG304" s="109"/>
      <c r="AH304" s="100"/>
      <c r="AI304" s="100"/>
      <c r="AJ304" s="110"/>
      <c r="AK304" s="416"/>
      <c r="AL304" s="100"/>
      <c r="AM304" s="100"/>
      <c r="AN304" s="111"/>
      <c r="AO304" s="100"/>
      <c r="AP304" s="100"/>
      <c r="AQ304" s="111"/>
      <c r="AR304" s="100"/>
      <c r="AS304" s="100"/>
      <c r="AT304" s="100"/>
    </row>
    <row r="305" spans="1:46" ht="16.3">
      <c r="A305" s="83" t="s">
        <v>363</v>
      </c>
      <c r="B305" s="508">
        <f>SUM(B303+B304)</f>
        <v>6</v>
      </c>
      <c r="C305" s="214">
        <f t="shared" si="135"/>
        <v>6</v>
      </c>
      <c r="D305" s="595">
        <f>SUM(D303+D304)</f>
        <v>4</v>
      </c>
      <c r="E305" s="602">
        <f t="shared" si="136"/>
        <v>4</v>
      </c>
      <c r="F305" s="617">
        <v>0</v>
      </c>
      <c r="G305" s="621">
        <v>0</v>
      </c>
      <c r="H305" s="96"/>
      <c r="I305" s="96"/>
      <c r="J305" s="104"/>
      <c r="K305" s="75"/>
      <c r="L305" s="75"/>
      <c r="M305" s="75"/>
      <c r="N305" s="75"/>
      <c r="O305" s="96"/>
      <c r="P305" s="105"/>
      <c r="Q305" s="105"/>
      <c r="R305" s="96"/>
      <c r="S305" s="104"/>
      <c r="T305" s="110"/>
      <c r="U305" s="110"/>
      <c r="V305" s="100"/>
      <c r="W305" s="100"/>
      <c r="X305" s="100"/>
      <c r="Y305" s="110"/>
      <c r="Z305" s="110"/>
      <c r="AA305" s="100"/>
      <c r="AB305" s="109"/>
      <c r="AC305" s="109"/>
      <c r="AD305" s="109"/>
      <c r="AE305" s="109"/>
      <c r="AF305" s="108"/>
      <c r="AG305" s="109"/>
      <c r="AH305" s="100"/>
      <c r="AI305" s="100"/>
      <c r="AJ305" s="110"/>
      <c r="AK305" s="416"/>
      <c r="AL305" s="100"/>
      <c r="AM305" s="100"/>
      <c r="AN305" s="111"/>
      <c r="AO305" s="100"/>
      <c r="AP305" s="100"/>
      <c r="AQ305" s="111"/>
      <c r="AR305" s="100"/>
      <c r="AS305" s="100"/>
      <c r="AT305" s="100"/>
    </row>
    <row r="306" spans="1:46" ht="16.3">
      <c r="A306" s="83" t="s">
        <v>3</v>
      </c>
      <c r="B306" s="508">
        <f>SUM(J306+K306+L306+M306+N306+S306+V306+W306+X306+AA306+AI306+AJ306+AI306+AM306+AP306+AQ306+AS306+AT306+AU306+AV306)</f>
        <v>2</v>
      </c>
      <c r="C306" s="214">
        <f t="shared" si="135"/>
        <v>2</v>
      </c>
      <c r="D306" s="595">
        <f t="shared" ref="D306:D307" si="137">SUM(T306+U306+Y306+Z306+AK306+AL306+AO306+AR306)</f>
        <v>0</v>
      </c>
      <c r="E306" s="602">
        <f t="shared" si="136"/>
        <v>0</v>
      </c>
      <c r="F306" s="617">
        <v>0</v>
      </c>
      <c r="G306" s="621">
        <v>0</v>
      </c>
      <c r="H306" s="96"/>
      <c r="I306" s="96"/>
      <c r="J306" s="104"/>
      <c r="K306" s="75"/>
      <c r="L306" s="75"/>
      <c r="M306" s="75"/>
      <c r="N306" s="75"/>
      <c r="O306" s="96"/>
      <c r="P306" s="105"/>
      <c r="Q306" s="105"/>
      <c r="R306" s="96"/>
      <c r="S306" s="104">
        <v>1</v>
      </c>
      <c r="T306" s="110"/>
      <c r="U306" s="110"/>
      <c r="V306" s="100">
        <v>1</v>
      </c>
      <c r="W306" s="100"/>
      <c r="X306" s="100"/>
      <c r="Y306" s="110"/>
      <c r="Z306" s="110"/>
      <c r="AA306" s="100"/>
      <c r="AB306" s="109"/>
      <c r="AC306" s="109"/>
      <c r="AD306" s="109"/>
      <c r="AE306" s="109"/>
      <c r="AF306" s="108"/>
      <c r="AG306" s="109"/>
      <c r="AH306" s="100"/>
      <c r="AI306" s="100"/>
      <c r="AJ306" s="110"/>
      <c r="AK306" s="416"/>
      <c r="AL306" s="100"/>
      <c r="AM306" s="100"/>
      <c r="AN306" s="111"/>
      <c r="AO306" s="100"/>
      <c r="AP306" s="100"/>
      <c r="AQ306" s="111"/>
      <c r="AR306" s="100"/>
      <c r="AS306" s="100"/>
      <c r="AT306" s="100"/>
    </row>
    <row r="307" spans="1:46" ht="17" thickBot="1">
      <c r="A307" s="85" t="s">
        <v>4</v>
      </c>
      <c r="B307" s="510">
        <f>SUM(J307+K307+L307+M307+N307+S307+V307+W307+X307+AA307+AI307+AJ307+AI307+AM307+AP307+AQ307+AS307+AT307+AU307+AV307)</f>
        <v>10</v>
      </c>
      <c r="C307" s="217">
        <f t="shared" si="135"/>
        <v>10</v>
      </c>
      <c r="D307" s="597">
        <f t="shared" si="137"/>
        <v>0</v>
      </c>
      <c r="E307" s="603">
        <f t="shared" si="136"/>
        <v>0</v>
      </c>
      <c r="F307" s="618">
        <v>0</v>
      </c>
      <c r="G307" s="622">
        <v>0</v>
      </c>
      <c r="H307" s="114"/>
      <c r="I307" s="114"/>
      <c r="J307" s="113"/>
      <c r="K307" s="112"/>
      <c r="L307" s="112"/>
      <c r="M307" s="112"/>
      <c r="N307" s="112"/>
      <c r="O307" s="114"/>
      <c r="P307" s="127"/>
      <c r="Q307" s="127"/>
      <c r="R307" s="114"/>
      <c r="S307" s="113">
        <v>5</v>
      </c>
      <c r="T307" s="120"/>
      <c r="U307" s="120"/>
      <c r="V307" s="116">
        <v>5</v>
      </c>
      <c r="W307" s="116"/>
      <c r="X307" s="116"/>
      <c r="Y307" s="120"/>
      <c r="Z307" s="120"/>
      <c r="AA307" s="116"/>
      <c r="AB307" s="118"/>
      <c r="AC307" s="118"/>
      <c r="AD307" s="118"/>
      <c r="AE307" s="118"/>
      <c r="AF307" s="117"/>
      <c r="AG307" s="118"/>
      <c r="AH307" s="116"/>
      <c r="AI307" s="116"/>
      <c r="AJ307" s="120"/>
      <c r="AK307" s="417"/>
      <c r="AL307" s="116"/>
      <c r="AM307" s="116"/>
      <c r="AN307" s="121"/>
      <c r="AO307" s="116"/>
      <c r="AP307" s="116"/>
      <c r="AQ307" s="121"/>
      <c r="AR307" s="116"/>
      <c r="AS307" s="116"/>
      <c r="AT307" s="116"/>
    </row>
    <row r="308" spans="1:46" ht="21.1">
      <c r="A308" s="82" t="s">
        <v>660</v>
      </c>
      <c r="B308" s="508"/>
      <c r="C308" s="214"/>
      <c r="D308" s="595"/>
      <c r="E308" s="602"/>
      <c r="F308" s="617"/>
      <c r="G308" s="621"/>
      <c r="H308" s="96"/>
      <c r="I308" s="96" t="s">
        <v>432</v>
      </c>
      <c r="J308" s="104"/>
      <c r="K308" s="75"/>
      <c r="L308" s="75"/>
      <c r="M308" s="75"/>
      <c r="N308" s="75"/>
      <c r="O308" s="96"/>
      <c r="P308" s="105"/>
      <c r="Q308" s="105"/>
      <c r="R308" s="96"/>
      <c r="S308" s="104"/>
      <c r="T308" s="110"/>
      <c r="U308" s="110"/>
      <c r="V308" s="100"/>
      <c r="W308" s="100"/>
      <c r="X308" s="100"/>
      <c r="Y308" s="110"/>
      <c r="Z308" s="110"/>
      <c r="AA308" s="100"/>
      <c r="AB308" s="109"/>
      <c r="AC308" s="109" t="s">
        <v>393</v>
      </c>
      <c r="AD308" s="109"/>
      <c r="AE308" s="109"/>
      <c r="AF308" s="108"/>
      <c r="AG308" s="109"/>
      <c r="AH308" s="100"/>
      <c r="AI308" s="100"/>
      <c r="AJ308" s="110"/>
      <c r="AK308" s="416"/>
      <c r="AL308" s="100"/>
      <c r="AM308" s="100"/>
      <c r="AN308" s="111"/>
      <c r="AO308" s="100"/>
      <c r="AP308" s="100"/>
      <c r="AQ308" s="111"/>
      <c r="AR308" s="100"/>
      <c r="AS308" s="100"/>
      <c r="AT308" s="100"/>
    </row>
    <row r="309" spans="1:46" ht="16.3">
      <c r="A309" s="246" t="s">
        <v>1</v>
      </c>
      <c r="B309" s="509">
        <f>SUM(J309+K309+L309+M309+N309+S309+V309+W309+X309+AA309+AI309+AJ309+AI309+AM309+AP309+AQ309+AS309+AT309+AU309+AV309+AN309)</f>
        <v>0</v>
      </c>
      <c r="C309" s="215">
        <f>B309</f>
        <v>0</v>
      </c>
      <c r="D309" s="596">
        <f>SUM(T309+U309+Y309+Z309+AK309+AL309+AO309+AR309)</f>
        <v>0</v>
      </c>
      <c r="E309" s="604">
        <f>D309</f>
        <v>0</v>
      </c>
      <c r="F309" s="626">
        <v>0</v>
      </c>
      <c r="G309" s="627">
        <v>0</v>
      </c>
      <c r="H309" s="96"/>
      <c r="I309" s="96"/>
      <c r="J309" s="104"/>
      <c r="K309" s="75"/>
      <c r="L309" s="75"/>
      <c r="M309" s="75"/>
      <c r="N309" s="75"/>
      <c r="O309" s="96"/>
      <c r="P309" s="105"/>
      <c r="Q309" s="105"/>
      <c r="R309" s="96"/>
      <c r="S309" s="104"/>
      <c r="T309" s="110"/>
      <c r="U309" s="110"/>
      <c r="V309" s="100"/>
      <c r="W309" s="100"/>
      <c r="X309" s="100"/>
      <c r="Y309" s="110"/>
      <c r="Z309" s="110"/>
      <c r="AA309" s="100"/>
      <c r="AB309" s="109"/>
      <c r="AC309" s="109"/>
      <c r="AD309" s="109"/>
      <c r="AE309" s="109"/>
      <c r="AF309" s="108"/>
      <c r="AG309" s="109"/>
      <c r="AH309" s="100"/>
      <c r="AI309" s="100"/>
      <c r="AJ309" s="110"/>
      <c r="AK309" s="416"/>
      <c r="AL309" s="100"/>
      <c r="AM309" s="100"/>
      <c r="AN309" s="111"/>
      <c r="AO309" s="100"/>
      <c r="AP309" s="100"/>
      <c r="AQ309" s="111"/>
      <c r="AR309" s="100"/>
      <c r="AS309" s="100"/>
      <c r="AT309" s="100"/>
    </row>
    <row r="310" spans="1:46" ht="16.3">
      <c r="A310" s="246" t="s">
        <v>2</v>
      </c>
      <c r="B310" s="509">
        <f>SUM(J310+K310+L310+M310+N310+S310+V310+W310+X310+AA310+AI310+AJ310+AI310+AM310+AP310+AQ310+AS310+AT310+AU310+AV310)</f>
        <v>0</v>
      </c>
      <c r="C310" s="215">
        <f t="shared" ref="C310:C313" si="138">B310</f>
        <v>0</v>
      </c>
      <c r="D310" s="596">
        <f>SUM(T310+U310+Y310+Z310+AK310+AL310+AO310+AR310)</f>
        <v>0</v>
      </c>
      <c r="E310" s="604">
        <f t="shared" ref="E310:E313" si="139">D310</f>
        <v>0</v>
      </c>
      <c r="F310" s="626">
        <v>0</v>
      </c>
      <c r="G310" s="627">
        <v>0</v>
      </c>
      <c r="H310" s="96"/>
      <c r="I310" s="96">
        <v>1</v>
      </c>
      <c r="J310" s="104"/>
      <c r="K310" s="75"/>
      <c r="L310" s="75"/>
      <c r="M310" s="75"/>
      <c r="N310" s="75"/>
      <c r="O310" s="96"/>
      <c r="P310" s="105"/>
      <c r="Q310" s="105"/>
      <c r="R310" s="96"/>
      <c r="S310" s="104"/>
      <c r="T310" s="110"/>
      <c r="U310" s="110"/>
      <c r="V310" s="100"/>
      <c r="W310" s="100"/>
      <c r="X310" s="100"/>
      <c r="Y310" s="110"/>
      <c r="Z310" s="110"/>
      <c r="AA310" s="100"/>
      <c r="AB310" s="109"/>
      <c r="AC310" s="109"/>
      <c r="AD310" s="109"/>
      <c r="AE310" s="109"/>
      <c r="AF310" s="108"/>
      <c r="AG310" s="109"/>
      <c r="AH310" s="100"/>
      <c r="AI310" s="100"/>
      <c r="AJ310" s="110"/>
      <c r="AK310" s="416"/>
      <c r="AL310" s="100"/>
      <c r="AM310" s="100"/>
      <c r="AN310" s="111"/>
      <c r="AO310" s="100"/>
      <c r="AP310" s="100"/>
      <c r="AQ310" s="111"/>
      <c r="AR310" s="100"/>
      <c r="AS310" s="100"/>
      <c r="AT310" s="100"/>
    </row>
    <row r="311" spans="1:46" ht="16.3">
      <c r="A311" s="83" t="s">
        <v>363</v>
      </c>
      <c r="B311" s="508">
        <f>SUM(B309+B310)</f>
        <v>0</v>
      </c>
      <c r="C311" s="214">
        <f t="shared" si="138"/>
        <v>0</v>
      </c>
      <c r="D311" s="595">
        <f>SUM(D309+D310)</f>
        <v>0</v>
      </c>
      <c r="E311" s="602">
        <f t="shared" si="139"/>
        <v>0</v>
      </c>
      <c r="F311" s="617">
        <v>0</v>
      </c>
      <c r="G311" s="621">
        <v>0</v>
      </c>
      <c r="H311" s="96"/>
      <c r="I311" s="96"/>
      <c r="J311" s="104"/>
      <c r="K311" s="75"/>
      <c r="L311" s="75"/>
      <c r="M311" s="75"/>
      <c r="N311" s="75"/>
      <c r="O311" s="96"/>
      <c r="P311" s="105"/>
      <c r="Q311" s="105"/>
      <c r="R311" s="96"/>
      <c r="S311" s="104"/>
      <c r="T311" s="110"/>
      <c r="U311" s="110"/>
      <c r="V311" s="100"/>
      <c r="W311" s="100"/>
      <c r="X311" s="100"/>
      <c r="Y311" s="110"/>
      <c r="Z311" s="110"/>
      <c r="AA311" s="100"/>
      <c r="AB311" s="109"/>
      <c r="AC311" s="109"/>
      <c r="AD311" s="109"/>
      <c r="AE311" s="109"/>
      <c r="AF311" s="108"/>
      <c r="AG311" s="109"/>
      <c r="AH311" s="100"/>
      <c r="AI311" s="100"/>
      <c r="AJ311" s="110"/>
      <c r="AK311" s="416"/>
      <c r="AL311" s="100"/>
      <c r="AM311" s="100"/>
      <c r="AN311" s="111"/>
      <c r="AO311" s="100"/>
      <c r="AP311" s="100"/>
      <c r="AQ311" s="111"/>
      <c r="AR311" s="100"/>
      <c r="AS311" s="100"/>
      <c r="AT311" s="100"/>
    </row>
    <row r="312" spans="1:46" ht="16.3">
      <c r="A312" s="83" t="s">
        <v>3</v>
      </c>
      <c r="B312" s="508">
        <f>SUM(J312+K312+L312+M312+N312+S312+V312+W312+X312+AA312+AI312+AJ312+AI312+AM312+AP312+AQ312+AS312+AT312+AU312+AV312)</f>
        <v>0</v>
      </c>
      <c r="C312" s="214">
        <f t="shared" si="138"/>
        <v>0</v>
      </c>
      <c r="D312" s="595">
        <f t="shared" ref="D312:D313" si="140">SUM(T312+U312+Y312+Z312+AK312+AL312+AO312+AR312)</f>
        <v>0</v>
      </c>
      <c r="E312" s="602">
        <f t="shared" si="139"/>
        <v>0</v>
      </c>
      <c r="F312" s="617">
        <v>0</v>
      </c>
      <c r="G312" s="621">
        <v>0</v>
      </c>
      <c r="H312" s="96"/>
      <c r="I312" s="96"/>
      <c r="J312" s="104"/>
      <c r="K312" s="75"/>
      <c r="L312" s="75"/>
      <c r="M312" s="75"/>
      <c r="N312" s="75"/>
      <c r="O312" s="96"/>
      <c r="P312" s="105"/>
      <c r="Q312" s="105"/>
      <c r="R312" s="96"/>
      <c r="S312" s="104"/>
      <c r="T312" s="110"/>
      <c r="U312" s="110"/>
      <c r="V312" s="100"/>
      <c r="W312" s="100"/>
      <c r="X312" s="100"/>
      <c r="Y312" s="110"/>
      <c r="Z312" s="110"/>
      <c r="AA312" s="100"/>
      <c r="AB312" s="109"/>
      <c r="AC312" s="109"/>
      <c r="AD312" s="109"/>
      <c r="AE312" s="109"/>
      <c r="AF312" s="108"/>
      <c r="AG312" s="109"/>
      <c r="AH312" s="100"/>
      <c r="AI312" s="100"/>
      <c r="AJ312" s="110"/>
      <c r="AK312" s="416"/>
      <c r="AL312" s="100"/>
      <c r="AM312" s="100"/>
      <c r="AN312" s="111"/>
      <c r="AO312" s="100"/>
      <c r="AP312" s="100"/>
      <c r="AQ312" s="111"/>
      <c r="AR312" s="100"/>
      <c r="AS312" s="100"/>
      <c r="AT312" s="100"/>
    </row>
    <row r="313" spans="1:46" ht="17" thickBot="1">
      <c r="A313" s="85" t="s">
        <v>4</v>
      </c>
      <c r="B313" s="510">
        <f>SUM(J313+K313+L313+M313+N313+S313+V313+W313+X313+AA313+AI313+AJ313+AI313+AM313+AP313+AQ313+AS313+AT313+AU313+AV313)</f>
        <v>0</v>
      </c>
      <c r="C313" s="217">
        <f t="shared" si="138"/>
        <v>0</v>
      </c>
      <c r="D313" s="597">
        <f t="shared" si="140"/>
        <v>0</v>
      </c>
      <c r="E313" s="603">
        <f t="shared" si="139"/>
        <v>0</v>
      </c>
      <c r="F313" s="618">
        <v>0</v>
      </c>
      <c r="G313" s="622">
        <v>0</v>
      </c>
      <c r="H313" s="114"/>
      <c r="I313" s="114"/>
      <c r="J313" s="113"/>
      <c r="K313" s="112"/>
      <c r="L313" s="112"/>
      <c r="M313" s="112"/>
      <c r="N313" s="112"/>
      <c r="O313" s="114"/>
      <c r="P313" s="127"/>
      <c r="Q313" s="127"/>
      <c r="R313" s="114"/>
      <c r="S313" s="113"/>
      <c r="T313" s="120"/>
      <c r="U313" s="120"/>
      <c r="V313" s="116"/>
      <c r="W313" s="116"/>
      <c r="X313" s="116"/>
      <c r="Y313" s="120"/>
      <c r="Z313" s="120"/>
      <c r="AA313" s="116"/>
      <c r="AB313" s="118"/>
      <c r="AC313" s="118"/>
      <c r="AD313" s="118"/>
      <c r="AE313" s="118"/>
      <c r="AF313" s="117"/>
      <c r="AG313" s="118"/>
      <c r="AH313" s="116"/>
      <c r="AI313" s="116"/>
      <c r="AJ313" s="120"/>
      <c r="AK313" s="417"/>
      <c r="AL313" s="116"/>
      <c r="AM313" s="116"/>
      <c r="AN313" s="121"/>
      <c r="AO313" s="116"/>
      <c r="AP313" s="116"/>
      <c r="AQ313" s="121"/>
      <c r="AR313" s="116"/>
      <c r="AS313" s="116"/>
      <c r="AT313" s="116"/>
    </row>
    <row r="314" spans="1:46" ht="21.1">
      <c r="A314" s="82" t="s">
        <v>194</v>
      </c>
      <c r="B314" s="508"/>
      <c r="C314" s="214"/>
      <c r="D314" s="595"/>
      <c r="E314" s="602"/>
      <c r="F314" s="617"/>
      <c r="G314" s="621"/>
      <c r="H314" s="96" t="s">
        <v>372</v>
      </c>
      <c r="I314" s="96"/>
      <c r="J314" s="104"/>
      <c r="K314" s="75"/>
      <c r="L314" s="75"/>
      <c r="M314" s="75"/>
      <c r="N314" s="75"/>
      <c r="O314" s="96" t="s">
        <v>387</v>
      </c>
      <c r="P314" s="105"/>
      <c r="Q314" s="105"/>
      <c r="R314" s="96" t="s">
        <v>375</v>
      </c>
      <c r="S314" s="104"/>
      <c r="T314" s="110" t="s">
        <v>375</v>
      </c>
      <c r="U314" s="110" t="s">
        <v>393</v>
      </c>
      <c r="V314" s="100"/>
      <c r="W314" s="100"/>
      <c r="X314" s="100"/>
      <c r="Y314" s="110"/>
      <c r="Z314" s="110" t="s">
        <v>375</v>
      </c>
      <c r="AA314" s="100"/>
      <c r="AB314" s="109">
        <v>5</v>
      </c>
      <c r="AC314" s="109">
        <v>5</v>
      </c>
      <c r="AD314" s="109" t="s">
        <v>387</v>
      </c>
      <c r="AE314" s="109" t="s">
        <v>375</v>
      </c>
      <c r="AF314" s="108"/>
      <c r="AG314" s="109" t="s">
        <v>387</v>
      </c>
      <c r="AH314" s="100"/>
      <c r="AI314" s="100"/>
      <c r="AJ314" s="110"/>
      <c r="AK314" s="416"/>
      <c r="AL314" s="100"/>
      <c r="AM314" s="100"/>
      <c r="AN314" s="111"/>
      <c r="AO314" s="100"/>
      <c r="AP314" s="100"/>
      <c r="AQ314" s="111"/>
      <c r="AR314" s="100"/>
      <c r="AS314" s="100"/>
      <c r="AT314" s="100"/>
    </row>
    <row r="315" spans="1:46" ht="16.3">
      <c r="A315" s="246" t="s">
        <v>1</v>
      </c>
      <c r="B315" s="509">
        <f>SUM(J315+K315+L315+M315+N315+S315+V315+W315+X315+AA315+AI315+AJ315+AI315+AM315+AP315+AQ315+AS315+AT315+AU315+AV315+AN315)+2</f>
        <v>2</v>
      </c>
      <c r="C315" s="215">
        <f>B315</f>
        <v>2</v>
      </c>
      <c r="D315" s="596">
        <f>SUM(T315+U315+Y315+Z315+AK315+AL315+AO315+AR315)</f>
        <v>0</v>
      </c>
      <c r="E315" s="604">
        <f>D315</f>
        <v>0</v>
      </c>
      <c r="F315" s="626">
        <v>0</v>
      </c>
      <c r="G315" s="627">
        <v>0</v>
      </c>
      <c r="H315" s="96">
        <v>1</v>
      </c>
      <c r="I315" s="96"/>
      <c r="J315" s="104"/>
      <c r="K315" s="75"/>
      <c r="L315" s="75"/>
      <c r="M315" s="75"/>
      <c r="N315" s="75"/>
      <c r="O315" s="96">
        <v>1</v>
      </c>
      <c r="P315" s="105"/>
      <c r="Q315" s="105"/>
      <c r="R315" s="96"/>
      <c r="S315" s="104"/>
      <c r="T315" s="110"/>
      <c r="U315" s="110"/>
      <c r="V315" s="100"/>
      <c r="W315" s="100"/>
      <c r="X315" s="100"/>
      <c r="Y315" s="110"/>
      <c r="Z315" s="110"/>
      <c r="AA315" s="100"/>
      <c r="AB315" s="109">
        <v>1</v>
      </c>
      <c r="AC315" s="109">
        <v>1</v>
      </c>
      <c r="AD315" s="109">
        <v>1</v>
      </c>
      <c r="AE315" s="109"/>
      <c r="AF315" s="108"/>
      <c r="AG315" s="109">
        <v>1</v>
      </c>
      <c r="AH315" s="100"/>
      <c r="AI315" s="100"/>
      <c r="AJ315" s="110"/>
      <c r="AK315" s="416"/>
      <c r="AL315" s="100"/>
      <c r="AM315" s="100"/>
      <c r="AN315" s="111"/>
      <c r="AO315" s="100"/>
      <c r="AP315" s="100"/>
      <c r="AQ315" s="111"/>
      <c r="AR315" s="100"/>
      <c r="AS315" s="100"/>
      <c r="AT315" s="100"/>
    </row>
    <row r="316" spans="1:46" ht="16.3">
      <c r="A316" s="246" t="s">
        <v>2</v>
      </c>
      <c r="B316" s="509">
        <f>SUM(J316+K316+L316+M316+N316+S316+V316+W316+X316+AA316+AI316+AJ316+AI316+AM316+AP316+AQ316+AS316+AT316+AU316+AV316)+1</f>
        <v>1</v>
      </c>
      <c r="C316" s="215">
        <f t="shared" ref="C316:C319" si="141">B316</f>
        <v>1</v>
      </c>
      <c r="D316" s="596">
        <f>SUM(T316+U316+Y316+Z316+AK316+AL316+AO316+AR316)+1</f>
        <v>3</v>
      </c>
      <c r="E316" s="604">
        <f t="shared" ref="E316:E319" si="142">D316</f>
        <v>3</v>
      </c>
      <c r="F316" s="626">
        <v>0</v>
      </c>
      <c r="G316" s="627">
        <v>0</v>
      </c>
      <c r="H316" s="96"/>
      <c r="I316" s="96"/>
      <c r="J316" s="104"/>
      <c r="K316" s="75"/>
      <c r="L316" s="75"/>
      <c r="M316" s="75"/>
      <c r="N316" s="75"/>
      <c r="O316" s="96"/>
      <c r="P316" s="105"/>
      <c r="Q316" s="105"/>
      <c r="R316" s="96">
        <v>1</v>
      </c>
      <c r="S316" s="104"/>
      <c r="T316" s="110">
        <v>1</v>
      </c>
      <c r="U316" s="110"/>
      <c r="V316" s="100"/>
      <c r="W316" s="100"/>
      <c r="X316" s="100"/>
      <c r="Y316" s="110"/>
      <c r="Z316" s="110">
        <v>1</v>
      </c>
      <c r="AA316" s="100"/>
      <c r="AB316" s="109"/>
      <c r="AC316" s="109"/>
      <c r="AD316" s="109"/>
      <c r="AE316" s="109">
        <v>1</v>
      </c>
      <c r="AF316" s="108"/>
      <c r="AG316" s="109"/>
      <c r="AH316" s="100"/>
      <c r="AI316" s="100"/>
      <c r="AJ316" s="110"/>
      <c r="AK316" s="416"/>
      <c r="AL316" s="100"/>
      <c r="AM316" s="100"/>
      <c r="AN316" s="111"/>
      <c r="AO316" s="100"/>
      <c r="AP316" s="100"/>
      <c r="AQ316" s="111"/>
      <c r="AR316" s="100"/>
      <c r="AS316" s="100"/>
      <c r="AT316" s="100"/>
    </row>
    <row r="317" spans="1:46" ht="16.3">
      <c r="A317" s="83" t="s">
        <v>363</v>
      </c>
      <c r="B317" s="508">
        <f>SUM(B315+B316)</f>
        <v>3</v>
      </c>
      <c r="C317" s="214">
        <f t="shared" si="141"/>
        <v>3</v>
      </c>
      <c r="D317" s="595">
        <f>SUM(D315+D316)</f>
        <v>3</v>
      </c>
      <c r="E317" s="602">
        <f t="shared" si="142"/>
        <v>3</v>
      </c>
      <c r="F317" s="617">
        <v>0</v>
      </c>
      <c r="G317" s="621">
        <v>0</v>
      </c>
      <c r="H317" s="96"/>
      <c r="I317" s="96"/>
      <c r="J317" s="104"/>
      <c r="K317" s="75"/>
      <c r="L317" s="75"/>
      <c r="M317" s="75"/>
      <c r="N317" s="75"/>
      <c r="O317" s="96"/>
      <c r="P317" s="105"/>
      <c r="Q317" s="105"/>
      <c r="R317" s="96"/>
      <c r="S317" s="104"/>
      <c r="T317" s="110"/>
      <c r="U317" s="110"/>
      <c r="V317" s="100"/>
      <c r="W317" s="100"/>
      <c r="X317" s="100"/>
      <c r="Y317" s="110"/>
      <c r="Z317" s="110"/>
      <c r="AA317" s="100"/>
      <c r="AB317" s="109"/>
      <c r="AC317" s="109"/>
      <c r="AD317" s="109"/>
      <c r="AE317" s="109"/>
      <c r="AF317" s="108"/>
      <c r="AG317" s="109"/>
      <c r="AH317" s="100"/>
      <c r="AI317" s="100"/>
      <c r="AJ317" s="110"/>
      <c r="AK317" s="416"/>
      <c r="AL317" s="100"/>
      <c r="AM317" s="100"/>
      <c r="AN317" s="111"/>
      <c r="AO317" s="100"/>
      <c r="AP317" s="100"/>
      <c r="AQ317" s="111"/>
      <c r="AR317" s="100"/>
      <c r="AS317" s="100"/>
      <c r="AT317" s="100"/>
    </row>
    <row r="318" spans="1:46" ht="16.3">
      <c r="A318" s="83" t="s">
        <v>3</v>
      </c>
      <c r="B318" s="508">
        <f>SUM(J318+K318+L318+M318+N318+S318+V318+W318+X318+AA318+AI318+AJ318+AI318+AM318+AP318+AQ318+AS318+AT318+AU318+AV318)</f>
        <v>0</v>
      </c>
      <c r="C318" s="214">
        <f t="shared" si="141"/>
        <v>0</v>
      </c>
      <c r="D318" s="595">
        <f t="shared" ref="D318:D319" si="143">SUM(T318+U318+Y318+Z318+AK318+AL318+AO318+AR318)</f>
        <v>1</v>
      </c>
      <c r="E318" s="602">
        <f t="shared" si="142"/>
        <v>1</v>
      </c>
      <c r="F318" s="617">
        <v>0</v>
      </c>
      <c r="G318" s="621">
        <v>0</v>
      </c>
      <c r="H318" s="96"/>
      <c r="I318" s="96"/>
      <c r="J318" s="104"/>
      <c r="K318" s="75"/>
      <c r="L318" s="75"/>
      <c r="M318" s="75"/>
      <c r="N318" s="75"/>
      <c r="O318" s="96"/>
      <c r="P318" s="105"/>
      <c r="Q318" s="105"/>
      <c r="R318" s="96"/>
      <c r="S318" s="104"/>
      <c r="T318" s="110"/>
      <c r="U318" s="110"/>
      <c r="V318" s="100"/>
      <c r="W318" s="100"/>
      <c r="X318" s="100"/>
      <c r="Y318" s="110"/>
      <c r="Z318" s="110">
        <v>1</v>
      </c>
      <c r="AA318" s="100"/>
      <c r="AB318" s="109"/>
      <c r="AC318" s="109"/>
      <c r="AD318" s="109"/>
      <c r="AE318" s="109"/>
      <c r="AF318" s="108"/>
      <c r="AG318" s="109"/>
      <c r="AH318" s="100"/>
      <c r="AI318" s="100"/>
      <c r="AJ318" s="110"/>
      <c r="AK318" s="416"/>
      <c r="AL318" s="100"/>
      <c r="AM318" s="100"/>
      <c r="AN318" s="111"/>
      <c r="AO318" s="100"/>
      <c r="AP318" s="100"/>
      <c r="AQ318" s="111"/>
      <c r="AR318" s="100"/>
      <c r="AS318" s="100"/>
      <c r="AT318" s="100"/>
    </row>
    <row r="319" spans="1:46" ht="17" thickBot="1">
      <c r="A319" s="85" t="s">
        <v>4</v>
      </c>
      <c r="B319" s="508">
        <f>SUM(J319+K319+L319+M319+N319+S319+V319+W319+X319+AA319+AI319+AJ319+AI319+AM319+AP319+AQ319+AS319+AT319+AU319+AV319)</f>
        <v>0</v>
      </c>
      <c r="C319" s="214">
        <f t="shared" si="141"/>
        <v>0</v>
      </c>
      <c r="D319" s="595">
        <f t="shared" si="143"/>
        <v>5</v>
      </c>
      <c r="E319" s="602">
        <f t="shared" si="142"/>
        <v>5</v>
      </c>
      <c r="F319" s="618">
        <v>0</v>
      </c>
      <c r="G319" s="622">
        <v>0</v>
      </c>
      <c r="H319" s="114"/>
      <c r="I319" s="114"/>
      <c r="J319" s="113"/>
      <c r="K319" s="112"/>
      <c r="L319" s="112"/>
      <c r="M319" s="112"/>
      <c r="N319" s="112"/>
      <c r="O319" s="114"/>
      <c r="P319" s="127"/>
      <c r="Q319" s="127"/>
      <c r="R319" s="114"/>
      <c r="S319" s="113"/>
      <c r="T319" s="120"/>
      <c r="U319" s="120"/>
      <c r="V319" s="116"/>
      <c r="W319" s="116"/>
      <c r="X319" s="116"/>
      <c r="Y319" s="120"/>
      <c r="Z319" s="120">
        <v>5</v>
      </c>
      <c r="AA319" s="116"/>
      <c r="AB319" s="118"/>
      <c r="AC319" s="118"/>
      <c r="AD319" s="118"/>
      <c r="AE319" s="118"/>
      <c r="AF319" s="117"/>
      <c r="AG319" s="118"/>
      <c r="AH319" s="116"/>
      <c r="AI319" s="116"/>
      <c r="AJ319" s="120"/>
      <c r="AK319" s="417"/>
      <c r="AL319" s="116"/>
      <c r="AM319" s="116"/>
      <c r="AN319" s="121"/>
      <c r="AO319" s="116"/>
      <c r="AP319" s="116"/>
      <c r="AQ319" s="121"/>
      <c r="AR319" s="116"/>
      <c r="AS319" s="116"/>
      <c r="AT319" s="116"/>
    </row>
    <row r="320" spans="1:46" ht="21.1">
      <c r="A320" s="82" t="s">
        <v>657</v>
      </c>
      <c r="B320" s="512"/>
      <c r="C320" s="218"/>
      <c r="D320" s="598"/>
      <c r="E320" s="605"/>
      <c r="F320" s="619"/>
      <c r="G320" s="623"/>
      <c r="H320" s="96"/>
      <c r="I320" s="96" t="s">
        <v>658</v>
      </c>
      <c r="J320" s="104"/>
      <c r="K320" s="75"/>
      <c r="L320" s="75"/>
      <c r="M320" s="75"/>
      <c r="N320" s="75"/>
      <c r="O320" s="96"/>
      <c r="P320" s="105"/>
      <c r="Q320" s="105"/>
      <c r="R320" s="96"/>
      <c r="S320" s="104"/>
      <c r="T320" s="110"/>
      <c r="U320" s="110"/>
      <c r="V320" s="100"/>
      <c r="W320" s="100"/>
      <c r="X320" s="100"/>
      <c r="Y320" s="110"/>
      <c r="Z320" s="110"/>
      <c r="AA320" s="100"/>
      <c r="AB320" s="109"/>
      <c r="AC320" s="109"/>
      <c r="AD320" s="109" t="s">
        <v>375</v>
      </c>
      <c r="AE320" s="109" t="s">
        <v>387</v>
      </c>
      <c r="AF320" s="108"/>
      <c r="AG320" s="109"/>
      <c r="AH320" s="100"/>
      <c r="AI320" s="100"/>
      <c r="AJ320" s="110"/>
      <c r="AK320" s="416"/>
      <c r="AL320" s="100"/>
      <c r="AM320" s="100"/>
      <c r="AN320" s="111"/>
      <c r="AO320" s="100"/>
      <c r="AP320" s="100"/>
      <c r="AQ320" s="111"/>
      <c r="AR320" s="100"/>
      <c r="AS320" s="100"/>
      <c r="AT320" s="100"/>
    </row>
    <row r="321" spans="1:46" ht="16.3">
      <c r="A321" s="246" t="s">
        <v>1</v>
      </c>
      <c r="B321" s="509">
        <f>SUM(J321+K321+L321+M321+N321+S321+V321+W321+X321+AA321+AI321+AJ321+AI321+AM321+AP321+AQ321+AS321+AT321+AU321+AV321+AN321)</f>
        <v>0</v>
      </c>
      <c r="C321" s="215">
        <f>B321</f>
        <v>0</v>
      </c>
      <c r="D321" s="596">
        <f>SUM(T321+U321+Y321+Z321+AK321+AL321+AO321+AR321)</f>
        <v>0</v>
      </c>
      <c r="E321" s="604">
        <f>D321</f>
        <v>0</v>
      </c>
      <c r="F321" s="626">
        <v>0</v>
      </c>
      <c r="G321" s="627">
        <v>0</v>
      </c>
      <c r="H321" s="96"/>
      <c r="I321" s="96">
        <v>1</v>
      </c>
      <c r="J321" s="104"/>
      <c r="K321" s="75"/>
      <c r="L321" s="75"/>
      <c r="M321" s="75"/>
      <c r="N321" s="75"/>
      <c r="O321" s="96"/>
      <c r="P321" s="105"/>
      <c r="Q321" s="105"/>
      <c r="R321" s="96"/>
      <c r="S321" s="104"/>
      <c r="T321" s="110"/>
      <c r="U321" s="110"/>
      <c r="V321" s="100"/>
      <c r="W321" s="100"/>
      <c r="X321" s="100"/>
      <c r="Y321" s="110"/>
      <c r="Z321" s="110"/>
      <c r="AA321" s="100"/>
      <c r="AB321" s="109"/>
      <c r="AC321" s="109"/>
      <c r="AD321" s="109"/>
      <c r="AE321" s="109">
        <v>1</v>
      </c>
      <c r="AF321" s="108"/>
      <c r="AG321" s="109"/>
      <c r="AH321" s="100"/>
      <c r="AI321" s="100"/>
      <c r="AJ321" s="110"/>
      <c r="AK321" s="416"/>
      <c r="AL321" s="100"/>
      <c r="AM321" s="100"/>
      <c r="AN321" s="111"/>
      <c r="AO321" s="100"/>
      <c r="AP321" s="100"/>
      <c r="AQ321" s="111"/>
      <c r="AR321" s="100"/>
      <c r="AS321" s="100"/>
      <c r="AT321" s="100"/>
    </row>
    <row r="322" spans="1:46" ht="16.3">
      <c r="A322" s="246" t="s">
        <v>2</v>
      </c>
      <c r="B322" s="509">
        <f>SUM(J322+K322+L322+M322+N322+S322+V322+W322+X322+AA322+AI322+AJ322+AI322+AM322+AP322+AQ322+AS322+AT322+AU322+AV322)</f>
        <v>0</v>
      </c>
      <c r="C322" s="215">
        <f t="shared" ref="C322:C325" si="144">B322</f>
        <v>0</v>
      </c>
      <c r="D322" s="596">
        <f>SUM(T322+U322+Y322+Z322+AK322+AL322+AO322+AR322)</f>
        <v>0</v>
      </c>
      <c r="E322" s="604">
        <f t="shared" ref="E322:E325" si="145">D322</f>
        <v>0</v>
      </c>
      <c r="F322" s="626">
        <v>0</v>
      </c>
      <c r="G322" s="627">
        <v>0</v>
      </c>
      <c r="H322" s="96"/>
      <c r="I322" s="96"/>
      <c r="J322" s="104"/>
      <c r="K322" s="75"/>
      <c r="L322" s="75"/>
      <c r="M322" s="75"/>
      <c r="N322" s="75"/>
      <c r="O322" s="96"/>
      <c r="P322" s="105"/>
      <c r="Q322" s="105"/>
      <c r="R322" s="96"/>
      <c r="S322" s="104"/>
      <c r="T322" s="110"/>
      <c r="U322" s="110"/>
      <c r="V322" s="100"/>
      <c r="W322" s="100"/>
      <c r="X322" s="100"/>
      <c r="Y322" s="110"/>
      <c r="Z322" s="110"/>
      <c r="AA322" s="100"/>
      <c r="AB322" s="109"/>
      <c r="AC322" s="109"/>
      <c r="AD322" s="109">
        <v>1</v>
      </c>
      <c r="AE322" s="109"/>
      <c r="AF322" s="108"/>
      <c r="AG322" s="109"/>
      <c r="AH322" s="100"/>
      <c r="AI322" s="100"/>
      <c r="AJ322" s="110"/>
      <c r="AK322" s="416"/>
      <c r="AL322" s="100"/>
      <c r="AM322" s="100"/>
      <c r="AN322" s="111"/>
      <c r="AO322" s="100"/>
      <c r="AP322" s="100"/>
      <c r="AQ322" s="111"/>
      <c r="AR322" s="100"/>
      <c r="AS322" s="100"/>
      <c r="AT322" s="100"/>
    </row>
    <row r="323" spans="1:46" ht="16.3">
      <c r="A323" s="83" t="s">
        <v>363</v>
      </c>
      <c r="B323" s="508">
        <f>SUM(B321+B322)</f>
        <v>0</v>
      </c>
      <c r="C323" s="214">
        <f t="shared" si="144"/>
        <v>0</v>
      </c>
      <c r="D323" s="595">
        <f>SUM(D321+D322)</f>
        <v>0</v>
      </c>
      <c r="E323" s="602">
        <f t="shared" si="145"/>
        <v>0</v>
      </c>
      <c r="F323" s="617">
        <v>0</v>
      </c>
      <c r="G323" s="621">
        <v>0</v>
      </c>
      <c r="H323" s="96"/>
      <c r="I323" s="96"/>
      <c r="J323" s="104"/>
      <c r="K323" s="75"/>
      <c r="L323" s="75"/>
      <c r="M323" s="75"/>
      <c r="N323" s="75"/>
      <c r="O323" s="96"/>
      <c r="P323" s="105"/>
      <c r="Q323" s="105"/>
      <c r="R323" s="96"/>
      <c r="S323" s="104"/>
      <c r="T323" s="110"/>
      <c r="U323" s="110"/>
      <c r="V323" s="100"/>
      <c r="W323" s="100"/>
      <c r="X323" s="100"/>
      <c r="Y323" s="110"/>
      <c r="Z323" s="110"/>
      <c r="AA323" s="100"/>
      <c r="AB323" s="109"/>
      <c r="AC323" s="109"/>
      <c r="AD323" s="109"/>
      <c r="AE323" s="109"/>
      <c r="AF323" s="108"/>
      <c r="AG323" s="109"/>
      <c r="AH323" s="100"/>
      <c r="AI323" s="100"/>
      <c r="AJ323" s="110"/>
      <c r="AK323" s="416"/>
      <c r="AL323" s="100"/>
      <c r="AM323" s="100"/>
      <c r="AN323" s="111"/>
      <c r="AO323" s="100"/>
      <c r="AP323" s="100"/>
      <c r="AQ323" s="111"/>
      <c r="AR323" s="100"/>
      <c r="AS323" s="100"/>
      <c r="AT323" s="100"/>
    </row>
    <row r="324" spans="1:46" ht="16.3">
      <c r="A324" s="83" t="s">
        <v>3</v>
      </c>
      <c r="B324" s="508">
        <f>SUM(J324+K324+L324+M324+N324+S324+V324+W324+X324+AA324+AI324+AJ324+AI324+AM324+AP324+AQ324+AS324+AT324+AU324+AV324)</f>
        <v>0</v>
      </c>
      <c r="C324" s="214">
        <f t="shared" si="144"/>
        <v>0</v>
      </c>
      <c r="D324" s="595">
        <f t="shared" ref="D324:D325" si="146">SUM(T324+U324+Y324+Z324+AK324+AL324+AO324+AR324)</f>
        <v>0</v>
      </c>
      <c r="E324" s="602">
        <f t="shared" si="145"/>
        <v>0</v>
      </c>
      <c r="F324" s="617">
        <v>0</v>
      </c>
      <c r="G324" s="621">
        <v>0</v>
      </c>
      <c r="H324" s="96"/>
      <c r="I324" s="96"/>
      <c r="J324" s="104"/>
      <c r="K324" s="75"/>
      <c r="L324" s="75"/>
      <c r="M324" s="75"/>
      <c r="N324" s="75"/>
      <c r="O324" s="96"/>
      <c r="P324" s="105"/>
      <c r="Q324" s="105"/>
      <c r="R324" s="96"/>
      <c r="S324" s="104"/>
      <c r="T324" s="110"/>
      <c r="U324" s="110"/>
      <c r="V324" s="100"/>
      <c r="W324" s="100"/>
      <c r="X324" s="100"/>
      <c r="Y324" s="110"/>
      <c r="Z324" s="110"/>
      <c r="AA324" s="100"/>
      <c r="AB324" s="109"/>
      <c r="AC324" s="109"/>
      <c r="AD324" s="109"/>
      <c r="AE324" s="109"/>
      <c r="AF324" s="108"/>
      <c r="AG324" s="109"/>
      <c r="AH324" s="100"/>
      <c r="AI324" s="100"/>
      <c r="AJ324" s="110"/>
      <c r="AK324" s="416"/>
      <c r="AL324" s="100"/>
      <c r="AM324" s="100"/>
      <c r="AN324" s="111"/>
      <c r="AO324" s="100"/>
      <c r="AP324" s="100"/>
      <c r="AQ324" s="111"/>
      <c r="AR324" s="100"/>
      <c r="AS324" s="100"/>
      <c r="AT324" s="100"/>
    </row>
    <row r="325" spans="1:46" ht="17" thickBot="1">
      <c r="A325" s="85" t="s">
        <v>4</v>
      </c>
      <c r="B325" s="510">
        <f>SUM(J325+K325+L325+M325+N325+S325+V325+W325+X325+AA325+AI325+AJ325+AI325+AM325+AP325+AQ325+AS325+AT325+AU325+AV325)</f>
        <v>0</v>
      </c>
      <c r="C325" s="217">
        <f t="shared" si="144"/>
        <v>0</v>
      </c>
      <c r="D325" s="597">
        <f t="shared" si="146"/>
        <v>0</v>
      </c>
      <c r="E325" s="603">
        <f t="shared" si="145"/>
        <v>0</v>
      </c>
      <c r="F325" s="618">
        <v>0</v>
      </c>
      <c r="G325" s="622">
        <v>0</v>
      </c>
      <c r="H325" s="114"/>
      <c r="I325" s="114"/>
      <c r="J325" s="112"/>
      <c r="K325" s="112"/>
      <c r="L325" s="112"/>
      <c r="M325" s="112"/>
      <c r="N325" s="112"/>
      <c r="O325" s="114"/>
      <c r="P325" s="127"/>
      <c r="Q325" s="127"/>
      <c r="R325" s="114"/>
      <c r="S325" s="113"/>
      <c r="T325" s="120"/>
      <c r="U325" s="120"/>
      <c r="V325" s="116"/>
      <c r="W325" s="116"/>
      <c r="X325" s="116"/>
      <c r="Y325" s="120"/>
      <c r="Z325" s="120"/>
      <c r="AA325" s="116"/>
      <c r="AB325" s="118"/>
      <c r="AC325" s="118"/>
      <c r="AD325" s="118"/>
      <c r="AE325" s="118"/>
      <c r="AF325" s="117"/>
      <c r="AG325" s="118"/>
      <c r="AH325" s="116"/>
      <c r="AI325" s="116"/>
      <c r="AJ325" s="120"/>
      <c r="AK325" s="417"/>
      <c r="AL325" s="116"/>
      <c r="AM325" s="116"/>
      <c r="AN325" s="121"/>
      <c r="AO325" s="116"/>
      <c r="AP325" s="116"/>
      <c r="AQ325" s="121"/>
      <c r="AR325" s="116"/>
      <c r="AS325" s="116"/>
      <c r="AT325" s="116"/>
    </row>
    <row r="326" spans="1:46" ht="21.1">
      <c r="A326" s="82" t="s">
        <v>211</v>
      </c>
      <c r="B326" s="508"/>
      <c r="C326" s="214"/>
      <c r="D326" s="595"/>
      <c r="E326" s="602"/>
      <c r="F326" s="617"/>
      <c r="G326" s="621"/>
      <c r="H326" s="96"/>
      <c r="I326" s="96"/>
      <c r="J326" s="104"/>
      <c r="K326" s="75"/>
      <c r="L326" s="75"/>
      <c r="M326" s="75"/>
      <c r="N326" s="75"/>
      <c r="O326" s="96"/>
      <c r="P326" s="105"/>
      <c r="Q326" s="105"/>
      <c r="R326" s="96"/>
      <c r="S326" s="104"/>
      <c r="T326" s="110"/>
      <c r="U326" s="110"/>
      <c r="V326" s="100"/>
      <c r="W326" s="100"/>
      <c r="X326" s="100"/>
      <c r="Y326" s="110"/>
      <c r="Z326" s="110"/>
      <c r="AA326" s="100"/>
      <c r="AB326" s="109"/>
      <c r="AC326" s="109"/>
      <c r="AD326" s="109"/>
      <c r="AE326" s="109"/>
      <c r="AF326" s="108"/>
      <c r="AG326" s="109"/>
      <c r="AH326" s="100"/>
      <c r="AI326" s="100"/>
      <c r="AJ326" s="110"/>
      <c r="AK326" s="416"/>
      <c r="AL326" s="100"/>
      <c r="AM326" s="100"/>
      <c r="AN326" s="111"/>
      <c r="AO326" s="100"/>
      <c r="AP326" s="100"/>
      <c r="AQ326" s="111"/>
      <c r="AR326" s="100"/>
      <c r="AS326" s="100"/>
      <c r="AT326" s="100"/>
    </row>
    <row r="327" spans="1:46" ht="16.3">
      <c r="A327" s="246" t="s">
        <v>1</v>
      </c>
      <c r="B327" s="509">
        <f>SUM(J327+K327+L327+M327+N327+S327+V327+W327+X327+AA327+AI327+AJ327+AI327+AM327+AP327+AQ327+AS327+AT327+AU327+AV327+AN327)</f>
        <v>0</v>
      </c>
      <c r="C327" s="215">
        <f>B327</f>
        <v>0</v>
      </c>
      <c r="D327" s="596">
        <f>SUM(T327+U327+Y327+Z327+AK327+AL327+AO327+AR327)</f>
        <v>0</v>
      </c>
      <c r="E327" s="604">
        <f>D327</f>
        <v>0</v>
      </c>
      <c r="F327" s="626">
        <v>0</v>
      </c>
      <c r="G327" s="627">
        <v>0</v>
      </c>
      <c r="H327" s="96"/>
      <c r="I327" s="96"/>
      <c r="J327" s="104"/>
      <c r="K327" s="75"/>
      <c r="L327" s="75"/>
      <c r="M327" s="75"/>
      <c r="N327" s="75"/>
      <c r="O327" s="96"/>
      <c r="P327" s="105"/>
      <c r="Q327" s="105"/>
      <c r="R327" s="96"/>
      <c r="S327" s="104"/>
      <c r="T327" s="110"/>
      <c r="U327" s="110"/>
      <c r="V327" s="100"/>
      <c r="W327" s="100"/>
      <c r="X327" s="100"/>
      <c r="Y327" s="110"/>
      <c r="Z327" s="110"/>
      <c r="AA327" s="100"/>
      <c r="AB327" s="109"/>
      <c r="AC327" s="109"/>
      <c r="AD327" s="109"/>
      <c r="AE327" s="109"/>
      <c r="AF327" s="108"/>
      <c r="AG327" s="109"/>
      <c r="AH327" s="100"/>
      <c r="AI327" s="100"/>
      <c r="AJ327" s="110"/>
      <c r="AK327" s="416"/>
      <c r="AL327" s="100"/>
      <c r="AM327" s="100"/>
      <c r="AN327" s="111"/>
      <c r="AO327" s="100"/>
      <c r="AP327" s="100"/>
      <c r="AQ327" s="111"/>
      <c r="AR327" s="100"/>
      <c r="AS327" s="100"/>
      <c r="AT327" s="100"/>
    </row>
    <row r="328" spans="1:46" ht="16.3">
      <c r="A328" s="246" t="s">
        <v>2</v>
      </c>
      <c r="B328" s="509">
        <f>SUM(J328+K328+L328+M328+N328+S328+V328+W328+X328+AA328+AI328+AJ328+AI328+AM328+AP328+AQ328+AS328+AT328+AU328+AV328)</f>
        <v>0</v>
      </c>
      <c r="C328" s="215">
        <f t="shared" ref="C328:C331" si="147">B328</f>
        <v>0</v>
      </c>
      <c r="D328" s="596">
        <f>SUM(T328+U328+Y328+Z328+AK328+AL328+AO328+AR328)</f>
        <v>0</v>
      </c>
      <c r="E328" s="604">
        <f t="shared" ref="E328:E331" si="148">D328</f>
        <v>0</v>
      </c>
      <c r="F328" s="626">
        <v>0</v>
      </c>
      <c r="G328" s="627">
        <v>0</v>
      </c>
      <c r="H328" s="96"/>
      <c r="I328" s="96"/>
      <c r="J328" s="104"/>
      <c r="K328" s="75"/>
      <c r="L328" s="75"/>
      <c r="M328" s="75"/>
      <c r="N328" s="75"/>
      <c r="O328" s="96"/>
      <c r="P328" s="105"/>
      <c r="Q328" s="105"/>
      <c r="R328" s="96"/>
      <c r="S328" s="104"/>
      <c r="T328" s="110"/>
      <c r="U328" s="110"/>
      <c r="V328" s="100"/>
      <c r="W328" s="100"/>
      <c r="X328" s="100"/>
      <c r="Y328" s="110"/>
      <c r="Z328" s="110"/>
      <c r="AA328" s="100"/>
      <c r="AB328" s="109"/>
      <c r="AC328" s="109"/>
      <c r="AD328" s="109"/>
      <c r="AE328" s="109"/>
      <c r="AF328" s="108"/>
      <c r="AG328" s="109"/>
      <c r="AH328" s="100"/>
      <c r="AI328" s="100"/>
      <c r="AJ328" s="110"/>
      <c r="AK328" s="416"/>
      <c r="AL328" s="100"/>
      <c r="AM328" s="100"/>
      <c r="AN328" s="111"/>
      <c r="AO328" s="100"/>
      <c r="AP328" s="100"/>
      <c r="AQ328" s="111"/>
      <c r="AR328" s="100"/>
      <c r="AS328" s="100"/>
      <c r="AT328" s="100"/>
    </row>
    <row r="329" spans="1:46" ht="16.3">
      <c r="A329" s="83" t="s">
        <v>363</v>
      </c>
      <c r="B329" s="508">
        <f>SUM(B327+B328)</f>
        <v>0</v>
      </c>
      <c r="C329" s="214">
        <f t="shared" si="147"/>
        <v>0</v>
      </c>
      <c r="D329" s="595">
        <f>SUM(D327+D328)</f>
        <v>0</v>
      </c>
      <c r="E329" s="602">
        <f t="shared" si="148"/>
        <v>0</v>
      </c>
      <c r="F329" s="617">
        <v>0</v>
      </c>
      <c r="G329" s="621">
        <v>0</v>
      </c>
      <c r="H329" s="96"/>
      <c r="I329" s="96"/>
      <c r="J329" s="104"/>
      <c r="K329" s="75"/>
      <c r="L329" s="75"/>
      <c r="M329" s="75"/>
      <c r="N329" s="75"/>
      <c r="O329" s="96"/>
      <c r="P329" s="105"/>
      <c r="Q329" s="105"/>
      <c r="R329" s="96"/>
      <c r="S329" s="104"/>
      <c r="T329" s="110"/>
      <c r="U329" s="110"/>
      <c r="V329" s="100"/>
      <c r="W329" s="100"/>
      <c r="X329" s="100"/>
      <c r="Y329" s="110"/>
      <c r="Z329" s="110"/>
      <c r="AA329" s="100"/>
      <c r="AB329" s="109"/>
      <c r="AC329" s="109"/>
      <c r="AD329" s="109"/>
      <c r="AE329" s="109"/>
      <c r="AF329" s="108"/>
      <c r="AG329" s="109"/>
      <c r="AH329" s="100"/>
      <c r="AI329" s="100"/>
      <c r="AJ329" s="110"/>
      <c r="AK329" s="416"/>
      <c r="AL329" s="100"/>
      <c r="AM329" s="100"/>
      <c r="AN329" s="111"/>
      <c r="AO329" s="100"/>
      <c r="AP329" s="100"/>
      <c r="AQ329" s="111"/>
      <c r="AR329" s="100"/>
      <c r="AS329" s="100"/>
      <c r="AT329" s="100"/>
    </row>
    <row r="330" spans="1:46" ht="16.3">
      <c r="A330" s="83" t="s">
        <v>3</v>
      </c>
      <c r="B330" s="508">
        <f>SUM(J330+K330+L330+M330+N330+S330+V330+W330+X330+AA330+AI330+AJ330+AI330+AM330+AP330+AQ330+AS330+AT330+AU330+AV330)</f>
        <v>0</v>
      </c>
      <c r="C330" s="214">
        <f t="shared" si="147"/>
        <v>0</v>
      </c>
      <c r="D330" s="595">
        <f t="shared" ref="D330:D331" si="149">SUM(T330+U330+Y330+Z330+AK330+AL330+AO330+AR330)</f>
        <v>0</v>
      </c>
      <c r="E330" s="602">
        <f t="shared" si="148"/>
        <v>0</v>
      </c>
      <c r="F330" s="617">
        <v>0</v>
      </c>
      <c r="G330" s="621">
        <v>0</v>
      </c>
      <c r="H330" s="96"/>
      <c r="I330" s="96"/>
      <c r="J330" s="104"/>
      <c r="K330" s="75"/>
      <c r="L330" s="75"/>
      <c r="M330" s="75"/>
      <c r="N330" s="75"/>
      <c r="O330" s="96"/>
      <c r="P330" s="105"/>
      <c r="Q330" s="105"/>
      <c r="R330" s="96"/>
      <c r="S330" s="104"/>
      <c r="T330" s="110"/>
      <c r="U330" s="110"/>
      <c r="V330" s="100"/>
      <c r="W330" s="100"/>
      <c r="X330" s="100"/>
      <c r="Y330" s="110"/>
      <c r="Z330" s="110"/>
      <c r="AA330" s="100"/>
      <c r="AB330" s="109"/>
      <c r="AC330" s="109"/>
      <c r="AD330" s="109"/>
      <c r="AE330" s="109"/>
      <c r="AF330" s="108"/>
      <c r="AG330" s="109"/>
      <c r="AH330" s="100"/>
      <c r="AI330" s="100"/>
      <c r="AJ330" s="110"/>
      <c r="AK330" s="416"/>
      <c r="AL330" s="100"/>
      <c r="AM330" s="100"/>
      <c r="AN330" s="111"/>
      <c r="AO330" s="100"/>
      <c r="AP330" s="100"/>
      <c r="AQ330" s="111"/>
      <c r="AR330" s="100"/>
      <c r="AS330" s="100"/>
      <c r="AT330" s="100"/>
    </row>
    <row r="331" spans="1:46" ht="17" thickBot="1">
      <c r="A331" s="85" t="s">
        <v>4</v>
      </c>
      <c r="B331" s="508">
        <f>SUM(J331+K331+L331+M331+N331+S331+V331+W331+X331+AA331+AI331+AJ331+AI331+AM331+AP331+AQ331+AS331+AT331+AU331+AV331)</f>
        <v>0</v>
      </c>
      <c r="C331" s="214">
        <f t="shared" si="147"/>
        <v>0</v>
      </c>
      <c r="D331" s="595">
        <f t="shared" si="149"/>
        <v>0</v>
      </c>
      <c r="E331" s="602">
        <f t="shared" si="148"/>
        <v>0</v>
      </c>
      <c r="F331" s="618">
        <v>0</v>
      </c>
      <c r="G331" s="622">
        <v>0</v>
      </c>
      <c r="H331" s="114"/>
      <c r="I331" s="114"/>
      <c r="J331" s="113"/>
      <c r="K331" s="112"/>
      <c r="L331" s="112"/>
      <c r="M331" s="112"/>
      <c r="N331" s="112"/>
      <c r="O331" s="114"/>
      <c r="P331" s="127"/>
      <c r="Q331" s="127"/>
      <c r="R331" s="114"/>
      <c r="S331" s="113"/>
      <c r="T331" s="120"/>
      <c r="U331" s="120"/>
      <c r="V331" s="112"/>
      <c r="W331" s="100"/>
      <c r="X331" s="100"/>
      <c r="Y331" s="110"/>
      <c r="Z331" s="110"/>
      <c r="AA331" s="100"/>
      <c r="AB331" s="109"/>
      <c r="AC331" s="109"/>
      <c r="AD331" s="109"/>
      <c r="AE331" s="109"/>
      <c r="AF331" s="108"/>
      <c r="AG331" s="109"/>
      <c r="AH331" s="100"/>
      <c r="AI331" s="100"/>
      <c r="AJ331" s="110"/>
      <c r="AK331" s="416"/>
      <c r="AL331" s="100"/>
      <c r="AM331" s="100"/>
      <c r="AN331" s="111"/>
      <c r="AO331" s="100"/>
      <c r="AP331" s="100"/>
      <c r="AQ331" s="111"/>
      <c r="AR331" s="100"/>
      <c r="AS331" s="100"/>
      <c r="AT331" s="100"/>
    </row>
    <row r="332" spans="1:46" ht="21.1">
      <c r="A332" s="82" t="s">
        <v>604</v>
      </c>
      <c r="B332" s="512"/>
      <c r="C332" s="218"/>
      <c r="D332" s="598"/>
      <c r="E332" s="605"/>
      <c r="F332" s="619"/>
      <c r="G332" s="621"/>
      <c r="H332" s="96" t="s">
        <v>375</v>
      </c>
      <c r="I332" s="96" t="s">
        <v>382</v>
      </c>
      <c r="J332" s="104"/>
      <c r="K332" s="75"/>
      <c r="L332" s="75"/>
      <c r="M332" s="75"/>
      <c r="N332" s="75"/>
      <c r="O332" s="96" t="s">
        <v>375</v>
      </c>
      <c r="P332" s="105"/>
      <c r="Q332" s="105"/>
      <c r="R332" s="96">
        <v>6</v>
      </c>
      <c r="S332" s="104"/>
      <c r="T332" s="110"/>
      <c r="U332" s="110"/>
      <c r="V332" s="100"/>
      <c r="W332" s="102"/>
      <c r="X332" s="102"/>
      <c r="Y332" s="101"/>
      <c r="Z332" s="101"/>
      <c r="AA332" s="102"/>
      <c r="AB332" s="99" t="s">
        <v>382</v>
      </c>
      <c r="AC332" s="99">
        <v>6</v>
      </c>
      <c r="AD332" s="99">
        <v>6</v>
      </c>
      <c r="AE332" s="99">
        <v>6</v>
      </c>
      <c r="AF332" s="98"/>
      <c r="AG332" s="99">
        <v>6</v>
      </c>
      <c r="AH332" s="102"/>
      <c r="AI332" s="102"/>
      <c r="AJ332" s="101"/>
      <c r="AK332" s="414"/>
      <c r="AL332" s="102"/>
      <c r="AM332" s="102"/>
      <c r="AN332" s="103"/>
      <c r="AO332" s="102"/>
      <c r="AP332" s="102"/>
      <c r="AQ332" s="103"/>
      <c r="AR332" s="102"/>
      <c r="AS332" s="102"/>
      <c r="AT332" s="102"/>
    </row>
    <row r="333" spans="1:46" ht="16.3">
      <c r="A333" s="246" t="s">
        <v>1</v>
      </c>
      <c r="B333" s="509">
        <f>SUM(J333+K333+L333+M333+N333+S333+V333+W333+X333+AA333+AI333+AJ333+AI333+AM333+AP333+AQ333+AS333+AT333+AU333+AV333+AN333)</f>
        <v>0</v>
      </c>
      <c r="C333" s="215">
        <f>B333</f>
        <v>0</v>
      </c>
      <c r="D333" s="596">
        <f>SUM(T333+U333+Y333+Z333+AK333+AL333+AO333+AR333)</f>
        <v>0</v>
      </c>
      <c r="E333" s="604">
        <f>D333</f>
        <v>0</v>
      </c>
      <c r="F333" s="626">
        <v>0</v>
      </c>
      <c r="G333" s="627">
        <v>0</v>
      </c>
      <c r="H333" s="96"/>
      <c r="I333" s="96">
        <v>1</v>
      </c>
      <c r="J333" s="104"/>
      <c r="K333" s="75"/>
      <c r="L333" s="75"/>
      <c r="M333" s="75"/>
      <c r="N333" s="75"/>
      <c r="O333" s="96"/>
      <c r="P333" s="105"/>
      <c r="Q333" s="105"/>
      <c r="R333" s="96">
        <v>1</v>
      </c>
      <c r="S333" s="104"/>
      <c r="T333" s="110"/>
      <c r="U333" s="110"/>
      <c r="V333" s="100"/>
      <c r="W333" s="100"/>
      <c r="X333" s="100"/>
      <c r="Y333" s="110"/>
      <c r="Z333" s="110"/>
      <c r="AA333" s="100"/>
      <c r="AB333" s="109">
        <v>1</v>
      </c>
      <c r="AC333" s="109">
        <v>1</v>
      </c>
      <c r="AD333" s="109">
        <v>1</v>
      </c>
      <c r="AE333" s="109">
        <v>1</v>
      </c>
      <c r="AF333" s="108"/>
      <c r="AG333" s="109">
        <v>1</v>
      </c>
      <c r="AH333" s="100"/>
      <c r="AI333" s="100"/>
      <c r="AJ333" s="110"/>
      <c r="AK333" s="416"/>
      <c r="AL333" s="100"/>
      <c r="AM333" s="100"/>
      <c r="AN333" s="111"/>
      <c r="AO333" s="100"/>
      <c r="AP333" s="100"/>
      <c r="AQ333" s="111"/>
      <c r="AR333" s="100"/>
      <c r="AS333" s="100"/>
      <c r="AT333" s="100"/>
    </row>
    <row r="334" spans="1:46" ht="16.3">
      <c r="A334" s="246" t="s">
        <v>2</v>
      </c>
      <c r="B334" s="509">
        <f>SUM(J334+K334+L334+M334+N334+S334+V334+W334+X334+AA334+AI334+AJ334+AI334+AM334+AP334+AQ334+AS334+AT334+AU334+AV334)</f>
        <v>0</v>
      </c>
      <c r="C334" s="215">
        <f t="shared" ref="C334:C337" si="150">B334</f>
        <v>0</v>
      </c>
      <c r="D334" s="596">
        <f>SUM(T334+U334+Y334+Z334+AK334+AL334+AO334+AR334)</f>
        <v>0</v>
      </c>
      <c r="E334" s="604">
        <f t="shared" ref="E334:E337" si="151">D334</f>
        <v>0</v>
      </c>
      <c r="F334" s="626">
        <v>0</v>
      </c>
      <c r="G334" s="627">
        <v>0</v>
      </c>
      <c r="H334" s="96">
        <v>1</v>
      </c>
      <c r="I334" s="96"/>
      <c r="J334" s="104"/>
      <c r="K334" s="75"/>
      <c r="L334" s="75"/>
      <c r="M334" s="75"/>
      <c r="N334" s="75"/>
      <c r="O334" s="96">
        <v>1</v>
      </c>
      <c r="P334" s="105"/>
      <c r="Q334" s="105"/>
      <c r="R334" s="96"/>
      <c r="S334" s="104"/>
      <c r="T334" s="110"/>
      <c r="U334" s="110"/>
      <c r="V334" s="100"/>
      <c r="W334" s="100"/>
      <c r="X334" s="100"/>
      <c r="Y334" s="110"/>
      <c r="Z334" s="110"/>
      <c r="AA334" s="100"/>
      <c r="AB334" s="109"/>
      <c r="AC334" s="109"/>
      <c r="AD334" s="109"/>
      <c r="AE334" s="109"/>
      <c r="AF334" s="108"/>
      <c r="AG334" s="109"/>
      <c r="AH334" s="100"/>
      <c r="AI334" s="100"/>
      <c r="AJ334" s="110"/>
      <c r="AK334" s="416"/>
      <c r="AL334" s="100"/>
      <c r="AM334" s="100"/>
      <c r="AN334" s="111"/>
      <c r="AO334" s="100"/>
      <c r="AP334" s="100"/>
      <c r="AQ334" s="111"/>
      <c r="AR334" s="100"/>
      <c r="AS334" s="100"/>
      <c r="AT334" s="100"/>
    </row>
    <row r="335" spans="1:46" ht="16.3">
      <c r="A335" s="83" t="s">
        <v>363</v>
      </c>
      <c r="B335" s="508">
        <f>SUM(B333+B334)</f>
        <v>0</v>
      </c>
      <c r="C335" s="214">
        <f t="shared" si="150"/>
        <v>0</v>
      </c>
      <c r="D335" s="595">
        <f>SUM(D333+D334)</f>
        <v>0</v>
      </c>
      <c r="E335" s="602">
        <f t="shared" si="151"/>
        <v>0</v>
      </c>
      <c r="F335" s="617">
        <v>0</v>
      </c>
      <c r="G335" s="621">
        <v>0</v>
      </c>
      <c r="H335" s="96"/>
      <c r="I335" s="96"/>
      <c r="J335" s="104"/>
      <c r="K335" s="75"/>
      <c r="L335" s="75"/>
      <c r="M335" s="75"/>
      <c r="N335" s="75"/>
      <c r="O335" s="96"/>
      <c r="P335" s="105"/>
      <c r="Q335" s="105"/>
      <c r="R335" s="96"/>
      <c r="S335" s="104"/>
      <c r="T335" s="110"/>
      <c r="U335" s="110"/>
      <c r="V335" s="100"/>
      <c r="W335" s="100"/>
      <c r="X335" s="100"/>
      <c r="Y335" s="110"/>
      <c r="Z335" s="110"/>
      <c r="AA335" s="100"/>
      <c r="AB335" s="109"/>
      <c r="AC335" s="109"/>
      <c r="AD335" s="109"/>
      <c r="AE335" s="109"/>
      <c r="AF335" s="108"/>
      <c r="AG335" s="109"/>
      <c r="AH335" s="100"/>
      <c r="AI335" s="100"/>
      <c r="AJ335" s="110"/>
      <c r="AK335" s="416"/>
      <c r="AL335" s="100"/>
      <c r="AM335" s="100"/>
      <c r="AN335" s="111"/>
      <c r="AO335" s="100"/>
      <c r="AP335" s="100"/>
      <c r="AQ335" s="111"/>
      <c r="AR335" s="100"/>
      <c r="AS335" s="100"/>
      <c r="AT335" s="100"/>
    </row>
    <row r="336" spans="1:46" ht="16.3">
      <c r="A336" s="83" t="s">
        <v>3</v>
      </c>
      <c r="B336" s="508">
        <f>SUM(J336+K336+L336+M336+N336+S336+V336+W336+X336+AA336+AI336+AJ336+AI336+AM336+AP336+AQ336+AS336+AT336+AU336+AV336)</f>
        <v>0</v>
      </c>
      <c r="C336" s="214">
        <f t="shared" si="150"/>
        <v>0</v>
      </c>
      <c r="D336" s="595">
        <f t="shared" ref="D336:D337" si="152">SUM(T336+U336+Y336+Z336+AK336+AL336+AO336+AR336)</f>
        <v>0</v>
      </c>
      <c r="E336" s="602">
        <f t="shared" si="151"/>
        <v>0</v>
      </c>
      <c r="F336" s="617">
        <v>0</v>
      </c>
      <c r="G336" s="621">
        <v>0</v>
      </c>
      <c r="H336" s="96"/>
      <c r="I336" s="96"/>
      <c r="J336" s="104"/>
      <c r="K336" s="75"/>
      <c r="L336" s="75"/>
      <c r="M336" s="75"/>
      <c r="N336" s="75"/>
      <c r="O336" s="96"/>
      <c r="P336" s="105"/>
      <c r="Q336" s="105"/>
      <c r="R336" s="96"/>
      <c r="S336" s="104"/>
      <c r="T336" s="110"/>
      <c r="U336" s="110"/>
      <c r="V336" s="100"/>
      <c r="W336" s="100"/>
      <c r="X336" s="100"/>
      <c r="Y336" s="110"/>
      <c r="Z336" s="110"/>
      <c r="AA336" s="100"/>
      <c r="AB336" s="109"/>
      <c r="AC336" s="109"/>
      <c r="AD336" s="109"/>
      <c r="AE336" s="109"/>
      <c r="AF336" s="108"/>
      <c r="AG336" s="109">
        <v>1</v>
      </c>
      <c r="AH336" s="100"/>
      <c r="AI336" s="100"/>
      <c r="AJ336" s="110"/>
      <c r="AK336" s="416"/>
      <c r="AL336" s="100"/>
      <c r="AM336" s="100"/>
      <c r="AN336" s="111"/>
      <c r="AO336" s="100"/>
      <c r="AP336" s="100"/>
      <c r="AQ336" s="111"/>
      <c r="AR336" s="100"/>
      <c r="AS336" s="100"/>
      <c r="AT336" s="100"/>
    </row>
    <row r="337" spans="1:46" ht="17" thickBot="1">
      <c r="A337" s="85" t="s">
        <v>4</v>
      </c>
      <c r="B337" s="510">
        <f>SUM(J337+K337+L337+M337+N337+S337+V337+W337+X337+AA337+AI337+AJ337+AI337+AM337+AP337+AQ337+AS337+AT337+AU337+AV337)</f>
        <v>0</v>
      </c>
      <c r="C337" s="217">
        <f t="shared" si="150"/>
        <v>0</v>
      </c>
      <c r="D337" s="597">
        <f t="shared" si="152"/>
        <v>0</v>
      </c>
      <c r="E337" s="603">
        <f t="shared" si="151"/>
        <v>0</v>
      </c>
      <c r="F337" s="618">
        <v>0</v>
      </c>
      <c r="G337" s="622">
        <v>0</v>
      </c>
      <c r="H337" s="114"/>
      <c r="I337" s="114"/>
      <c r="J337" s="113"/>
      <c r="K337" s="112"/>
      <c r="L337" s="112"/>
      <c r="M337" s="112"/>
      <c r="N337" s="112"/>
      <c r="O337" s="114"/>
      <c r="P337" s="127"/>
      <c r="Q337" s="127"/>
      <c r="R337" s="114"/>
      <c r="S337" s="113"/>
      <c r="T337" s="120"/>
      <c r="U337" s="119"/>
      <c r="V337" s="116"/>
      <c r="W337" s="116"/>
      <c r="X337" s="116"/>
      <c r="Y337" s="120"/>
      <c r="Z337" s="120"/>
      <c r="AA337" s="116"/>
      <c r="AB337" s="118"/>
      <c r="AC337" s="118"/>
      <c r="AD337" s="118"/>
      <c r="AE337" s="118"/>
      <c r="AF337" s="117"/>
      <c r="AG337" s="118">
        <v>5</v>
      </c>
      <c r="AH337" s="116"/>
      <c r="AI337" s="116"/>
      <c r="AJ337" s="120"/>
      <c r="AK337" s="417"/>
      <c r="AL337" s="116"/>
      <c r="AM337" s="116"/>
      <c r="AN337" s="121"/>
      <c r="AO337" s="116"/>
      <c r="AP337" s="116"/>
      <c r="AQ337" s="121"/>
      <c r="AR337" s="116"/>
      <c r="AS337" s="116"/>
      <c r="AT337" s="116"/>
    </row>
    <row r="338" spans="1:46" ht="21.1">
      <c r="A338" s="82" t="s">
        <v>24</v>
      </c>
      <c r="B338" s="508"/>
      <c r="C338" s="214"/>
      <c r="D338" s="595"/>
      <c r="E338" s="602"/>
      <c r="F338" s="617"/>
      <c r="G338" s="621"/>
      <c r="H338" s="96" t="s">
        <v>374</v>
      </c>
      <c r="I338" s="96"/>
      <c r="J338" s="104">
        <v>8</v>
      </c>
      <c r="K338" s="75" t="s">
        <v>374</v>
      </c>
      <c r="L338" s="75" t="s">
        <v>375</v>
      </c>
      <c r="M338" s="75">
        <v>8</v>
      </c>
      <c r="N338" s="75" t="s">
        <v>374</v>
      </c>
      <c r="O338" s="96"/>
      <c r="P338" s="105"/>
      <c r="Q338" s="105"/>
      <c r="R338" s="96" t="s">
        <v>803</v>
      </c>
      <c r="S338" s="104" t="s">
        <v>339</v>
      </c>
      <c r="T338" s="110" t="s">
        <v>339</v>
      </c>
      <c r="U338" s="110" t="s">
        <v>339</v>
      </c>
      <c r="V338" s="102" t="s">
        <v>339</v>
      </c>
      <c r="W338" s="102" t="s">
        <v>374</v>
      </c>
      <c r="X338" s="102" t="s">
        <v>374</v>
      </c>
      <c r="Y338" s="101" t="s">
        <v>374</v>
      </c>
      <c r="Z338" s="101" t="s">
        <v>721</v>
      </c>
      <c r="AA338" s="102" t="s">
        <v>375</v>
      </c>
      <c r="AB338" s="99"/>
      <c r="AC338" s="99" t="s">
        <v>803</v>
      </c>
      <c r="AD338" s="99" t="s">
        <v>803</v>
      </c>
      <c r="AE338" s="99" t="s">
        <v>803</v>
      </c>
      <c r="AF338" s="98"/>
      <c r="AG338" s="99" t="s">
        <v>803</v>
      </c>
      <c r="AH338" s="102"/>
      <c r="AI338" s="102"/>
      <c r="AJ338" s="101"/>
      <c r="AK338" s="414"/>
      <c r="AL338" s="102"/>
      <c r="AM338" s="102"/>
      <c r="AN338" s="103"/>
      <c r="AO338" s="102"/>
      <c r="AP338" s="102"/>
      <c r="AQ338" s="103"/>
      <c r="AR338" s="102"/>
      <c r="AS338" s="102"/>
      <c r="AT338" s="102"/>
    </row>
    <row r="339" spans="1:46" ht="16.3">
      <c r="A339" s="246" t="s">
        <v>1</v>
      </c>
      <c r="B339" s="509">
        <f>SUM(J339+K339+L339+M339+N339+S339+V339+W339+X339+AA339+AI339+AJ339+AI339+AM339+AP339+AQ339+AS339+AT339+AU339+AV339+AN339)+32</f>
        <v>38</v>
      </c>
      <c r="C339" s="215">
        <f>SUM(J339+K339+L339+M339+N339+S339+W339+X339+V339+AA339+AJ339+AI339+AJ339+AN339+AQ339+AM339+AT339+AU339+AV339+AW339+AP339+AS339)+41</f>
        <v>47</v>
      </c>
      <c r="D339" s="596">
        <f>SUM(T339+U339+Y339+Z339+AK339+AL339+AO339+AR339)+10</f>
        <v>12</v>
      </c>
      <c r="E339" s="604">
        <f>SUM(U339+T339+Z339+Y339+AL339+AK339+AO339+AR339)+16</f>
        <v>18</v>
      </c>
      <c r="F339" s="626">
        <v>0</v>
      </c>
      <c r="G339" s="627">
        <v>10</v>
      </c>
      <c r="H339" s="96">
        <v>1</v>
      </c>
      <c r="I339" s="96"/>
      <c r="J339" s="104">
        <v>1</v>
      </c>
      <c r="K339" s="75">
        <v>1</v>
      </c>
      <c r="L339" s="75"/>
      <c r="M339" s="75">
        <v>1</v>
      </c>
      <c r="N339" s="75">
        <v>1</v>
      </c>
      <c r="O339" s="96"/>
      <c r="P339" s="105"/>
      <c r="Q339" s="105"/>
      <c r="R339" s="96"/>
      <c r="S339" s="104"/>
      <c r="T339" s="110"/>
      <c r="U339" s="110"/>
      <c r="V339" s="100"/>
      <c r="W339" s="100">
        <v>1</v>
      </c>
      <c r="X339" s="100">
        <v>1</v>
      </c>
      <c r="Y339" s="110">
        <v>1</v>
      </c>
      <c r="Z339" s="110">
        <v>1</v>
      </c>
      <c r="AA339" s="100"/>
      <c r="AB339" s="109"/>
      <c r="AC339" s="109"/>
      <c r="AD339" s="109"/>
      <c r="AE339" s="109"/>
      <c r="AF339" s="108"/>
      <c r="AG339" s="109"/>
      <c r="AH339" s="100"/>
      <c r="AI339" s="100"/>
      <c r="AJ339" s="110"/>
      <c r="AK339" s="416"/>
      <c r="AL339" s="100"/>
      <c r="AM339" s="100"/>
      <c r="AN339" s="111"/>
      <c r="AO339" s="100"/>
      <c r="AP339" s="100"/>
      <c r="AQ339" s="111"/>
      <c r="AR339" s="100"/>
      <c r="AS339" s="100"/>
      <c r="AT339" s="100"/>
    </row>
    <row r="340" spans="1:46" ht="16.3">
      <c r="A340" s="246" t="s">
        <v>2</v>
      </c>
      <c r="B340" s="509">
        <f>SUM(J340+K340+L340+M340+N340+S340+V340+W340+X340+AA340+AI340+AJ340+AI340+AM340+AP340+AQ340+AS340+AT340+AU340+AV340)+18</f>
        <v>20</v>
      </c>
      <c r="C340" s="215">
        <f>SUM(J340+K340+L340+M340+N340+S340+W340+X340+V340+AA340+AJ340+AI340+AJ340+AN340+AQ340+AM340+AT340+AU340+AV340+AW340+AP340+AS340)+20</f>
        <v>22</v>
      </c>
      <c r="D340" s="596">
        <f>SUM(T340+U340+Y340+Z340+AK340+AL340+AO340+AR340)+3</f>
        <v>3</v>
      </c>
      <c r="E340" s="604">
        <f>SUM(U340+V340+Z340+AA340+AL340+AM340+AP340+AS340)+6</f>
        <v>7</v>
      </c>
      <c r="F340" s="626">
        <v>0</v>
      </c>
      <c r="G340" s="627">
        <v>4</v>
      </c>
      <c r="H340" s="96"/>
      <c r="I340" s="96"/>
      <c r="J340" s="104"/>
      <c r="K340" s="75"/>
      <c r="L340" s="75">
        <v>1</v>
      </c>
      <c r="M340" s="75"/>
      <c r="N340" s="75"/>
      <c r="O340" s="96"/>
      <c r="P340" s="105"/>
      <c r="Q340" s="105"/>
      <c r="R340" s="96"/>
      <c r="S340" s="104"/>
      <c r="T340" s="110"/>
      <c r="U340" s="110"/>
      <c r="V340" s="100"/>
      <c r="W340" s="100"/>
      <c r="X340" s="100"/>
      <c r="Y340" s="110"/>
      <c r="Z340" s="110"/>
      <c r="AA340" s="100">
        <v>1</v>
      </c>
      <c r="AB340" s="109"/>
      <c r="AC340" s="109"/>
      <c r="AD340" s="109"/>
      <c r="AE340" s="109"/>
      <c r="AF340" s="108"/>
      <c r="AG340" s="109"/>
      <c r="AH340" s="100"/>
      <c r="AI340" s="100"/>
      <c r="AJ340" s="110"/>
      <c r="AK340" s="416"/>
      <c r="AL340" s="100"/>
      <c r="AM340" s="100"/>
      <c r="AN340" s="111"/>
      <c r="AO340" s="100"/>
      <c r="AP340" s="100"/>
      <c r="AQ340" s="111"/>
      <c r="AR340" s="100"/>
      <c r="AS340" s="100"/>
      <c r="AT340" s="100"/>
    </row>
    <row r="341" spans="1:46" ht="16.3">
      <c r="A341" s="83" t="s">
        <v>363</v>
      </c>
      <c r="B341" s="508">
        <f>SUM(B339+B340)</f>
        <v>58</v>
      </c>
      <c r="C341" s="214">
        <f>SUM(C339+C340)</f>
        <v>69</v>
      </c>
      <c r="D341" s="595">
        <f>SUM(D339+D340)</f>
        <v>15</v>
      </c>
      <c r="E341" s="602">
        <f>SUM(E339+E340)</f>
        <v>25</v>
      </c>
      <c r="F341" s="617">
        <v>0</v>
      </c>
      <c r="G341" s="621">
        <v>14</v>
      </c>
      <c r="H341" s="96"/>
      <c r="I341" s="96"/>
      <c r="J341" s="104"/>
      <c r="K341" s="75"/>
      <c r="L341" s="75"/>
      <c r="M341" s="75"/>
      <c r="N341" s="75"/>
      <c r="O341" s="96"/>
      <c r="P341" s="105"/>
      <c r="Q341" s="105"/>
      <c r="R341" s="96"/>
      <c r="S341" s="104"/>
      <c r="T341" s="110"/>
      <c r="U341" s="110"/>
      <c r="V341" s="100"/>
      <c r="W341" s="100"/>
      <c r="X341" s="100"/>
      <c r="Y341" s="110"/>
      <c r="Z341" s="110"/>
      <c r="AA341" s="100"/>
      <c r="AB341" s="109"/>
      <c r="AC341" s="109"/>
      <c r="AD341" s="109"/>
      <c r="AE341" s="109"/>
      <c r="AF341" s="108"/>
      <c r="AG341" s="109"/>
      <c r="AH341" s="100"/>
      <c r="AI341" s="100"/>
      <c r="AJ341" s="110"/>
      <c r="AK341" s="416"/>
      <c r="AL341" s="100"/>
      <c r="AM341" s="100"/>
      <c r="AN341" s="111"/>
      <c r="AO341" s="100"/>
      <c r="AP341" s="100"/>
      <c r="AQ341" s="111"/>
      <c r="AR341" s="100"/>
      <c r="AS341" s="100"/>
      <c r="AT341" s="100"/>
    </row>
    <row r="342" spans="1:46" ht="16.3">
      <c r="A342" s="246" t="s">
        <v>366</v>
      </c>
      <c r="B342" s="509">
        <f>SUM(J342+K342+L342+M342+N342+S342+V342+W342+X342+AA342+AI342+AJ342+AI342+AM342+AP342+AQ342+AS342+AT342+AU342+AV342)</f>
        <v>0</v>
      </c>
      <c r="C342" s="215">
        <f>SUM(J342+K342+L342+M342+N342+S342+W342+X342+V342+AA342+AJ342+AI342+AJ342+AN342+AQ342+AM342+AT342+AU342+AV342+AW342+AP342+AS342)</f>
        <v>0</v>
      </c>
      <c r="D342" s="596">
        <f>SUM(T342+U342+Y342+Z342+AK342+AL342+AO342+AR342)</f>
        <v>1</v>
      </c>
      <c r="E342" s="604">
        <f>SUM(U342+V342+Z342+AA342+AL342+AM342+AP342+AS342)</f>
        <v>1</v>
      </c>
      <c r="F342" s="626">
        <v>0</v>
      </c>
      <c r="G342" s="627">
        <v>0</v>
      </c>
      <c r="H342" s="96"/>
      <c r="I342" s="96"/>
      <c r="J342" s="104"/>
      <c r="K342" s="75"/>
      <c r="L342" s="75"/>
      <c r="M342" s="75"/>
      <c r="N342" s="75"/>
      <c r="O342" s="96"/>
      <c r="P342" s="105"/>
      <c r="Q342" s="105"/>
      <c r="R342" s="96"/>
      <c r="S342" s="104"/>
      <c r="T342" s="110"/>
      <c r="U342" s="110"/>
      <c r="V342" s="100"/>
      <c r="W342" s="100"/>
      <c r="X342" s="100"/>
      <c r="Y342" s="110"/>
      <c r="Z342" s="110">
        <v>1</v>
      </c>
      <c r="AA342" s="100"/>
      <c r="AB342" s="109"/>
      <c r="AC342" s="109"/>
      <c r="AD342" s="109"/>
      <c r="AE342" s="109"/>
      <c r="AF342" s="108"/>
      <c r="AG342" s="109"/>
      <c r="AH342" s="100"/>
      <c r="AI342" s="100"/>
      <c r="AJ342" s="110"/>
      <c r="AK342" s="416"/>
      <c r="AL342" s="100"/>
      <c r="AM342" s="100"/>
      <c r="AN342" s="111"/>
      <c r="AO342" s="100"/>
      <c r="AP342" s="100"/>
      <c r="AQ342" s="111"/>
      <c r="AR342" s="100"/>
      <c r="AS342" s="100"/>
      <c r="AT342" s="100"/>
    </row>
    <row r="343" spans="1:46" ht="16.3">
      <c r="A343" s="246" t="s">
        <v>362</v>
      </c>
      <c r="B343" s="509">
        <f>SUM(J343+K343+L343+M343+N343+S343+V343+W343+X343+AA343+AI343+AJ343+AI343+AM343+AP343+AQ343+AS343+AT343+AU343+AV343)+1</f>
        <v>1</v>
      </c>
      <c r="C343" s="215">
        <f>SUM(J343+K343+L343+M343+N343+S343+W343+X343+V343+AA343+AJ343+AI343+AJ343+AN343+AQ343+AM343+AT343+AU343+AV343+AW343+AP343+AS343)+2</f>
        <v>2</v>
      </c>
      <c r="D343" s="596">
        <f>SUM(T343+U343+Y343+Z343+AK343+AL343+AO343+AR343)</f>
        <v>0</v>
      </c>
      <c r="E343" s="604">
        <f>SUM(U343+V343+Z343+AA343+AL343+AM343+AP343+AS343)+1</f>
        <v>1</v>
      </c>
      <c r="F343" s="626">
        <v>0</v>
      </c>
      <c r="G343" s="627">
        <v>0</v>
      </c>
      <c r="H343" s="96"/>
      <c r="I343" s="96"/>
      <c r="J343" s="104"/>
      <c r="K343" s="75"/>
      <c r="L343" s="75"/>
      <c r="M343" s="75"/>
      <c r="N343" s="75"/>
      <c r="O343" s="96"/>
      <c r="P343" s="105"/>
      <c r="Q343" s="105"/>
      <c r="R343" s="96"/>
      <c r="S343" s="104"/>
      <c r="T343" s="110"/>
      <c r="U343" s="110"/>
      <c r="V343" s="100"/>
      <c r="W343" s="100"/>
      <c r="X343" s="100"/>
      <c r="Y343" s="110"/>
      <c r="Z343" s="110"/>
      <c r="AA343" s="100"/>
      <c r="AB343" s="109"/>
      <c r="AC343" s="109"/>
      <c r="AD343" s="109"/>
      <c r="AE343" s="109"/>
      <c r="AF343" s="108"/>
      <c r="AG343" s="109"/>
      <c r="AH343" s="100"/>
      <c r="AI343" s="100"/>
      <c r="AJ343" s="110"/>
      <c r="AK343" s="416"/>
      <c r="AL343" s="100"/>
      <c r="AM343" s="100"/>
      <c r="AN343" s="111"/>
      <c r="AO343" s="100"/>
      <c r="AP343" s="100"/>
      <c r="AQ343" s="111"/>
      <c r="AR343" s="100"/>
      <c r="AS343" s="100"/>
      <c r="AT343" s="100"/>
    </row>
    <row r="344" spans="1:46" ht="16.3">
      <c r="A344" s="83" t="s">
        <v>3</v>
      </c>
      <c r="B344" s="508">
        <f>SUM(J344+K344+L344+M344+N344+S344+V344+W344+X344+AA344+AI344+AJ344+AI344+AM344+AP344+AQ344+AS344+AT344+AU344+AV344+AN344)+5</f>
        <v>7</v>
      </c>
      <c r="C344" s="214">
        <f>SUM(J344+K344+L344+M344+N344+S344+W344+X344+V344+AA344+AJ344+AI344+AJ344+AN344+AQ344+AM344+AT344+AU344+AV344+AW344+AP344+AS344)+6</f>
        <v>8</v>
      </c>
      <c r="D344" s="595">
        <f>SUM(T344+U344+Y344+Z344+AK344+AL344+AO344+AR344)+2</f>
        <v>2</v>
      </c>
      <c r="E344" s="602">
        <f>SUM(U344+V344+Z344+AA344+AL344+AM344+AP344+AS344)+2</f>
        <v>2</v>
      </c>
      <c r="F344" s="617">
        <v>0</v>
      </c>
      <c r="G344" s="621">
        <v>5</v>
      </c>
      <c r="H344" s="96"/>
      <c r="I344" s="96"/>
      <c r="J344" s="104"/>
      <c r="K344" s="75"/>
      <c r="L344" s="75"/>
      <c r="M344" s="75">
        <v>1</v>
      </c>
      <c r="N344" s="75"/>
      <c r="O344" s="96"/>
      <c r="P344" s="105"/>
      <c r="Q344" s="105"/>
      <c r="R344" s="96"/>
      <c r="S344" s="104"/>
      <c r="T344" s="110"/>
      <c r="U344" s="110"/>
      <c r="V344" s="100"/>
      <c r="W344" s="100"/>
      <c r="X344" s="100">
        <v>1</v>
      </c>
      <c r="Y344" s="110"/>
      <c r="Z344" s="110"/>
      <c r="AA344" s="100"/>
      <c r="AB344" s="109"/>
      <c r="AC344" s="109"/>
      <c r="AD344" s="109"/>
      <c r="AE344" s="109"/>
      <c r="AF344" s="108"/>
      <c r="AG344" s="109"/>
      <c r="AH344" s="100"/>
      <c r="AI344" s="100"/>
      <c r="AJ344" s="110"/>
      <c r="AK344" s="416"/>
      <c r="AL344" s="100"/>
      <c r="AM344" s="100"/>
      <c r="AN344" s="111"/>
      <c r="AO344" s="100"/>
      <c r="AP344" s="100"/>
      <c r="AQ344" s="111"/>
      <c r="AR344" s="100"/>
      <c r="AS344" s="100"/>
      <c r="AT344" s="100"/>
    </row>
    <row r="345" spans="1:46" ht="17" thickBot="1">
      <c r="A345" s="85" t="s">
        <v>4</v>
      </c>
      <c r="B345" s="510">
        <f>SUM(J345+K345+L345+M345+N345+S345+V345+W345+X345+AA345+AI345+AJ345+AI345+AM345+AP345+AQ345+AS345+AT345+AU345+AV345)+25</f>
        <v>35</v>
      </c>
      <c r="C345" s="217">
        <f>SUM(J345+K345+L345+M345+N345+S345+W345+X345+V345+AA345+AJ345+AI345+AJ345+AN345+AQ345+AM345+AT345+AU345+AV345+AW345+AP345+AS345)+30</f>
        <v>40</v>
      </c>
      <c r="D345" s="597">
        <f>SUM(T345+U345+Y345+Z345+AK345+AL345+AO345+AR345)+10</f>
        <v>10</v>
      </c>
      <c r="E345" s="603">
        <f>SUM(U345+V345+Z345+AA345+AL345+AM345+AP345+AS345)+10</f>
        <v>10</v>
      </c>
      <c r="F345" s="618">
        <v>0</v>
      </c>
      <c r="G345" s="622">
        <v>25</v>
      </c>
      <c r="H345" s="114"/>
      <c r="I345" s="114"/>
      <c r="J345" s="113"/>
      <c r="K345" s="112"/>
      <c r="L345" s="112"/>
      <c r="M345" s="112">
        <v>5</v>
      </c>
      <c r="N345" s="112"/>
      <c r="O345" s="114"/>
      <c r="P345" s="127"/>
      <c r="Q345" s="127"/>
      <c r="R345" s="114"/>
      <c r="S345" s="113"/>
      <c r="T345" s="120"/>
      <c r="U345" s="119"/>
      <c r="V345" s="116"/>
      <c r="W345" s="116"/>
      <c r="X345" s="116">
        <v>5</v>
      </c>
      <c r="Y345" s="120"/>
      <c r="Z345" s="120"/>
      <c r="AA345" s="116"/>
      <c r="AB345" s="118"/>
      <c r="AC345" s="118"/>
      <c r="AD345" s="118"/>
      <c r="AE345" s="118"/>
      <c r="AF345" s="117"/>
      <c r="AG345" s="118"/>
      <c r="AH345" s="116"/>
      <c r="AI345" s="116"/>
      <c r="AJ345" s="120"/>
      <c r="AK345" s="417"/>
      <c r="AL345" s="116"/>
      <c r="AM345" s="116"/>
      <c r="AN345" s="121"/>
      <c r="AO345" s="116"/>
      <c r="AP345" s="116"/>
      <c r="AQ345" s="121"/>
      <c r="AR345" s="116"/>
      <c r="AS345" s="116"/>
      <c r="AT345" s="116"/>
    </row>
    <row r="346" spans="1:46" ht="21.1">
      <c r="A346" s="82" t="s">
        <v>19</v>
      </c>
      <c r="B346" s="508"/>
      <c r="C346" s="214"/>
      <c r="D346" s="595"/>
      <c r="E346" s="602"/>
      <c r="F346" s="617"/>
      <c r="G346" s="621"/>
      <c r="H346" s="96" t="s">
        <v>440</v>
      </c>
      <c r="I346" s="96"/>
      <c r="J346" s="104" t="s">
        <v>702</v>
      </c>
      <c r="K346" s="75" t="s">
        <v>717</v>
      </c>
      <c r="L346" s="75">
        <v>6</v>
      </c>
      <c r="M346" s="75">
        <v>6</v>
      </c>
      <c r="N346" s="75">
        <v>6</v>
      </c>
      <c r="O346" s="96"/>
      <c r="P346" s="105"/>
      <c r="Q346" s="105"/>
      <c r="R346" s="96"/>
      <c r="S346" s="104" t="s">
        <v>837</v>
      </c>
      <c r="T346" s="106" t="s">
        <v>339</v>
      </c>
      <c r="U346" s="110" t="s">
        <v>339</v>
      </c>
      <c r="V346" s="75" t="s">
        <v>339</v>
      </c>
      <c r="W346" s="75" t="s">
        <v>339</v>
      </c>
      <c r="X346" s="102" t="s">
        <v>339</v>
      </c>
      <c r="Y346" s="101" t="s">
        <v>339</v>
      </c>
      <c r="Z346" s="101" t="s">
        <v>339</v>
      </c>
      <c r="AA346" s="75">
        <v>6</v>
      </c>
      <c r="AB346" s="96" t="s">
        <v>721</v>
      </c>
      <c r="AC346" s="96" t="s">
        <v>721</v>
      </c>
      <c r="AD346" s="99"/>
      <c r="AE346" s="96"/>
      <c r="AF346" s="98"/>
      <c r="AG346" s="99" t="s">
        <v>375</v>
      </c>
      <c r="AH346" s="102"/>
      <c r="AI346" s="75"/>
      <c r="AJ346" s="101"/>
      <c r="AK346" s="414"/>
      <c r="AL346" s="102"/>
      <c r="AM346" s="102"/>
      <c r="AN346" s="103"/>
      <c r="AO346" s="102"/>
      <c r="AP346" s="102"/>
      <c r="AQ346" s="103"/>
      <c r="AR346" s="102"/>
      <c r="AS346" s="102"/>
      <c r="AT346" s="102"/>
    </row>
    <row r="347" spans="1:46" ht="16.3">
      <c r="A347" s="246" t="s">
        <v>1</v>
      </c>
      <c r="B347" s="509">
        <f>SUM(J347+K347+L347+M347+N347+S347+V347+W347+X347+AA347+AI347+AJ347+AI347+AM347+AP347+AQ347+AS347+AT347+AU347+AV347+AN347)+99</f>
        <v>105</v>
      </c>
      <c r="C347" s="215">
        <f>B347</f>
        <v>105</v>
      </c>
      <c r="D347" s="596">
        <f>SUM(T347+U347+Y347+Z347+AK347+AL347+AO347+AR347)+15</f>
        <v>15</v>
      </c>
      <c r="E347" s="604">
        <f>D347</f>
        <v>15</v>
      </c>
      <c r="F347" s="626">
        <v>5</v>
      </c>
      <c r="G347" s="627">
        <f>F347</f>
        <v>5</v>
      </c>
      <c r="H347" s="96">
        <v>1</v>
      </c>
      <c r="I347" s="96"/>
      <c r="J347" s="104">
        <v>1</v>
      </c>
      <c r="K347" s="75"/>
      <c r="L347" s="75">
        <v>1</v>
      </c>
      <c r="M347" s="75">
        <v>1</v>
      </c>
      <c r="N347" s="75">
        <v>1</v>
      </c>
      <c r="O347" s="96"/>
      <c r="P347" s="105"/>
      <c r="Q347" s="105"/>
      <c r="R347" s="96"/>
      <c r="S347" s="104">
        <v>1</v>
      </c>
      <c r="T347" s="106"/>
      <c r="U347" s="110"/>
      <c r="V347" s="75"/>
      <c r="W347" s="75"/>
      <c r="X347" s="100"/>
      <c r="Y347" s="110"/>
      <c r="Z347" s="110"/>
      <c r="AA347" s="75">
        <v>1</v>
      </c>
      <c r="AB347" s="96">
        <v>1</v>
      </c>
      <c r="AC347" s="96">
        <v>1</v>
      </c>
      <c r="AD347" s="109"/>
      <c r="AE347" s="96"/>
      <c r="AF347" s="108"/>
      <c r="AG347" s="109"/>
      <c r="AH347" s="100"/>
      <c r="AI347" s="75"/>
      <c r="AJ347" s="110"/>
      <c r="AK347" s="416"/>
      <c r="AL347" s="100"/>
      <c r="AM347" s="100"/>
      <c r="AN347" s="111"/>
      <c r="AO347" s="100"/>
      <c r="AP347" s="100"/>
      <c r="AQ347" s="111"/>
      <c r="AR347" s="100"/>
      <c r="AS347" s="100"/>
      <c r="AT347" s="100"/>
    </row>
    <row r="348" spans="1:46" ht="14.3" customHeight="1">
      <c r="A348" s="246" t="s">
        <v>2</v>
      </c>
      <c r="B348" s="509">
        <f>SUM(J348+K348+L348+M348+N348+S348+V348+W348+X348+AA348+AI348+AJ348+AI348+AM348+AP348+AQ348+AS348+AT348+AU348+AV348)+4</f>
        <v>4</v>
      </c>
      <c r="C348" s="215">
        <f t="shared" ref="C348:C352" si="153">B348</f>
        <v>4</v>
      </c>
      <c r="D348" s="596">
        <f>SUM(T348+U348+Y348+Z348+AK348+AL348+AO348+AR348)</f>
        <v>0</v>
      </c>
      <c r="E348" s="604">
        <f t="shared" ref="E348:G354" si="154">D348</f>
        <v>0</v>
      </c>
      <c r="F348" s="626">
        <v>0</v>
      </c>
      <c r="G348" s="627">
        <f t="shared" si="154"/>
        <v>0</v>
      </c>
      <c r="H348" s="96"/>
      <c r="I348" s="96"/>
      <c r="J348" s="104"/>
      <c r="K348" s="75"/>
      <c r="L348" s="75"/>
      <c r="M348" s="75"/>
      <c r="N348" s="75"/>
      <c r="O348" s="96"/>
      <c r="P348" s="105"/>
      <c r="Q348" s="105"/>
      <c r="R348" s="96"/>
      <c r="S348" s="104"/>
      <c r="T348" s="110"/>
      <c r="U348" s="110"/>
      <c r="V348" s="100"/>
      <c r="W348" s="100"/>
      <c r="X348" s="100"/>
      <c r="Y348" s="110"/>
      <c r="Z348" s="110"/>
      <c r="AA348" s="100"/>
      <c r="AB348" s="109"/>
      <c r="AC348" s="109"/>
      <c r="AD348" s="109"/>
      <c r="AE348" s="109"/>
      <c r="AF348" s="108"/>
      <c r="AG348" s="109">
        <v>1</v>
      </c>
      <c r="AH348" s="100"/>
      <c r="AI348" s="100"/>
      <c r="AJ348" s="110"/>
      <c r="AK348" s="416"/>
      <c r="AL348" s="100"/>
      <c r="AM348" s="100"/>
      <c r="AN348" s="111"/>
      <c r="AO348" s="100"/>
      <c r="AP348" s="100"/>
      <c r="AQ348" s="111"/>
      <c r="AR348" s="100"/>
      <c r="AS348" s="100"/>
      <c r="AT348" s="100"/>
    </row>
    <row r="349" spans="1:46" ht="14.3" customHeight="1">
      <c r="A349" s="83" t="s">
        <v>363</v>
      </c>
      <c r="B349" s="508">
        <f>SUM(B347+B348)</f>
        <v>109</v>
      </c>
      <c r="C349" s="214">
        <f t="shared" si="153"/>
        <v>109</v>
      </c>
      <c r="D349" s="595">
        <f>SUM(D347+D348)</f>
        <v>15</v>
      </c>
      <c r="E349" s="602">
        <f t="shared" si="154"/>
        <v>15</v>
      </c>
      <c r="F349" s="617">
        <f>SUM(F347+F348)</f>
        <v>5</v>
      </c>
      <c r="G349" s="621">
        <f t="shared" si="154"/>
        <v>5</v>
      </c>
      <c r="H349" s="96"/>
      <c r="I349" s="96"/>
      <c r="J349" s="104"/>
      <c r="K349" s="75"/>
      <c r="L349" s="75"/>
      <c r="M349" s="75"/>
      <c r="N349" s="75"/>
      <c r="O349" s="96"/>
      <c r="P349" s="105"/>
      <c r="Q349" s="105"/>
      <c r="R349" s="96"/>
      <c r="S349" s="104"/>
      <c r="T349" s="110"/>
      <c r="U349" s="110"/>
      <c r="V349" s="100"/>
      <c r="W349" s="100"/>
      <c r="X349" s="100"/>
      <c r="Y349" s="110"/>
      <c r="Z349" s="110"/>
      <c r="AA349" s="100"/>
      <c r="AB349" s="109"/>
      <c r="AC349" s="109"/>
      <c r="AD349" s="109"/>
      <c r="AE349" s="109"/>
      <c r="AF349" s="108"/>
      <c r="AG349" s="109"/>
      <c r="AH349" s="100"/>
      <c r="AI349" s="100"/>
      <c r="AJ349" s="110"/>
      <c r="AK349" s="416"/>
      <c r="AL349" s="100"/>
      <c r="AM349" s="100"/>
      <c r="AN349" s="111"/>
      <c r="AO349" s="100"/>
      <c r="AP349" s="100"/>
      <c r="AQ349" s="111"/>
      <c r="AR349" s="100"/>
      <c r="AS349" s="100"/>
      <c r="AT349" s="100"/>
    </row>
    <row r="350" spans="1:46" ht="14.3" customHeight="1">
      <c r="A350" s="246" t="s">
        <v>366</v>
      </c>
      <c r="B350" s="509">
        <f>SUM(J350+K350+L350+M350+N350+S350+V350+W350+X350+AA350+AI350+AJ350+AI350+AM350+AP350+AQ350+AS350+AT350+AU350+AV350)+27</f>
        <v>29</v>
      </c>
      <c r="C350" s="215">
        <f t="shared" ref="C350" si="155">B350</f>
        <v>29</v>
      </c>
      <c r="D350" s="596"/>
      <c r="E350" s="604"/>
      <c r="F350" s="626"/>
      <c r="G350" s="627"/>
      <c r="H350" s="96"/>
      <c r="I350" s="96"/>
      <c r="J350" s="104">
        <v>1</v>
      </c>
      <c r="K350" s="75"/>
      <c r="L350" s="75"/>
      <c r="M350" s="75"/>
      <c r="N350" s="75"/>
      <c r="O350" s="96"/>
      <c r="P350" s="105"/>
      <c r="Q350" s="105"/>
      <c r="R350" s="96"/>
      <c r="S350" s="104">
        <v>1</v>
      </c>
      <c r="T350" s="110"/>
      <c r="U350" s="110"/>
      <c r="V350" s="100"/>
      <c r="W350" s="100"/>
      <c r="X350" s="100"/>
      <c r="Y350" s="110"/>
      <c r="Z350" s="110"/>
      <c r="AA350" s="100"/>
      <c r="AB350" s="109">
        <v>1</v>
      </c>
      <c r="AC350" s="109">
        <v>1</v>
      </c>
      <c r="AD350" s="109"/>
      <c r="AE350" s="109"/>
      <c r="AF350" s="108"/>
      <c r="AG350" s="109"/>
      <c r="AH350" s="100"/>
      <c r="AI350" s="100"/>
      <c r="AJ350" s="110"/>
      <c r="AK350" s="416"/>
      <c r="AL350" s="100"/>
      <c r="AM350" s="100"/>
      <c r="AN350" s="111"/>
      <c r="AO350" s="100"/>
      <c r="AP350" s="100"/>
      <c r="AQ350" s="111"/>
      <c r="AR350" s="100"/>
      <c r="AS350" s="100"/>
      <c r="AT350" s="100"/>
    </row>
    <row r="351" spans="1:46" ht="14.3" customHeight="1">
      <c r="A351" s="246" t="s">
        <v>362</v>
      </c>
      <c r="B351" s="509">
        <f>SUM(J351+K351+L351+M351+N351+S351+V351+W351+X351+AA351+AI351+AJ351+AI351+AM351+AP351+AQ351+AS351+AT351+AU351+AV351)+4</f>
        <v>4</v>
      </c>
      <c r="C351" s="215">
        <f t="shared" si="153"/>
        <v>4</v>
      </c>
      <c r="D351" s="596">
        <f t="shared" ref="D351:D352" si="156">SUM(T351+U351+Y351+Z351+AK351+AL351+AO351+AR351)</f>
        <v>0</v>
      </c>
      <c r="E351" s="604">
        <f t="shared" ref="E351:G352" si="157">D351</f>
        <v>0</v>
      </c>
      <c r="F351" s="626">
        <v>0</v>
      </c>
      <c r="G351" s="627">
        <f t="shared" si="157"/>
        <v>0</v>
      </c>
      <c r="H351" s="96"/>
      <c r="I351" s="96"/>
      <c r="J351" s="104"/>
      <c r="K351" s="75"/>
      <c r="L351" s="75"/>
      <c r="M351" s="75"/>
      <c r="N351" s="75"/>
      <c r="O351" s="96"/>
      <c r="P351" s="105"/>
      <c r="Q351" s="105"/>
      <c r="R351" s="96"/>
      <c r="S351" s="104"/>
      <c r="T351" s="110"/>
      <c r="U351" s="110"/>
      <c r="V351" s="100"/>
      <c r="W351" s="100"/>
      <c r="X351" s="100"/>
      <c r="Y351" s="110"/>
      <c r="Z351" s="110"/>
      <c r="AA351" s="100"/>
      <c r="AB351" s="109"/>
      <c r="AC351" s="109"/>
      <c r="AD351" s="109"/>
      <c r="AE351" s="109"/>
      <c r="AF351" s="108"/>
      <c r="AG351" s="109"/>
      <c r="AH351" s="100"/>
      <c r="AI351" s="100"/>
      <c r="AJ351" s="110"/>
      <c r="AK351" s="416"/>
      <c r="AL351" s="100"/>
      <c r="AM351" s="100"/>
      <c r="AN351" s="111"/>
      <c r="AO351" s="100"/>
      <c r="AP351" s="100"/>
      <c r="AQ351" s="111"/>
      <c r="AR351" s="100"/>
      <c r="AS351" s="100"/>
      <c r="AT351" s="100"/>
    </row>
    <row r="352" spans="1:46" ht="14.3" customHeight="1">
      <c r="A352" s="246" t="s">
        <v>364</v>
      </c>
      <c r="B352" s="509">
        <f>SUM(J352+K352+L352+M352+N352+S352+V352+W352+X352+AA352+AI352+AJ352+AI352+AM352+AP352+AQ352+AS352+AT352+AU352+AV352)+1</f>
        <v>1</v>
      </c>
      <c r="C352" s="215">
        <f t="shared" si="153"/>
        <v>1</v>
      </c>
      <c r="D352" s="596">
        <f t="shared" si="156"/>
        <v>0</v>
      </c>
      <c r="E352" s="604">
        <f t="shared" si="157"/>
        <v>0</v>
      </c>
      <c r="F352" s="626">
        <v>0</v>
      </c>
      <c r="G352" s="627">
        <f t="shared" si="157"/>
        <v>0</v>
      </c>
      <c r="H352" s="96"/>
      <c r="I352" s="96"/>
      <c r="J352" s="104"/>
      <c r="K352" s="75"/>
      <c r="L352" s="75"/>
      <c r="M352" s="75"/>
      <c r="N352" s="75"/>
      <c r="O352" s="96"/>
      <c r="P352" s="105"/>
      <c r="Q352" s="105"/>
      <c r="R352" s="96"/>
      <c r="S352" s="104"/>
      <c r="T352" s="110"/>
      <c r="U352" s="110"/>
      <c r="V352" s="100"/>
      <c r="W352" s="100"/>
      <c r="X352" s="100"/>
      <c r="Y352" s="110"/>
      <c r="Z352" s="110"/>
      <c r="AA352" s="100"/>
      <c r="AB352" s="109"/>
      <c r="AC352" s="109"/>
      <c r="AD352" s="109"/>
      <c r="AE352" s="109"/>
      <c r="AF352" s="108"/>
      <c r="AG352" s="109"/>
      <c r="AH352" s="100"/>
      <c r="AI352" s="100"/>
      <c r="AJ352" s="110"/>
      <c r="AK352" s="416"/>
      <c r="AL352" s="100"/>
      <c r="AM352" s="100"/>
      <c r="AN352" s="111"/>
      <c r="AO352" s="100"/>
      <c r="AP352" s="100"/>
      <c r="AQ352" s="111"/>
      <c r="AR352" s="100"/>
      <c r="AS352" s="100"/>
      <c r="AT352" s="100"/>
    </row>
    <row r="353" spans="1:46" ht="16.3">
      <c r="A353" s="83" t="s">
        <v>3</v>
      </c>
      <c r="B353" s="508">
        <f>SUM(J353+K353+L353+M353+N353+S353+V353+W353+X353+AA353+AI353+AJ353+AI353+AM353+AP353+AQ353+AS353+AT353+AU353+AV353)+22</f>
        <v>22</v>
      </c>
      <c r="C353" s="214">
        <f t="shared" ref="C353:C354" si="158">B353</f>
        <v>22</v>
      </c>
      <c r="D353" s="595">
        <f>SUM(T353+U353+Y353+Z353+AK353+AL353+AO353+AR353)+3</f>
        <v>3</v>
      </c>
      <c r="E353" s="602">
        <f t="shared" si="154"/>
        <v>3</v>
      </c>
      <c r="F353" s="617">
        <v>0</v>
      </c>
      <c r="G353" s="621">
        <f t="shared" si="154"/>
        <v>0</v>
      </c>
      <c r="H353" s="96"/>
      <c r="I353" s="96"/>
      <c r="J353" s="104"/>
      <c r="K353" s="75"/>
      <c r="L353" s="75"/>
      <c r="M353" s="75"/>
      <c r="N353" s="75"/>
      <c r="O353" s="96"/>
      <c r="P353" s="105"/>
      <c r="Q353" s="105"/>
      <c r="R353" s="96"/>
      <c r="S353" s="104"/>
      <c r="T353" s="110"/>
      <c r="U353" s="110"/>
      <c r="V353" s="100"/>
      <c r="W353" s="100"/>
      <c r="X353" s="100"/>
      <c r="Y353" s="110"/>
      <c r="Z353" s="110"/>
      <c r="AA353" s="100"/>
      <c r="AB353" s="109"/>
      <c r="AC353" s="109">
        <v>1</v>
      </c>
      <c r="AD353" s="109"/>
      <c r="AE353" s="109"/>
      <c r="AF353" s="108"/>
      <c r="AG353" s="109"/>
      <c r="AH353" s="100"/>
      <c r="AI353" s="100"/>
      <c r="AJ353" s="110"/>
      <c r="AK353" s="416"/>
      <c r="AL353" s="100"/>
      <c r="AM353" s="100"/>
      <c r="AN353" s="111"/>
      <c r="AO353" s="100"/>
      <c r="AP353" s="100"/>
      <c r="AQ353" s="111"/>
      <c r="AR353" s="100"/>
      <c r="AS353" s="100"/>
      <c r="AT353" s="100"/>
    </row>
    <row r="354" spans="1:46" ht="17" thickBot="1">
      <c r="A354" s="85" t="s">
        <v>4</v>
      </c>
      <c r="B354" s="510">
        <f>SUM(J354+K354+L354+M354+N354+S354+V354+W354+X354+AA354+AI354+AJ354+AI354+AM354+AP354+AQ354+AS354+AT354+AU354+AV354)+110</f>
        <v>110</v>
      </c>
      <c r="C354" s="217">
        <f t="shared" si="158"/>
        <v>110</v>
      </c>
      <c r="D354" s="597">
        <f>SUM(T354+U354+Y354+Z354+AK354+AL354+AO354+AR354)+15</f>
        <v>15</v>
      </c>
      <c r="E354" s="603">
        <f t="shared" si="154"/>
        <v>15</v>
      </c>
      <c r="F354" s="618">
        <v>0</v>
      </c>
      <c r="G354" s="622">
        <f t="shared" si="154"/>
        <v>0</v>
      </c>
      <c r="H354" s="114"/>
      <c r="I354" s="114"/>
      <c r="J354" s="113"/>
      <c r="K354" s="112"/>
      <c r="L354" s="112"/>
      <c r="M354" s="112"/>
      <c r="N354" s="112"/>
      <c r="O354" s="114"/>
      <c r="P354" s="127"/>
      <c r="Q354" s="127"/>
      <c r="R354" s="114"/>
      <c r="S354" s="113"/>
      <c r="T354" s="120"/>
      <c r="U354" s="119"/>
      <c r="V354" s="116"/>
      <c r="W354" s="116"/>
      <c r="X354" s="116"/>
      <c r="Y354" s="120"/>
      <c r="Z354" s="120"/>
      <c r="AA354" s="116"/>
      <c r="AB354" s="118"/>
      <c r="AC354" s="118">
        <v>5</v>
      </c>
      <c r="AD354" s="118"/>
      <c r="AE354" s="118"/>
      <c r="AF354" s="117"/>
      <c r="AG354" s="118"/>
      <c r="AH354" s="116"/>
      <c r="AI354" s="116"/>
      <c r="AJ354" s="120"/>
      <c r="AK354" s="417"/>
      <c r="AL354" s="116"/>
      <c r="AM354" s="116"/>
      <c r="AN354" s="121"/>
      <c r="AO354" s="116"/>
      <c r="AP354" s="116"/>
      <c r="AQ354" s="121"/>
      <c r="AR354" s="116"/>
      <c r="AS354" s="116"/>
      <c r="AT354" s="116"/>
    </row>
    <row r="355" spans="1:46" ht="21.1">
      <c r="A355" s="82" t="s">
        <v>23</v>
      </c>
      <c r="B355" s="508"/>
      <c r="C355" s="214"/>
      <c r="D355" s="595"/>
      <c r="E355" s="602"/>
      <c r="F355" s="617"/>
      <c r="G355" s="621"/>
      <c r="H355" s="96"/>
      <c r="I355" s="96"/>
      <c r="J355" s="104"/>
      <c r="K355" s="75" t="s">
        <v>375</v>
      </c>
      <c r="L355" s="75">
        <v>7</v>
      </c>
      <c r="M355" s="75" t="s">
        <v>373</v>
      </c>
      <c r="N355" s="75">
        <v>7</v>
      </c>
      <c r="O355" s="96"/>
      <c r="P355" s="105"/>
      <c r="Q355" s="105"/>
      <c r="R355" s="96" t="s">
        <v>373</v>
      </c>
      <c r="S355" s="104">
        <v>7</v>
      </c>
      <c r="T355" s="110"/>
      <c r="U355" s="110" t="s">
        <v>734</v>
      </c>
      <c r="V355" s="102" t="s">
        <v>699</v>
      </c>
      <c r="W355" s="102" t="s">
        <v>913</v>
      </c>
      <c r="X355" s="102" t="s">
        <v>717</v>
      </c>
      <c r="Y355" s="101">
        <v>7</v>
      </c>
      <c r="Z355" s="101"/>
      <c r="AA355" s="102">
        <v>7</v>
      </c>
      <c r="AB355" s="99"/>
      <c r="AC355" s="99"/>
      <c r="AD355" s="99" t="s">
        <v>1003</v>
      </c>
      <c r="AE355" s="99" t="s">
        <v>1003</v>
      </c>
      <c r="AF355" s="98"/>
      <c r="AG355" s="99" t="s">
        <v>1003</v>
      </c>
      <c r="AH355" s="102"/>
      <c r="AI355" s="102"/>
      <c r="AJ355" s="101"/>
      <c r="AK355" s="414"/>
      <c r="AL355" s="102"/>
      <c r="AM355" s="102"/>
      <c r="AN355" s="103"/>
      <c r="AO355" s="102"/>
      <c r="AP355" s="102"/>
      <c r="AQ355" s="103"/>
      <c r="AR355" s="102"/>
      <c r="AS355" s="102"/>
      <c r="AT355" s="102"/>
    </row>
    <row r="356" spans="1:46" ht="16.3">
      <c r="A356" s="246" t="s">
        <v>1</v>
      </c>
      <c r="B356" s="509">
        <f>SUM(J356+K356+L356+M356+N356+S356+V356+W356+X356+AA356+AI356+AJ356+AI356+AM356+AP356+AQ356+AS356+AT356+AU356+AV356+AN356)+79</f>
        <v>86</v>
      </c>
      <c r="C356" s="215">
        <f>B356</f>
        <v>86</v>
      </c>
      <c r="D356" s="596">
        <f>SUM(T356+U356+Y356+Z356+AK356+AL356+AO356+AR356)+16</f>
        <v>18</v>
      </c>
      <c r="E356" s="604">
        <f t="shared" ref="E356:G363" si="159">D356</f>
        <v>18</v>
      </c>
      <c r="F356" s="626">
        <v>6</v>
      </c>
      <c r="G356" s="627">
        <f t="shared" si="159"/>
        <v>6</v>
      </c>
      <c r="H356" s="96"/>
      <c r="I356" s="96"/>
      <c r="J356" s="104"/>
      <c r="K356" s="75"/>
      <c r="L356" s="75">
        <v>1</v>
      </c>
      <c r="M356" s="75">
        <v>1</v>
      </c>
      <c r="N356" s="75">
        <v>1</v>
      </c>
      <c r="O356" s="96"/>
      <c r="P356" s="105"/>
      <c r="Q356" s="105"/>
      <c r="R356" s="96">
        <v>1</v>
      </c>
      <c r="S356" s="104">
        <v>1</v>
      </c>
      <c r="T356" s="110"/>
      <c r="U356" s="110">
        <v>1</v>
      </c>
      <c r="V356" s="100">
        <v>1</v>
      </c>
      <c r="W356" s="100">
        <v>1</v>
      </c>
      <c r="X356" s="100"/>
      <c r="Y356" s="110">
        <v>1</v>
      </c>
      <c r="Z356" s="110"/>
      <c r="AA356" s="100">
        <v>1</v>
      </c>
      <c r="AB356" s="109"/>
      <c r="AC356" s="109"/>
      <c r="AD356" s="109">
        <v>1</v>
      </c>
      <c r="AE356" s="109">
        <v>1</v>
      </c>
      <c r="AF356" s="108"/>
      <c r="AG356" s="109">
        <v>1</v>
      </c>
      <c r="AH356" s="100"/>
      <c r="AI356" s="100"/>
      <c r="AJ356" s="110"/>
      <c r="AK356" s="416"/>
      <c r="AL356" s="100"/>
      <c r="AM356" s="100"/>
      <c r="AN356" s="111"/>
      <c r="AO356" s="100"/>
      <c r="AP356" s="100"/>
      <c r="AQ356" s="111"/>
      <c r="AR356" s="100"/>
      <c r="AS356" s="100"/>
      <c r="AT356" s="100"/>
    </row>
    <row r="357" spans="1:46" ht="16.3">
      <c r="A357" s="246" t="s">
        <v>2</v>
      </c>
      <c r="B357" s="509">
        <f>SUM(J357+K357+L357+M357+N357+S357+V357+W357+X357+AA357+AI357+AJ357+AI357+AM357+AP357+AQ357+AS357+AT357+AU357+AV357)+22</f>
        <v>23</v>
      </c>
      <c r="C357" s="215">
        <f t="shared" ref="C357:C360" si="160">B357</f>
        <v>23</v>
      </c>
      <c r="D357" s="596">
        <f>SUM(T357+U357+Y357+Z357+AK357+AL357+AO357+AR357)+2</f>
        <v>2</v>
      </c>
      <c r="E357" s="604">
        <f t="shared" si="159"/>
        <v>2</v>
      </c>
      <c r="F357" s="626">
        <v>2</v>
      </c>
      <c r="G357" s="627">
        <f t="shared" si="159"/>
        <v>2</v>
      </c>
      <c r="H357" s="96"/>
      <c r="I357" s="96"/>
      <c r="J357" s="104"/>
      <c r="K357" s="75">
        <v>1</v>
      </c>
      <c r="L357" s="75"/>
      <c r="M357" s="75"/>
      <c r="N357" s="75"/>
      <c r="O357" s="96"/>
      <c r="P357" s="105"/>
      <c r="Q357" s="105"/>
      <c r="R357" s="96"/>
      <c r="S357" s="104"/>
      <c r="T357" s="110"/>
      <c r="U357" s="110"/>
      <c r="V357" s="100"/>
      <c r="W357" s="100"/>
      <c r="X357" s="100"/>
      <c r="Y357" s="110"/>
      <c r="Z357" s="110"/>
      <c r="AA357" s="100"/>
      <c r="AB357" s="109"/>
      <c r="AC357" s="109"/>
      <c r="AD357" s="109"/>
      <c r="AE357" s="109"/>
      <c r="AF357" s="108"/>
      <c r="AG357" s="109"/>
      <c r="AH357" s="100"/>
      <c r="AI357" s="100"/>
      <c r="AJ357" s="110"/>
      <c r="AK357" s="416"/>
      <c r="AL357" s="100"/>
      <c r="AM357" s="100"/>
      <c r="AN357" s="111"/>
      <c r="AO357" s="100"/>
      <c r="AP357" s="100"/>
      <c r="AQ357" s="111"/>
      <c r="AR357" s="100"/>
      <c r="AS357" s="100"/>
      <c r="AT357" s="100"/>
    </row>
    <row r="358" spans="1:46" ht="16.3">
      <c r="A358" s="83" t="s">
        <v>363</v>
      </c>
      <c r="B358" s="508">
        <f>SUM(B356+B357)</f>
        <v>109</v>
      </c>
      <c r="C358" s="214">
        <f t="shared" si="160"/>
        <v>109</v>
      </c>
      <c r="D358" s="595">
        <f>SUM(D356+D357)</f>
        <v>20</v>
      </c>
      <c r="E358" s="602">
        <f t="shared" si="159"/>
        <v>20</v>
      </c>
      <c r="F358" s="617">
        <f>SUM(F356+F357)</f>
        <v>8</v>
      </c>
      <c r="G358" s="621">
        <f t="shared" si="159"/>
        <v>8</v>
      </c>
      <c r="H358" s="96"/>
      <c r="I358" s="96"/>
      <c r="J358" s="104"/>
      <c r="K358" s="75"/>
      <c r="L358" s="75"/>
      <c r="M358" s="75"/>
      <c r="N358" s="75"/>
      <c r="O358" s="96"/>
      <c r="P358" s="105"/>
      <c r="Q358" s="105"/>
      <c r="R358" s="96"/>
      <c r="S358" s="104"/>
      <c r="T358" s="110"/>
      <c r="U358" s="110"/>
      <c r="V358" s="100"/>
      <c r="W358" s="100"/>
      <c r="X358" s="100"/>
      <c r="Y358" s="110"/>
      <c r="Z358" s="110"/>
      <c r="AA358" s="100"/>
      <c r="AB358" s="109"/>
      <c r="AC358" s="109"/>
      <c r="AD358" s="109"/>
      <c r="AE358" s="109"/>
      <c r="AF358" s="108"/>
      <c r="AG358" s="109"/>
      <c r="AH358" s="100"/>
      <c r="AI358" s="100"/>
      <c r="AJ358" s="110"/>
      <c r="AK358" s="416"/>
      <c r="AL358" s="100"/>
      <c r="AM358" s="100"/>
      <c r="AN358" s="111"/>
      <c r="AO358" s="100"/>
      <c r="AP358" s="100"/>
      <c r="AQ358" s="111"/>
      <c r="AR358" s="100"/>
      <c r="AS358" s="100"/>
      <c r="AT358" s="100"/>
    </row>
    <row r="359" spans="1:46" ht="16.3">
      <c r="A359" s="246" t="s">
        <v>366</v>
      </c>
      <c r="B359" s="509">
        <f>SUM(J359+K359+L359+M359+N359+S359+V359+W359+X359+AA359+AI359+AJ359+AI359+AM359+AP359+AQ359+AS359+AT359+AU359+AV359)+1</f>
        <v>2</v>
      </c>
      <c r="C359" s="215">
        <f t="shared" si="160"/>
        <v>2</v>
      </c>
      <c r="D359" s="596">
        <f>SUM(T359+U359+Y359+Z359+AK359+AL359+AO359+AR359)</f>
        <v>1</v>
      </c>
      <c r="E359" s="604">
        <f t="shared" ref="E359:E361" si="161">D359</f>
        <v>1</v>
      </c>
      <c r="F359" s="626">
        <v>0</v>
      </c>
      <c r="G359" s="627">
        <f t="shared" si="159"/>
        <v>0</v>
      </c>
      <c r="H359" s="96"/>
      <c r="I359" s="96"/>
      <c r="J359" s="104"/>
      <c r="K359" s="75"/>
      <c r="L359" s="75"/>
      <c r="M359" s="75"/>
      <c r="N359" s="75"/>
      <c r="O359" s="96"/>
      <c r="P359" s="105"/>
      <c r="Q359" s="105"/>
      <c r="R359" s="96"/>
      <c r="S359" s="104"/>
      <c r="T359" s="110"/>
      <c r="U359" s="110">
        <v>1</v>
      </c>
      <c r="V359" s="100">
        <v>1</v>
      </c>
      <c r="W359" s="100"/>
      <c r="X359" s="100"/>
      <c r="Y359" s="110"/>
      <c r="Z359" s="110"/>
      <c r="AA359" s="100"/>
      <c r="AB359" s="109"/>
      <c r="AC359" s="109"/>
      <c r="AD359" s="109">
        <v>1</v>
      </c>
      <c r="AE359" s="109">
        <v>1</v>
      </c>
      <c r="AF359" s="108"/>
      <c r="AG359" s="109">
        <v>1</v>
      </c>
      <c r="AH359" s="100"/>
      <c r="AI359" s="100"/>
      <c r="AJ359" s="110"/>
      <c r="AK359" s="416"/>
      <c r="AL359" s="100"/>
      <c r="AM359" s="100"/>
      <c r="AN359" s="111"/>
      <c r="AO359" s="100"/>
      <c r="AP359" s="100"/>
      <c r="AQ359" s="111"/>
      <c r="AR359" s="100"/>
      <c r="AS359" s="100"/>
      <c r="AT359" s="100"/>
    </row>
    <row r="360" spans="1:46" ht="16.3">
      <c r="A360" s="246" t="s">
        <v>362</v>
      </c>
      <c r="B360" s="509">
        <f>SUM(J360+K360+L360+M360+N360+S360+V360+W360+X360+AA360+AI360+AJ360+AI360+AM360+AP360+AQ360+AS360+AT360+AU360+AV360)+3</f>
        <v>3</v>
      </c>
      <c r="C360" s="215">
        <f t="shared" si="160"/>
        <v>3</v>
      </c>
      <c r="D360" s="596">
        <f>SUM(T360+U360+Y360+Z360+AK360+AL360+AO360+AR360)</f>
        <v>0</v>
      </c>
      <c r="E360" s="604">
        <f t="shared" si="161"/>
        <v>0</v>
      </c>
      <c r="F360" s="626">
        <v>0</v>
      </c>
      <c r="G360" s="627">
        <f t="shared" si="159"/>
        <v>0</v>
      </c>
      <c r="H360" s="96"/>
      <c r="I360" s="96"/>
      <c r="J360" s="104"/>
      <c r="K360" s="75"/>
      <c r="L360" s="75"/>
      <c r="M360" s="75"/>
      <c r="N360" s="75"/>
      <c r="O360" s="96"/>
      <c r="P360" s="105"/>
      <c r="Q360" s="105"/>
      <c r="R360" s="96"/>
      <c r="S360" s="104"/>
      <c r="T360" s="110"/>
      <c r="U360" s="110"/>
      <c r="V360" s="100"/>
      <c r="W360" s="100"/>
      <c r="X360" s="100"/>
      <c r="Y360" s="110"/>
      <c r="Z360" s="110"/>
      <c r="AA360" s="100"/>
      <c r="AB360" s="109"/>
      <c r="AC360" s="109"/>
      <c r="AD360" s="109"/>
      <c r="AE360" s="109"/>
      <c r="AF360" s="108"/>
      <c r="AG360" s="109"/>
      <c r="AH360" s="100"/>
      <c r="AI360" s="100"/>
      <c r="AJ360" s="110"/>
      <c r="AK360" s="416"/>
      <c r="AL360" s="100"/>
      <c r="AM360" s="100"/>
      <c r="AN360" s="111"/>
      <c r="AO360" s="100"/>
      <c r="AP360" s="100"/>
      <c r="AQ360" s="111"/>
      <c r="AR360" s="100"/>
      <c r="AS360" s="100"/>
      <c r="AT360" s="100"/>
    </row>
    <row r="361" spans="1:46" ht="16.3">
      <c r="A361" s="246" t="s">
        <v>746</v>
      </c>
      <c r="B361" s="509">
        <f>SUM(J361+K361+L361+M361+N361+S361+V361+W361+X361+AA361+AI361+AJ361+AI361+AM361+AP361+AQ361+AS361+AT361+AU361+AV361)+1</f>
        <v>1</v>
      </c>
      <c r="C361" s="215">
        <f t="shared" ref="C361" si="162">B361</f>
        <v>1</v>
      </c>
      <c r="D361" s="596">
        <f>SUM(T361+U361+Y361+Z361+AK361+AL361+AO361+AR361)</f>
        <v>0</v>
      </c>
      <c r="E361" s="604">
        <f t="shared" si="161"/>
        <v>0</v>
      </c>
      <c r="F361" s="626">
        <v>0</v>
      </c>
      <c r="G361" s="627">
        <f t="shared" si="159"/>
        <v>0</v>
      </c>
      <c r="H361" s="96"/>
      <c r="I361" s="96"/>
      <c r="J361" s="104"/>
      <c r="K361" s="75"/>
      <c r="L361" s="75"/>
      <c r="M361" s="75"/>
      <c r="N361" s="75"/>
      <c r="O361" s="96"/>
      <c r="P361" s="105"/>
      <c r="Q361" s="105"/>
      <c r="R361" s="96"/>
      <c r="S361" s="104"/>
      <c r="T361" s="110"/>
      <c r="U361" s="110"/>
      <c r="V361" s="100"/>
      <c r="W361" s="100"/>
      <c r="X361" s="100"/>
      <c r="Y361" s="110"/>
      <c r="Z361" s="110"/>
      <c r="AA361" s="100"/>
      <c r="AB361" s="109"/>
      <c r="AC361" s="109"/>
      <c r="AD361" s="109"/>
      <c r="AE361" s="109"/>
      <c r="AF361" s="108"/>
      <c r="AG361" s="109"/>
      <c r="AH361" s="100"/>
      <c r="AI361" s="100"/>
      <c r="AJ361" s="110"/>
      <c r="AK361" s="416"/>
      <c r="AL361" s="100"/>
      <c r="AM361" s="100"/>
      <c r="AN361" s="111"/>
      <c r="AO361" s="100"/>
      <c r="AP361" s="100"/>
      <c r="AQ361" s="111"/>
      <c r="AR361" s="100"/>
      <c r="AS361" s="100"/>
      <c r="AT361" s="100"/>
    </row>
    <row r="362" spans="1:46" ht="16.3">
      <c r="A362" s="83" t="s">
        <v>3</v>
      </c>
      <c r="B362" s="508">
        <f>SUM(J362+K362+L362+M362+N362+S362+V362+W362+X362+AA362+AI362+AJ362+AI362+AM362+AP362+AQ362+AS362+AT362+AU362+AV362)+14</f>
        <v>17</v>
      </c>
      <c r="C362" s="214">
        <f t="shared" ref="C362:C363" si="163">B362</f>
        <v>17</v>
      </c>
      <c r="D362" s="595">
        <f>SUM(T362+U362+Y362+Z362+AK362+AL362+AO362+AR362)</f>
        <v>1</v>
      </c>
      <c r="E362" s="602">
        <f t="shared" si="159"/>
        <v>1</v>
      </c>
      <c r="F362" s="617">
        <v>2</v>
      </c>
      <c r="G362" s="621">
        <f t="shared" si="159"/>
        <v>2</v>
      </c>
      <c r="H362" s="96"/>
      <c r="I362" s="96"/>
      <c r="J362" s="104"/>
      <c r="K362" s="75"/>
      <c r="L362" s="75"/>
      <c r="M362" s="75">
        <v>1</v>
      </c>
      <c r="N362" s="75"/>
      <c r="O362" s="96"/>
      <c r="P362" s="105"/>
      <c r="Q362" s="105"/>
      <c r="R362" s="96"/>
      <c r="S362" s="104">
        <v>1</v>
      </c>
      <c r="T362" s="110"/>
      <c r="U362" s="110"/>
      <c r="V362" s="100">
        <v>1</v>
      </c>
      <c r="W362" s="100"/>
      <c r="X362" s="100"/>
      <c r="Y362" s="110">
        <v>1</v>
      </c>
      <c r="Z362" s="110"/>
      <c r="AA362" s="100"/>
      <c r="AB362" s="109"/>
      <c r="AC362" s="109"/>
      <c r="AD362" s="109">
        <v>2</v>
      </c>
      <c r="AE362" s="109"/>
      <c r="AF362" s="108"/>
      <c r="AG362" s="109">
        <v>2</v>
      </c>
      <c r="AH362" s="100"/>
      <c r="AI362" s="100"/>
      <c r="AJ362" s="110"/>
      <c r="AK362" s="416"/>
      <c r="AL362" s="100"/>
      <c r="AM362" s="100"/>
      <c r="AN362" s="111"/>
      <c r="AO362" s="100"/>
      <c r="AP362" s="100"/>
      <c r="AQ362" s="111"/>
      <c r="AR362" s="100"/>
      <c r="AS362" s="100"/>
      <c r="AT362" s="100"/>
    </row>
    <row r="363" spans="1:46" ht="17" thickBot="1">
      <c r="A363" s="85" t="s">
        <v>4</v>
      </c>
      <c r="B363" s="510">
        <f>SUM(J363+K363+L363+M363+N363+S363+V363+W363+X363+AA363+AI363+AJ363+AI363+AM363+AP363+AQ363+AS363+AT363+AU363+AV363)+70</f>
        <v>85</v>
      </c>
      <c r="C363" s="217">
        <f t="shared" si="163"/>
        <v>85</v>
      </c>
      <c r="D363" s="597">
        <f>SUM(T363+U363+Y363+Z363+AK363+AL363+AO363+AR363)</f>
        <v>5</v>
      </c>
      <c r="E363" s="603">
        <f t="shared" si="159"/>
        <v>5</v>
      </c>
      <c r="F363" s="618">
        <v>10</v>
      </c>
      <c r="G363" s="622">
        <f t="shared" si="159"/>
        <v>10</v>
      </c>
      <c r="H363" s="114"/>
      <c r="I363" s="114"/>
      <c r="J363" s="113"/>
      <c r="K363" s="112"/>
      <c r="L363" s="112"/>
      <c r="M363" s="112">
        <v>5</v>
      </c>
      <c r="N363" s="112"/>
      <c r="O363" s="114"/>
      <c r="P363" s="127"/>
      <c r="Q363" s="127"/>
      <c r="R363" s="114"/>
      <c r="S363" s="113">
        <v>5</v>
      </c>
      <c r="T363" s="120"/>
      <c r="U363" s="119"/>
      <c r="V363" s="100">
        <v>5</v>
      </c>
      <c r="W363" s="100"/>
      <c r="X363" s="100"/>
      <c r="Y363" s="110">
        <v>5</v>
      </c>
      <c r="Z363" s="110"/>
      <c r="AA363" s="100"/>
      <c r="AB363" s="109"/>
      <c r="AC363" s="109"/>
      <c r="AD363" s="109">
        <v>10</v>
      </c>
      <c r="AE363" s="109"/>
      <c r="AF363" s="108"/>
      <c r="AG363" s="109">
        <v>10</v>
      </c>
      <c r="AH363" s="100"/>
      <c r="AI363" s="100"/>
      <c r="AJ363" s="110"/>
      <c r="AK363" s="416"/>
      <c r="AL363" s="100"/>
      <c r="AM363" s="100"/>
      <c r="AN363" s="111"/>
      <c r="AO363" s="100"/>
      <c r="AP363" s="100"/>
      <c r="AQ363" s="111"/>
      <c r="AR363" s="100"/>
      <c r="AS363" s="100"/>
      <c r="AT363" s="100"/>
    </row>
    <row r="364" spans="1:46" ht="21.1">
      <c r="A364" s="82" t="s">
        <v>195</v>
      </c>
      <c r="B364" s="508"/>
      <c r="C364" s="214"/>
      <c r="D364" s="595"/>
      <c r="E364" s="602"/>
      <c r="F364" s="617"/>
      <c r="G364" s="621"/>
      <c r="H364" s="96">
        <v>7</v>
      </c>
      <c r="I364" s="96"/>
      <c r="J364" s="75">
        <v>7</v>
      </c>
      <c r="K364" s="75">
        <v>7</v>
      </c>
      <c r="L364" s="75" t="s">
        <v>374</v>
      </c>
      <c r="M364" s="75" t="s">
        <v>375</v>
      </c>
      <c r="N364" s="75" t="s">
        <v>434</v>
      </c>
      <c r="O364" s="96" t="s">
        <v>339</v>
      </c>
      <c r="P364" s="105"/>
      <c r="Q364" s="105"/>
      <c r="R364" s="96" t="s">
        <v>339</v>
      </c>
      <c r="S364" s="104" t="s">
        <v>339</v>
      </c>
      <c r="T364" s="110" t="s">
        <v>339</v>
      </c>
      <c r="U364" s="110" t="s">
        <v>339</v>
      </c>
      <c r="V364" s="102" t="s">
        <v>339</v>
      </c>
      <c r="W364" s="102" t="s">
        <v>339</v>
      </c>
      <c r="X364" s="102" t="s">
        <v>375</v>
      </c>
      <c r="Y364" s="101" t="s">
        <v>375</v>
      </c>
      <c r="Z364" s="101" t="s">
        <v>375</v>
      </c>
      <c r="AA364" s="102" t="s">
        <v>374</v>
      </c>
      <c r="AB364" s="99"/>
      <c r="AC364" s="99"/>
      <c r="AD364" s="99"/>
      <c r="AE364" s="99"/>
      <c r="AF364" s="98"/>
      <c r="AG364" s="99"/>
      <c r="AH364" s="102"/>
      <c r="AI364" s="102"/>
      <c r="AJ364" s="101"/>
      <c r="AK364" s="414"/>
      <c r="AL364" s="102"/>
      <c r="AM364" s="102"/>
      <c r="AN364" s="103"/>
      <c r="AO364" s="102"/>
      <c r="AP364" s="102"/>
      <c r="AQ364" s="103"/>
      <c r="AR364" s="102"/>
      <c r="AS364" s="102"/>
      <c r="AT364" s="102"/>
    </row>
    <row r="365" spans="1:46" ht="16.3">
      <c r="A365" s="246" t="s">
        <v>1</v>
      </c>
      <c r="B365" s="509">
        <f>SUM(J365+K365+L365+M365+N365+S365+V365+W365+X365+AA365+AI365+AJ365+AI365+AM365+AP365+AQ365+AS365+AT365+AU365+AV365+AN365)+2</f>
        <v>6</v>
      </c>
      <c r="C365" s="215">
        <f>B365</f>
        <v>6</v>
      </c>
      <c r="D365" s="596">
        <f>SUM(T365+U365+Y365+Z365+AK365+AL365+AO365+AR365)+2</f>
        <v>2</v>
      </c>
      <c r="E365" s="604">
        <f>D365</f>
        <v>2</v>
      </c>
      <c r="F365" s="626">
        <v>0</v>
      </c>
      <c r="G365" s="627">
        <v>0</v>
      </c>
      <c r="H365" s="96">
        <v>1</v>
      </c>
      <c r="I365" s="96"/>
      <c r="J365" s="104">
        <v>1</v>
      </c>
      <c r="K365" s="75">
        <v>1</v>
      </c>
      <c r="L365" s="75">
        <v>1</v>
      </c>
      <c r="M365" s="75"/>
      <c r="N365" s="75"/>
      <c r="O365" s="96"/>
      <c r="P365" s="105"/>
      <c r="Q365" s="105"/>
      <c r="R365" s="96"/>
      <c r="S365" s="104"/>
      <c r="T365" s="110"/>
      <c r="U365" s="110"/>
      <c r="V365" s="100"/>
      <c r="W365" s="100"/>
      <c r="X365" s="100"/>
      <c r="Y365" s="110"/>
      <c r="Z365" s="110"/>
      <c r="AA365" s="100">
        <v>1</v>
      </c>
      <c r="AB365" s="109"/>
      <c r="AC365" s="109"/>
      <c r="AD365" s="109"/>
      <c r="AE365" s="109"/>
      <c r="AF365" s="108"/>
      <c r="AG365" s="109"/>
      <c r="AH365" s="100"/>
      <c r="AI365" s="100"/>
      <c r="AJ365" s="110"/>
      <c r="AK365" s="416"/>
      <c r="AL365" s="100"/>
      <c r="AM365" s="100"/>
      <c r="AN365" s="111"/>
      <c r="AO365" s="100"/>
      <c r="AP365" s="100"/>
      <c r="AQ365" s="111"/>
      <c r="AR365" s="100"/>
      <c r="AS365" s="100"/>
      <c r="AT365" s="100"/>
    </row>
    <row r="366" spans="1:46" ht="16.3">
      <c r="A366" s="246" t="s">
        <v>2</v>
      </c>
      <c r="B366" s="509">
        <f>SUM(J366+K366+L366+M366+N366+S366+V366+W366+X366+AA366+AI366+AJ366+AI366+AM366+AP366+AQ366+AS366+AT366+AU366+AV366)+21</f>
        <v>24</v>
      </c>
      <c r="C366" s="215">
        <f t="shared" ref="C366:C369" si="164">B366</f>
        <v>24</v>
      </c>
      <c r="D366" s="596">
        <f>SUM(T366+U366+Y366+Z366+AK366+AL366+AO366+AR366)+6</f>
        <v>8</v>
      </c>
      <c r="E366" s="604">
        <f t="shared" ref="E366:E369" si="165">D366</f>
        <v>8</v>
      </c>
      <c r="F366" s="626">
        <v>0</v>
      </c>
      <c r="G366" s="627">
        <v>0</v>
      </c>
      <c r="H366" s="96"/>
      <c r="I366" s="96"/>
      <c r="J366" s="104"/>
      <c r="K366" s="75"/>
      <c r="L366" s="75"/>
      <c r="M366" s="75">
        <v>1</v>
      </c>
      <c r="N366" s="75">
        <v>1</v>
      </c>
      <c r="O366" s="96"/>
      <c r="P366" s="105"/>
      <c r="Q366" s="105"/>
      <c r="R366" s="96"/>
      <c r="S366" s="104"/>
      <c r="T366" s="110"/>
      <c r="U366" s="110"/>
      <c r="V366" s="100"/>
      <c r="W366" s="100"/>
      <c r="X366" s="100">
        <v>1</v>
      </c>
      <c r="Y366" s="110">
        <v>1</v>
      </c>
      <c r="Z366" s="110">
        <v>1</v>
      </c>
      <c r="AA366" s="100"/>
      <c r="AB366" s="109"/>
      <c r="AC366" s="109"/>
      <c r="AD366" s="109"/>
      <c r="AE366" s="109"/>
      <c r="AF366" s="108"/>
      <c r="AG366" s="109"/>
      <c r="AH366" s="100"/>
      <c r="AI366" s="100"/>
      <c r="AJ366" s="110"/>
      <c r="AK366" s="416"/>
      <c r="AL366" s="100"/>
      <c r="AM366" s="100"/>
      <c r="AN366" s="111"/>
      <c r="AO366" s="100"/>
      <c r="AP366" s="100"/>
      <c r="AQ366" s="111"/>
      <c r="AR366" s="100"/>
      <c r="AS366" s="100"/>
      <c r="AT366" s="100"/>
    </row>
    <row r="367" spans="1:46" ht="16.3">
      <c r="A367" s="83" t="s">
        <v>363</v>
      </c>
      <c r="B367" s="508">
        <f>SUM(B365+B366)</f>
        <v>30</v>
      </c>
      <c r="C367" s="214">
        <f t="shared" si="164"/>
        <v>30</v>
      </c>
      <c r="D367" s="595">
        <f>SUM(D365+D366)</f>
        <v>10</v>
      </c>
      <c r="E367" s="602">
        <f t="shared" si="165"/>
        <v>10</v>
      </c>
      <c r="F367" s="617">
        <v>0</v>
      </c>
      <c r="G367" s="621">
        <v>0</v>
      </c>
      <c r="H367" s="96"/>
      <c r="I367" s="96"/>
      <c r="J367" s="104"/>
      <c r="K367" s="75"/>
      <c r="L367" s="75"/>
      <c r="M367" s="75"/>
      <c r="N367" s="75"/>
      <c r="O367" s="96"/>
      <c r="P367" s="105"/>
      <c r="Q367" s="105"/>
      <c r="R367" s="96"/>
      <c r="S367" s="104"/>
      <c r="T367" s="110"/>
      <c r="U367" s="110"/>
      <c r="V367" s="100"/>
      <c r="W367" s="100"/>
      <c r="X367" s="100"/>
      <c r="Y367" s="110"/>
      <c r="Z367" s="110"/>
      <c r="AA367" s="100"/>
      <c r="AB367" s="109"/>
      <c r="AC367" s="109"/>
      <c r="AD367" s="109"/>
      <c r="AE367" s="109"/>
      <c r="AF367" s="108"/>
      <c r="AG367" s="109"/>
      <c r="AH367" s="100"/>
      <c r="AI367" s="100"/>
      <c r="AJ367" s="110"/>
      <c r="AK367" s="416"/>
      <c r="AL367" s="100"/>
      <c r="AM367" s="100"/>
      <c r="AN367" s="111"/>
      <c r="AO367" s="100"/>
      <c r="AP367" s="100"/>
      <c r="AQ367" s="111"/>
      <c r="AR367" s="100"/>
      <c r="AS367" s="100"/>
      <c r="AT367" s="100"/>
    </row>
    <row r="368" spans="1:46" ht="16.3">
      <c r="A368" s="83" t="s">
        <v>3</v>
      </c>
      <c r="B368" s="508">
        <f>SUM(J368+K368+L368+M368+N368+S368+V368+W368+X368+AA368+AI368+AJ368+AI368+AM368+AP368+AQ368+AS368+AT368+AU368+AV368)+4</f>
        <v>5</v>
      </c>
      <c r="C368" s="214">
        <f t="shared" si="164"/>
        <v>5</v>
      </c>
      <c r="D368" s="595">
        <f>SUM(T368+U368+Y368+Z368+AK368+AL368+AO368+AR368)+1</f>
        <v>2</v>
      </c>
      <c r="E368" s="602">
        <f t="shared" si="165"/>
        <v>2</v>
      </c>
      <c r="F368" s="617">
        <v>0</v>
      </c>
      <c r="G368" s="621">
        <v>0</v>
      </c>
      <c r="H368" s="96">
        <v>1</v>
      </c>
      <c r="I368" s="96"/>
      <c r="J368" s="104"/>
      <c r="K368" s="75"/>
      <c r="L368" s="75"/>
      <c r="M368" s="75"/>
      <c r="N368" s="75">
        <v>1</v>
      </c>
      <c r="O368" s="96"/>
      <c r="P368" s="105"/>
      <c r="Q368" s="105"/>
      <c r="R368" s="96"/>
      <c r="S368" s="104"/>
      <c r="T368" s="110"/>
      <c r="U368" s="110"/>
      <c r="V368" s="100"/>
      <c r="W368" s="100"/>
      <c r="X368" s="100"/>
      <c r="Y368" s="110">
        <v>1</v>
      </c>
      <c r="Z368" s="110"/>
      <c r="AA368" s="100"/>
      <c r="AB368" s="109"/>
      <c r="AC368" s="109"/>
      <c r="AD368" s="109"/>
      <c r="AE368" s="109"/>
      <c r="AF368" s="108"/>
      <c r="AG368" s="109"/>
      <c r="AH368" s="100"/>
      <c r="AI368" s="100"/>
      <c r="AJ368" s="110"/>
      <c r="AK368" s="416"/>
      <c r="AL368" s="100"/>
      <c r="AM368" s="100"/>
      <c r="AN368" s="111"/>
      <c r="AO368" s="100"/>
      <c r="AP368" s="100"/>
      <c r="AQ368" s="111"/>
      <c r="AR368" s="100"/>
      <c r="AS368" s="100"/>
      <c r="AT368" s="100"/>
    </row>
    <row r="369" spans="1:46" ht="17" thickBot="1">
      <c r="A369" s="85" t="s">
        <v>4</v>
      </c>
      <c r="B369" s="510">
        <f>SUM(J369+K369+L369+M369+N369+S369+V369+W369+X369+AA369+AI369+AJ369+AI369+AM369+AP369+AQ369+AS369+AT369+AU369+AV369)+20</f>
        <v>25</v>
      </c>
      <c r="C369" s="217">
        <f t="shared" si="164"/>
        <v>25</v>
      </c>
      <c r="D369" s="597">
        <f>SUM(T369+U369+Y369+Z369+AK369+AL369+AO369+AR369)+5</f>
        <v>10</v>
      </c>
      <c r="E369" s="603">
        <f t="shared" si="165"/>
        <v>10</v>
      </c>
      <c r="F369" s="618">
        <v>0</v>
      </c>
      <c r="G369" s="622">
        <v>0</v>
      </c>
      <c r="H369" s="114">
        <v>5</v>
      </c>
      <c r="I369" s="114"/>
      <c r="J369" s="113"/>
      <c r="K369" s="112"/>
      <c r="L369" s="112"/>
      <c r="M369" s="112"/>
      <c r="N369" s="112">
        <v>5</v>
      </c>
      <c r="O369" s="114"/>
      <c r="P369" s="127"/>
      <c r="Q369" s="127"/>
      <c r="R369" s="114"/>
      <c r="S369" s="113"/>
      <c r="T369" s="120"/>
      <c r="U369" s="119"/>
      <c r="V369" s="116"/>
      <c r="W369" s="116"/>
      <c r="X369" s="116"/>
      <c r="Y369" s="120">
        <v>5</v>
      </c>
      <c r="Z369" s="120"/>
      <c r="AA369" s="116"/>
      <c r="AB369" s="118"/>
      <c r="AC369" s="118"/>
      <c r="AD369" s="118"/>
      <c r="AE369" s="118"/>
      <c r="AF369" s="117"/>
      <c r="AG369" s="118"/>
      <c r="AH369" s="116"/>
      <c r="AI369" s="116"/>
      <c r="AJ369" s="120"/>
      <c r="AK369" s="417"/>
      <c r="AL369" s="116"/>
      <c r="AM369" s="116"/>
      <c r="AN369" s="121"/>
      <c r="AO369" s="116"/>
      <c r="AP369" s="116"/>
      <c r="AQ369" s="121"/>
      <c r="AR369" s="116"/>
      <c r="AS369" s="116"/>
      <c r="AT369" s="116"/>
    </row>
    <row r="370" spans="1:46" ht="21.1">
      <c r="A370" s="82" t="s">
        <v>603</v>
      </c>
      <c r="B370" s="508"/>
      <c r="C370" s="214"/>
      <c r="D370" s="595"/>
      <c r="E370" s="602"/>
      <c r="F370" s="617"/>
      <c r="G370" s="621"/>
      <c r="H370" s="96" t="s">
        <v>432</v>
      </c>
      <c r="I370" s="96">
        <v>8</v>
      </c>
      <c r="J370" s="104" t="s">
        <v>375</v>
      </c>
      <c r="K370" s="75">
        <v>6</v>
      </c>
      <c r="L370" s="75" t="s">
        <v>375</v>
      </c>
      <c r="M370" s="75"/>
      <c r="N370" s="75"/>
      <c r="O370" s="96" t="s">
        <v>374</v>
      </c>
      <c r="P370" s="105"/>
      <c r="Q370" s="105"/>
      <c r="R370" s="96">
        <v>8</v>
      </c>
      <c r="S370" s="104">
        <v>8</v>
      </c>
      <c r="T370" s="110" t="s">
        <v>374</v>
      </c>
      <c r="U370" s="110">
        <v>8</v>
      </c>
      <c r="V370" s="100">
        <v>8</v>
      </c>
      <c r="W370" s="100">
        <v>6</v>
      </c>
      <c r="X370" s="100" t="s">
        <v>375</v>
      </c>
      <c r="Y370" s="110" t="s">
        <v>375</v>
      </c>
      <c r="Z370" s="110">
        <v>6</v>
      </c>
      <c r="AA370" s="100" t="s">
        <v>375</v>
      </c>
      <c r="AB370" s="109"/>
      <c r="AC370" s="109"/>
      <c r="AD370" s="109">
        <v>8</v>
      </c>
      <c r="AE370" s="109" t="s">
        <v>374</v>
      </c>
      <c r="AF370" s="108"/>
      <c r="AG370" s="109">
        <v>8</v>
      </c>
      <c r="AH370" s="100"/>
      <c r="AI370" s="100"/>
      <c r="AJ370" s="110"/>
      <c r="AK370" s="416"/>
      <c r="AL370" s="100"/>
      <c r="AM370" s="100"/>
      <c r="AN370" s="111"/>
      <c r="AO370" s="100"/>
      <c r="AP370" s="100"/>
      <c r="AQ370" s="111"/>
      <c r="AR370" s="100"/>
      <c r="AS370" s="100"/>
      <c r="AT370" s="100"/>
    </row>
    <row r="371" spans="1:46" ht="16.3">
      <c r="A371" s="246" t="s">
        <v>1</v>
      </c>
      <c r="B371" s="509">
        <f>SUM(J371+K371+L371+M371+N371+S371+V371+W371+X371+AA371+AI371+AJ371+AI371+AM371+AP371+AQ371+AS371+AT371+AU371+AV371+AN371)</f>
        <v>4</v>
      </c>
      <c r="C371" s="215">
        <f>B371</f>
        <v>4</v>
      </c>
      <c r="D371" s="596">
        <f>SUM(T371+U371+Y371+Z371+AK371+AL371+AO371+AR371)</f>
        <v>3</v>
      </c>
      <c r="E371" s="604">
        <f>D371</f>
        <v>3</v>
      </c>
      <c r="F371" s="626">
        <v>0</v>
      </c>
      <c r="G371" s="627">
        <v>0</v>
      </c>
      <c r="H371" s="96"/>
      <c r="I371" s="96">
        <v>1</v>
      </c>
      <c r="J371" s="104"/>
      <c r="K371" s="75">
        <v>1</v>
      </c>
      <c r="L371" s="75"/>
      <c r="M371" s="75"/>
      <c r="N371" s="75"/>
      <c r="O371" s="96">
        <v>1</v>
      </c>
      <c r="P371" s="105"/>
      <c r="Q371" s="105"/>
      <c r="R371" s="96">
        <v>1</v>
      </c>
      <c r="S371" s="104">
        <v>1</v>
      </c>
      <c r="T371" s="110">
        <v>1</v>
      </c>
      <c r="U371" s="110">
        <v>1</v>
      </c>
      <c r="V371" s="100">
        <v>1</v>
      </c>
      <c r="W371" s="100">
        <v>1</v>
      </c>
      <c r="X371" s="100"/>
      <c r="Y371" s="110"/>
      <c r="Z371" s="110">
        <v>1</v>
      </c>
      <c r="AA371" s="100"/>
      <c r="AB371" s="109"/>
      <c r="AC371" s="109"/>
      <c r="AD371" s="109">
        <v>1</v>
      </c>
      <c r="AE371" s="109">
        <v>1</v>
      </c>
      <c r="AF371" s="108"/>
      <c r="AG371" s="109">
        <v>1</v>
      </c>
      <c r="AH371" s="100"/>
      <c r="AI371" s="100"/>
      <c r="AJ371" s="110"/>
      <c r="AK371" s="416"/>
      <c r="AL371" s="100"/>
      <c r="AM371" s="100"/>
      <c r="AN371" s="111"/>
      <c r="AO371" s="100"/>
      <c r="AP371" s="100"/>
      <c r="AQ371" s="111"/>
      <c r="AR371" s="100"/>
      <c r="AS371" s="100"/>
      <c r="AT371" s="100"/>
    </row>
    <row r="372" spans="1:46" ht="16.3">
      <c r="A372" s="246" t="s">
        <v>2</v>
      </c>
      <c r="B372" s="509">
        <f>SUM(J372+K372+L372+M372+N372+S372+V372+W372+X372+AA372+AI372+AJ372+AI372+AM372+AP372+AQ372+AS372+AT372+AU372+AV372)</f>
        <v>4</v>
      </c>
      <c r="C372" s="215">
        <f t="shared" ref="C372:C375" si="166">B372</f>
        <v>4</v>
      </c>
      <c r="D372" s="596">
        <f>SUM(T372+U372+Y372+Z372+AK372+AL372+AO372+AR372)</f>
        <v>1</v>
      </c>
      <c r="E372" s="604">
        <f t="shared" ref="E372:E375" si="167">D372</f>
        <v>1</v>
      </c>
      <c r="F372" s="626">
        <v>0</v>
      </c>
      <c r="G372" s="627">
        <v>0</v>
      </c>
      <c r="H372" s="96">
        <v>1</v>
      </c>
      <c r="I372" s="96"/>
      <c r="J372" s="104">
        <v>1</v>
      </c>
      <c r="K372" s="75"/>
      <c r="L372" s="75">
        <v>1</v>
      </c>
      <c r="M372" s="75"/>
      <c r="N372" s="75"/>
      <c r="O372" s="96"/>
      <c r="P372" s="105"/>
      <c r="Q372" s="105"/>
      <c r="R372" s="96"/>
      <c r="S372" s="104"/>
      <c r="T372" s="110"/>
      <c r="U372" s="110"/>
      <c r="V372" s="100"/>
      <c r="W372" s="100"/>
      <c r="X372" s="100">
        <v>1</v>
      </c>
      <c r="Y372" s="110">
        <v>1</v>
      </c>
      <c r="Z372" s="110"/>
      <c r="AA372" s="100">
        <v>1</v>
      </c>
      <c r="AB372" s="109"/>
      <c r="AC372" s="109"/>
      <c r="AD372" s="109"/>
      <c r="AE372" s="109"/>
      <c r="AF372" s="108"/>
      <c r="AG372" s="109"/>
      <c r="AH372" s="100"/>
      <c r="AI372" s="100"/>
      <c r="AJ372" s="110"/>
      <c r="AK372" s="416"/>
      <c r="AL372" s="100"/>
      <c r="AM372" s="100"/>
      <c r="AN372" s="111"/>
      <c r="AO372" s="100"/>
      <c r="AP372" s="100"/>
      <c r="AQ372" s="111"/>
      <c r="AR372" s="100"/>
      <c r="AS372" s="100"/>
      <c r="AT372" s="100"/>
    </row>
    <row r="373" spans="1:46" ht="16.3">
      <c r="A373" s="83" t="s">
        <v>363</v>
      </c>
      <c r="B373" s="508">
        <f>SUM(B371+B372)</f>
        <v>8</v>
      </c>
      <c r="C373" s="214">
        <f t="shared" si="166"/>
        <v>8</v>
      </c>
      <c r="D373" s="595">
        <f>SUM(D371+D372)</f>
        <v>4</v>
      </c>
      <c r="E373" s="602">
        <f t="shared" si="167"/>
        <v>4</v>
      </c>
      <c r="F373" s="617">
        <v>0</v>
      </c>
      <c r="G373" s="621">
        <v>0</v>
      </c>
      <c r="H373" s="96"/>
      <c r="I373" s="96"/>
      <c r="J373" s="104"/>
      <c r="K373" s="75"/>
      <c r="L373" s="75"/>
      <c r="M373" s="75"/>
      <c r="N373" s="75"/>
      <c r="O373" s="96"/>
      <c r="P373" s="105"/>
      <c r="Q373" s="105"/>
      <c r="R373" s="96"/>
      <c r="S373" s="104"/>
      <c r="T373" s="110"/>
      <c r="U373" s="110"/>
      <c r="V373" s="100"/>
      <c r="W373" s="100"/>
      <c r="X373" s="100"/>
      <c r="Y373" s="110"/>
      <c r="Z373" s="110"/>
      <c r="AA373" s="100"/>
      <c r="AB373" s="109"/>
      <c r="AC373" s="109"/>
      <c r="AD373" s="109"/>
      <c r="AE373" s="109"/>
      <c r="AF373" s="108"/>
      <c r="AG373" s="109"/>
      <c r="AH373" s="100"/>
      <c r="AI373" s="100"/>
      <c r="AJ373" s="110"/>
      <c r="AK373" s="416"/>
      <c r="AL373" s="100"/>
      <c r="AM373" s="100"/>
      <c r="AN373" s="111"/>
      <c r="AO373" s="100"/>
      <c r="AP373" s="100"/>
      <c r="AQ373" s="111"/>
      <c r="AR373" s="100"/>
      <c r="AS373" s="100"/>
      <c r="AT373" s="100"/>
    </row>
    <row r="374" spans="1:46" ht="16.3">
      <c r="A374" s="83" t="s">
        <v>3</v>
      </c>
      <c r="B374" s="508">
        <f>SUM(J374+K374+L374+M374+N374+S374+V374+W374+X374+AA374+AI374+AJ374+AI374+AM374+AP374+AQ374+AS374+AT374+AU374+AV374)</f>
        <v>2</v>
      </c>
      <c r="C374" s="214">
        <f t="shared" si="166"/>
        <v>2</v>
      </c>
      <c r="D374" s="595">
        <f t="shared" ref="D374:D375" si="168">SUM(T374+U374+Y374+Z374+AK374+AL374+AO374+AR374)</f>
        <v>1</v>
      </c>
      <c r="E374" s="602">
        <f t="shared" si="167"/>
        <v>1</v>
      </c>
      <c r="F374" s="617">
        <v>0</v>
      </c>
      <c r="G374" s="621">
        <v>0</v>
      </c>
      <c r="H374" s="96"/>
      <c r="I374" s="96"/>
      <c r="J374" s="104"/>
      <c r="K374" s="75"/>
      <c r="L374" s="75"/>
      <c r="M374" s="75"/>
      <c r="N374" s="75"/>
      <c r="O374" s="96"/>
      <c r="P374" s="105"/>
      <c r="Q374" s="105"/>
      <c r="R374" s="96">
        <v>2</v>
      </c>
      <c r="S374" s="104">
        <v>2</v>
      </c>
      <c r="T374" s="110">
        <v>1</v>
      </c>
      <c r="U374" s="110"/>
      <c r="V374" s="100"/>
      <c r="W374" s="100"/>
      <c r="X374" s="100"/>
      <c r="Y374" s="110"/>
      <c r="Z374" s="110"/>
      <c r="AA374" s="100"/>
      <c r="AB374" s="109"/>
      <c r="AC374" s="109"/>
      <c r="AD374" s="109"/>
      <c r="AE374" s="109"/>
      <c r="AF374" s="108"/>
      <c r="AG374" s="109">
        <v>1</v>
      </c>
      <c r="AH374" s="100"/>
      <c r="AI374" s="100"/>
      <c r="AJ374" s="110"/>
      <c r="AK374" s="416"/>
      <c r="AL374" s="100"/>
      <c r="AM374" s="100"/>
      <c r="AN374" s="111"/>
      <c r="AO374" s="100"/>
      <c r="AP374" s="100"/>
      <c r="AQ374" s="111"/>
      <c r="AR374" s="100"/>
      <c r="AS374" s="100"/>
      <c r="AT374" s="100"/>
    </row>
    <row r="375" spans="1:46" ht="17" thickBot="1">
      <c r="A375" s="85" t="s">
        <v>4</v>
      </c>
      <c r="B375" s="510">
        <f>SUM(J375+K375+L375+M375+N375+S375+V375+W375+X375+AA375+AI375+AJ375+AI375+AM375+AP375+AQ375+AS375+AT375+AU375+AV375)</f>
        <v>10</v>
      </c>
      <c r="C375" s="217">
        <f t="shared" si="166"/>
        <v>10</v>
      </c>
      <c r="D375" s="597">
        <f t="shared" si="168"/>
        <v>5</v>
      </c>
      <c r="E375" s="603">
        <f t="shared" si="167"/>
        <v>5</v>
      </c>
      <c r="F375" s="618">
        <v>0</v>
      </c>
      <c r="G375" s="622">
        <v>0</v>
      </c>
      <c r="H375" s="114"/>
      <c r="I375" s="114"/>
      <c r="J375" s="113"/>
      <c r="K375" s="112"/>
      <c r="L375" s="112"/>
      <c r="M375" s="112"/>
      <c r="N375" s="112"/>
      <c r="O375" s="114"/>
      <c r="P375" s="127"/>
      <c r="Q375" s="127"/>
      <c r="R375" s="114">
        <v>10</v>
      </c>
      <c r="S375" s="113">
        <v>10</v>
      </c>
      <c r="T375" s="120">
        <v>5</v>
      </c>
      <c r="U375" s="120"/>
      <c r="V375" s="116"/>
      <c r="W375" s="112"/>
      <c r="X375" s="100"/>
      <c r="Y375" s="110"/>
      <c r="Z375" s="110"/>
      <c r="AA375" s="100"/>
      <c r="AB375" s="109"/>
      <c r="AC375" s="109"/>
      <c r="AD375" s="109"/>
      <c r="AE375" s="109"/>
      <c r="AF375" s="108"/>
      <c r="AG375" s="109">
        <v>5</v>
      </c>
      <c r="AH375" s="100"/>
      <c r="AI375" s="100"/>
      <c r="AJ375" s="110"/>
      <c r="AK375" s="416"/>
      <c r="AL375" s="100"/>
      <c r="AM375" s="100"/>
      <c r="AN375" s="111"/>
      <c r="AO375" s="100"/>
      <c r="AP375" s="100"/>
      <c r="AQ375" s="111"/>
      <c r="AR375" s="100"/>
      <c r="AS375" s="100"/>
      <c r="AT375" s="100"/>
    </row>
    <row r="376" spans="1:46" ht="21.1">
      <c r="A376" s="82" t="s">
        <v>978</v>
      </c>
      <c r="B376" s="508"/>
      <c r="C376" s="214"/>
      <c r="D376" s="595"/>
      <c r="E376" s="602"/>
      <c r="F376" s="617"/>
      <c r="G376" s="621"/>
      <c r="H376" s="96"/>
      <c r="I376" s="96" t="s">
        <v>373</v>
      </c>
      <c r="J376" s="104" t="s">
        <v>375</v>
      </c>
      <c r="K376" s="75"/>
      <c r="L376" s="75"/>
      <c r="M376" s="75"/>
      <c r="N376" s="75"/>
      <c r="O376" s="96" t="s">
        <v>382</v>
      </c>
      <c r="P376" s="105"/>
      <c r="Q376" s="105"/>
      <c r="R376" s="96" t="s">
        <v>375</v>
      </c>
      <c r="S376" s="104" t="s">
        <v>375</v>
      </c>
      <c r="T376" s="110" t="s">
        <v>373</v>
      </c>
      <c r="U376" s="110"/>
      <c r="V376" s="100"/>
      <c r="W376" s="100"/>
      <c r="X376" s="102"/>
      <c r="Y376" s="101"/>
      <c r="Z376" s="101"/>
      <c r="AA376" s="102"/>
      <c r="AB376" s="99" t="s">
        <v>375</v>
      </c>
      <c r="AC376" s="99" t="s">
        <v>373</v>
      </c>
      <c r="AD376" s="99" t="s">
        <v>375</v>
      </c>
      <c r="AE376" s="99" t="s">
        <v>375</v>
      </c>
      <c r="AF376" s="98"/>
      <c r="AG376" s="99" t="s">
        <v>375</v>
      </c>
      <c r="AH376" s="102"/>
      <c r="AI376" s="102"/>
      <c r="AJ376" s="101"/>
      <c r="AK376" s="414"/>
      <c r="AL376" s="102"/>
      <c r="AM376" s="102"/>
      <c r="AN376" s="103"/>
      <c r="AO376" s="102"/>
      <c r="AP376" s="102"/>
      <c r="AQ376" s="103"/>
      <c r="AR376" s="102"/>
      <c r="AS376" s="102"/>
      <c r="AT376" s="102"/>
    </row>
    <row r="377" spans="1:46" ht="16.3">
      <c r="A377" s="246" t="s">
        <v>1</v>
      </c>
      <c r="B377" s="509">
        <f>SUM(J377+K377+L377+M377+N377+S377+V377+W377+X377+AA377+AI377+AJ377+AI377+AM377+AP377+AQ377+AS377+AT377+AU377+AV377+AN377)</f>
        <v>0</v>
      </c>
      <c r="C377" s="215">
        <f>B377</f>
        <v>0</v>
      </c>
      <c r="D377" s="596">
        <f>SUM(T377+U377+Y377+Z377+AK377+AL377+AO377+AR377)</f>
        <v>1</v>
      </c>
      <c r="E377" s="604">
        <f>D377</f>
        <v>1</v>
      </c>
      <c r="F377" s="626">
        <v>0</v>
      </c>
      <c r="G377" s="627">
        <v>0</v>
      </c>
      <c r="H377" s="96"/>
      <c r="I377" s="96">
        <v>1</v>
      </c>
      <c r="J377" s="104"/>
      <c r="K377" s="75"/>
      <c r="L377" s="75"/>
      <c r="M377" s="75"/>
      <c r="N377" s="75"/>
      <c r="O377" s="96">
        <v>1</v>
      </c>
      <c r="P377" s="105"/>
      <c r="Q377" s="105"/>
      <c r="R377" s="96"/>
      <c r="S377" s="104"/>
      <c r="T377" s="110">
        <v>1</v>
      </c>
      <c r="U377" s="110"/>
      <c r="V377" s="100"/>
      <c r="W377" s="100"/>
      <c r="X377" s="100"/>
      <c r="Y377" s="110"/>
      <c r="Z377" s="110"/>
      <c r="AA377" s="100"/>
      <c r="AB377" s="109"/>
      <c r="AC377" s="109">
        <v>1</v>
      </c>
      <c r="AD377" s="109"/>
      <c r="AE377" s="109"/>
      <c r="AF377" s="108"/>
      <c r="AG377" s="109"/>
      <c r="AH377" s="100"/>
      <c r="AI377" s="100"/>
      <c r="AJ377" s="110"/>
      <c r="AK377" s="416"/>
      <c r="AL377" s="100"/>
      <c r="AM377" s="100"/>
      <c r="AN377" s="111"/>
      <c r="AO377" s="100"/>
      <c r="AP377" s="100"/>
      <c r="AQ377" s="111"/>
      <c r="AR377" s="100"/>
      <c r="AS377" s="100"/>
      <c r="AT377" s="100"/>
    </row>
    <row r="378" spans="1:46" ht="16.3">
      <c r="A378" s="246" t="s">
        <v>2</v>
      </c>
      <c r="B378" s="509">
        <f>SUM(J378+K378+L378+M378+N378+S378+V378+W378+X378+AA378+AI378+AJ378+AI378+AM378+AP378+AQ378+AS378+AT378+AU378+AV378)</f>
        <v>2</v>
      </c>
      <c r="C378" s="215">
        <f t="shared" ref="C378:C381" si="169">B378</f>
        <v>2</v>
      </c>
      <c r="D378" s="596">
        <f>SUM(T378+U378+Y378+Z378+AK378+AL378+AO378+AR378)</f>
        <v>0</v>
      </c>
      <c r="E378" s="604">
        <f t="shared" ref="E378:E381" si="170">D378</f>
        <v>0</v>
      </c>
      <c r="F378" s="626">
        <v>0</v>
      </c>
      <c r="G378" s="627">
        <v>0</v>
      </c>
      <c r="H378" s="96"/>
      <c r="I378" s="96"/>
      <c r="J378" s="104">
        <v>1</v>
      </c>
      <c r="K378" s="75"/>
      <c r="L378" s="75"/>
      <c r="M378" s="75"/>
      <c r="N378" s="75"/>
      <c r="O378" s="96"/>
      <c r="P378" s="105"/>
      <c r="Q378" s="105"/>
      <c r="R378" s="96">
        <v>1</v>
      </c>
      <c r="S378" s="104">
        <v>1</v>
      </c>
      <c r="T378" s="110"/>
      <c r="U378" s="110"/>
      <c r="V378" s="100"/>
      <c r="W378" s="100"/>
      <c r="X378" s="100"/>
      <c r="Y378" s="110"/>
      <c r="Z378" s="110"/>
      <c r="AA378" s="100"/>
      <c r="AB378" s="109">
        <v>1</v>
      </c>
      <c r="AC378" s="109"/>
      <c r="AD378" s="109">
        <v>1</v>
      </c>
      <c r="AE378" s="109">
        <v>1</v>
      </c>
      <c r="AF378" s="108"/>
      <c r="AG378" s="109">
        <v>1</v>
      </c>
      <c r="AH378" s="100"/>
      <c r="AI378" s="100"/>
      <c r="AJ378" s="110"/>
      <c r="AK378" s="416"/>
      <c r="AL378" s="100"/>
      <c r="AM378" s="100"/>
      <c r="AN378" s="111"/>
      <c r="AO378" s="100"/>
      <c r="AP378" s="100"/>
      <c r="AQ378" s="111"/>
      <c r="AR378" s="100"/>
      <c r="AS378" s="100"/>
      <c r="AT378" s="100"/>
    </row>
    <row r="379" spans="1:46" ht="16.3">
      <c r="A379" s="83" t="s">
        <v>363</v>
      </c>
      <c r="B379" s="508">
        <f>SUM(B377+B378)</f>
        <v>2</v>
      </c>
      <c r="C379" s="214">
        <f t="shared" si="169"/>
        <v>2</v>
      </c>
      <c r="D379" s="595">
        <f>SUM(D377+D378)</f>
        <v>1</v>
      </c>
      <c r="E379" s="602">
        <f t="shared" si="170"/>
        <v>1</v>
      </c>
      <c r="F379" s="617">
        <v>0</v>
      </c>
      <c r="G379" s="621">
        <v>0</v>
      </c>
      <c r="H379" s="96"/>
      <c r="I379" s="96"/>
      <c r="J379" s="104"/>
      <c r="K379" s="75"/>
      <c r="L379" s="75"/>
      <c r="M379" s="75"/>
      <c r="N379" s="75"/>
      <c r="O379" s="96"/>
      <c r="P379" s="105"/>
      <c r="Q379" s="105"/>
      <c r="R379" s="96"/>
      <c r="S379" s="104"/>
      <c r="T379" s="110"/>
      <c r="U379" s="110"/>
      <c r="V379" s="100"/>
      <c r="W379" s="100"/>
      <c r="X379" s="100"/>
      <c r="Y379" s="110"/>
      <c r="Z379" s="110"/>
      <c r="AA379" s="100"/>
      <c r="AB379" s="109"/>
      <c r="AC379" s="109"/>
      <c r="AD379" s="109"/>
      <c r="AE379" s="109"/>
      <c r="AF379" s="108"/>
      <c r="AG379" s="109"/>
      <c r="AH379" s="100"/>
      <c r="AI379" s="100"/>
      <c r="AJ379" s="110"/>
      <c r="AK379" s="416"/>
      <c r="AL379" s="100"/>
      <c r="AM379" s="100"/>
      <c r="AN379" s="111"/>
      <c r="AO379" s="100"/>
      <c r="AP379" s="100"/>
      <c r="AQ379" s="111"/>
      <c r="AR379" s="100"/>
      <c r="AS379" s="100"/>
      <c r="AT379" s="100"/>
    </row>
    <row r="380" spans="1:46" ht="16.3">
      <c r="A380" s="83" t="s">
        <v>3</v>
      </c>
      <c r="B380" s="508">
        <f>SUM(J380+K380+L380+M380+N380+S380+V380+W380+X380+AA380+AI380+AJ380+AI380+AM380+AP380+AQ380+AS380+AT380+AU380+AV380)</f>
        <v>0</v>
      </c>
      <c r="C380" s="214">
        <f t="shared" si="169"/>
        <v>0</v>
      </c>
      <c r="D380" s="595">
        <f t="shared" ref="D380:D381" si="171">SUM(T380+U380+Y380+Z380+AK380+AL380+AO380+AR380)</f>
        <v>0</v>
      </c>
      <c r="E380" s="602">
        <f t="shared" si="170"/>
        <v>0</v>
      </c>
      <c r="F380" s="617">
        <v>0</v>
      </c>
      <c r="G380" s="621">
        <v>0</v>
      </c>
      <c r="H380" s="96"/>
      <c r="I380" s="96"/>
      <c r="J380" s="104"/>
      <c r="K380" s="75"/>
      <c r="L380" s="75"/>
      <c r="M380" s="75"/>
      <c r="N380" s="75"/>
      <c r="O380" s="96"/>
      <c r="P380" s="105"/>
      <c r="Q380" s="105"/>
      <c r="R380" s="96"/>
      <c r="S380" s="104"/>
      <c r="T380" s="110"/>
      <c r="U380" s="110"/>
      <c r="V380" s="100"/>
      <c r="W380" s="100"/>
      <c r="X380" s="100"/>
      <c r="Y380" s="110"/>
      <c r="Z380" s="110"/>
      <c r="AA380" s="100"/>
      <c r="AB380" s="109"/>
      <c r="AC380" s="109">
        <v>1</v>
      </c>
      <c r="AD380" s="109">
        <v>1</v>
      </c>
      <c r="AE380" s="109"/>
      <c r="AF380" s="108"/>
      <c r="AG380" s="109"/>
      <c r="AH380" s="100"/>
      <c r="AI380" s="100"/>
      <c r="AJ380" s="110"/>
      <c r="AK380" s="416"/>
      <c r="AL380" s="100"/>
      <c r="AM380" s="100"/>
      <c r="AN380" s="111"/>
      <c r="AO380" s="100"/>
      <c r="AP380" s="100"/>
      <c r="AQ380" s="111"/>
      <c r="AR380" s="100"/>
      <c r="AS380" s="100"/>
      <c r="AT380" s="100"/>
    </row>
    <row r="381" spans="1:46" ht="17" thickBot="1">
      <c r="A381" s="85" t="s">
        <v>4</v>
      </c>
      <c r="B381" s="510">
        <f>SUM(J381+K381+L381+M381+N381+S381+V381+W381+X381+AA381+AI381+AJ381+AI381+AM381+AP381+AQ381+AS381+AT381+AU381+AV381)</f>
        <v>0</v>
      </c>
      <c r="C381" s="217">
        <f t="shared" si="169"/>
        <v>0</v>
      </c>
      <c r="D381" s="597">
        <f t="shared" si="171"/>
        <v>0</v>
      </c>
      <c r="E381" s="603">
        <f t="shared" si="170"/>
        <v>0</v>
      </c>
      <c r="F381" s="618">
        <v>0</v>
      </c>
      <c r="G381" s="622">
        <v>0</v>
      </c>
      <c r="H381" s="114"/>
      <c r="I381" s="114"/>
      <c r="J381" s="113"/>
      <c r="K381" s="112"/>
      <c r="L381" s="112"/>
      <c r="M381" s="112"/>
      <c r="N381" s="112"/>
      <c r="O381" s="114"/>
      <c r="P381" s="127"/>
      <c r="Q381" s="127"/>
      <c r="R381" s="114"/>
      <c r="S381" s="113"/>
      <c r="T381" s="120"/>
      <c r="U381" s="119"/>
      <c r="V381" s="116"/>
      <c r="W381" s="116"/>
      <c r="X381" s="116"/>
      <c r="Y381" s="120"/>
      <c r="Z381" s="120"/>
      <c r="AA381" s="116"/>
      <c r="AB381" s="118"/>
      <c r="AC381" s="118">
        <v>5</v>
      </c>
      <c r="AD381" s="118">
        <v>5</v>
      </c>
      <c r="AE381" s="118"/>
      <c r="AF381" s="117"/>
      <c r="AG381" s="118"/>
      <c r="AH381" s="116"/>
      <c r="AI381" s="116"/>
      <c r="AJ381" s="120"/>
      <c r="AK381" s="417"/>
      <c r="AL381" s="116"/>
      <c r="AM381" s="116"/>
      <c r="AN381" s="121"/>
      <c r="AO381" s="116"/>
      <c r="AP381" s="116"/>
      <c r="AQ381" s="121"/>
      <c r="AR381" s="116"/>
      <c r="AS381" s="116"/>
      <c r="AT381" s="116"/>
    </row>
    <row r="382" spans="1:46" ht="21.1">
      <c r="A382" s="82" t="s">
        <v>1006</v>
      </c>
      <c r="B382" s="508"/>
      <c r="C382" s="214"/>
      <c r="D382" s="595"/>
      <c r="E382" s="602"/>
      <c r="F382" s="617"/>
      <c r="G382" s="621"/>
      <c r="H382" s="96"/>
      <c r="I382" s="96"/>
      <c r="J382" s="104"/>
      <c r="K382" s="75"/>
      <c r="L382" s="75"/>
      <c r="M382" s="75"/>
      <c r="N382" s="75"/>
      <c r="O382" s="96"/>
      <c r="P382" s="105"/>
      <c r="Q382" s="105"/>
      <c r="R382" s="96"/>
      <c r="S382" s="104"/>
      <c r="T382" s="110"/>
      <c r="U382" s="110"/>
      <c r="V382" s="100"/>
      <c r="W382" s="100"/>
      <c r="X382" s="100"/>
      <c r="Y382" s="110"/>
      <c r="Z382" s="110"/>
      <c r="AA382" s="100"/>
      <c r="AB382" s="109"/>
      <c r="AC382" s="109" t="s">
        <v>432</v>
      </c>
      <c r="AD382" s="109"/>
      <c r="AE382" s="109"/>
      <c r="AF382" s="108"/>
      <c r="AG382" s="109"/>
      <c r="AH382" s="100"/>
      <c r="AI382" s="100"/>
      <c r="AJ382" s="110"/>
      <c r="AK382" s="416"/>
      <c r="AL382" s="100"/>
      <c r="AM382" s="100"/>
      <c r="AN382" s="111"/>
      <c r="AO382" s="100"/>
      <c r="AP382" s="100"/>
      <c r="AQ382" s="111"/>
      <c r="AR382" s="100"/>
      <c r="AS382" s="100"/>
      <c r="AT382" s="100"/>
    </row>
    <row r="383" spans="1:46" ht="16.3">
      <c r="A383" s="246" t="s">
        <v>1</v>
      </c>
      <c r="B383" s="508">
        <f>SUM(J383+K383+L383+M383+N383+S383+V383+W383+X383+AA383+AI383+AJ383+AI383+AM383+AP383+AQ383+AS383+AT383+AU383+AV383+AN383)</f>
        <v>0</v>
      </c>
      <c r="C383" s="214">
        <f>B383</f>
        <v>0</v>
      </c>
      <c r="D383" s="595">
        <f>SUM(T383+U383+Y383+Z383+AK383+AL383+AO383+AR383)</f>
        <v>0</v>
      </c>
      <c r="E383" s="602">
        <f>D383</f>
        <v>0</v>
      </c>
      <c r="F383" s="617">
        <v>0</v>
      </c>
      <c r="G383" s="621">
        <v>0</v>
      </c>
      <c r="H383" s="96"/>
      <c r="I383" s="96"/>
      <c r="J383" s="104"/>
      <c r="K383" s="75"/>
      <c r="L383" s="75"/>
      <c r="M383" s="75"/>
      <c r="N383" s="75"/>
      <c r="O383" s="96"/>
      <c r="P383" s="105"/>
      <c r="Q383" s="105"/>
      <c r="R383" s="96"/>
      <c r="S383" s="104"/>
      <c r="T383" s="110"/>
      <c r="U383" s="110"/>
      <c r="V383" s="100"/>
      <c r="W383" s="100"/>
      <c r="X383" s="100"/>
      <c r="Y383" s="110"/>
      <c r="Z383" s="110"/>
      <c r="AA383" s="100"/>
      <c r="AB383" s="109"/>
      <c r="AC383" s="109"/>
      <c r="AD383" s="109"/>
      <c r="AE383" s="109"/>
      <c r="AF383" s="108"/>
      <c r="AG383" s="109"/>
      <c r="AH383" s="100"/>
      <c r="AI383" s="100"/>
      <c r="AJ383" s="110"/>
      <c r="AK383" s="416"/>
      <c r="AL383" s="100"/>
      <c r="AM383" s="100"/>
      <c r="AN383" s="111"/>
      <c r="AO383" s="100"/>
      <c r="AP383" s="100"/>
      <c r="AQ383" s="111"/>
      <c r="AR383" s="100"/>
      <c r="AS383" s="100"/>
      <c r="AT383" s="100"/>
    </row>
    <row r="384" spans="1:46" ht="16.3">
      <c r="A384" s="246" t="s">
        <v>2</v>
      </c>
      <c r="B384" s="508">
        <f>SUM(J384+K384+L384+M384+N384+S384+V384+W384+X384+AA384+AI384+AJ384+AI384+AM384+AP384+AQ384+AS384+AT384+AU384+AV384)</f>
        <v>0</v>
      </c>
      <c r="C384" s="214">
        <f t="shared" ref="C384:C387" si="172">B384</f>
        <v>0</v>
      </c>
      <c r="D384" s="595">
        <f>SUM(T384+U384+Y384+Z384+AK384+AL384+AO384+AR384)</f>
        <v>0</v>
      </c>
      <c r="E384" s="602">
        <f t="shared" ref="E384:E387" si="173">D384</f>
        <v>0</v>
      </c>
      <c r="F384" s="617">
        <v>0</v>
      </c>
      <c r="G384" s="621">
        <v>0</v>
      </c>
      <c r="H384" s="96"/>
      <c r="I384" s="96"/>
      <c r="J384" s="104"/>
      <c r="K384" s="75"/>
      <c r="L384" s="75"/>
      <c r="M384" s="75"/>
      <c r="N384" s="75"/>
      <c r="O384" s="96"/>
      <c r="P384" s="105"/>
      <c r="Q384" s="105"/>
      <c r="R384" s="96"/>
      <c r="S384" s="104"/>
      <c r="T384" s="110"/>
      <c r="U384" s="110"/>
      <c r="V384" s="100"/>
      <c r="W384" s="100"/>
      <c r="X384" s="100"/>
      <c r="Y384" s="110"/>
      <c r="Z384" s="110"/>
      <c r="AA384" s="100"/>
      <c r="AB384" s="109"/>
      <c r="AC384" s="109">
        <v>1</v>
      </c>
      <c r="AD384" s="109"/>
      <c r="AE384" s="109"/>
      <c r="AF384" s="108"/>
      <c r="AG384" s="109"/>
      <c r="AH384" s="100"/>
      <c r="AI384" s="100"/>
      <c r="AJ384" s="110"/>
      <c r="AK384" s="416"/>
      <c r="AL384" s="100"/>
      <c r="AM384" s="100"/>
      <c r="AN384" s="111"/>
      <c r="AO384" s="100"/>
      <c r="AP384" s="100"/>
      <c r="AQ384" s="111"/>
      <c r="AR384" s="100"/>
      <c r="AS384" s="100"/>
      <c r="AT384" s="100"/>
    </row>
    <row r="385" spans="1:46" ht="16.3">
      <c r="A385" s="83" t="s">
        <v>363</v>
      </c>
      <c r="B385" s="508">
        <f>SUM(B383+B384)</f>
        <v>0</v>
      </c>
      <c r="C385" s="214">
        <f t="shared" si="172"/>
        <v>0</v>
      </c>
      <c r="D385" s="595">
        <f>SUM(D383+D384)</f>
        <v>0</v>
      </c>
      <c r="E385" s="602">
        <f t="shared" si="173"/>
        <v>0</v>
      </c>
      <c r="F385" s="617">
        <v>0</v>
      </c>
      <c r="G385" s="621">
        <v>0</v>
      </c>
      <c r="H385" s="96"/>
      <c r="I385" s="96"/>
      <c r="J385" s="104"/>
      <c r="K385" s="75"/>
      <c r="L385" s="75"/>
      <c r="M385" s="75"/>
      <c r="N385" s="75"/>
      <c r="O385" s="96"/>
      <c r="P385" s="105"/>
      <c r="Q385" s="105"/>
      <c r="R385" s="96"/>
      <c r="S385" s="104"/>
      <c r="T385" s="110"/>
      <c r="U385" s="110"/>
      <c r="V385" s="100"/>
      <c r="W385" s="100"/>
      <c r="X385" s="100"/>
      <c r="Y385" s="110"/>
      <c r="Z385" s="110"/>
      <c r="AA385" s="100"/>
      <c r="AB385" s="109"/>
      <c r="AC385" s="109"/>
      <c r="AD385" s="109"/>
      <c r="AE385" s="109"/>
      <c r="AF385" s="108"/>
      <c r="AG385" s="109"/>
      <c r="AH385" s="100"/>
      <c r="AI385" s="100"/>
      <c r="AJ385" s="110"/>
      <c r="AK385" s="416"/>
      <c r="AL385" s="100"/>
      <c r="AM385" s="100"/>
      <c r="AN385" s="111"/>
      <c r="AO385" s="100"/>
      <c r="AP385" s="100"/>
      <c r="AQ385" s="111"/>
      <c r="AR385" s="100"/>
      <c r="AS385" s="100"/>
      <c r="AT385" s="100"/>
    </row>
    <row r="386" spans="1:46" ht="16.3">
      <c r="A386" s="83" t="s">
        <v>3</v>
      </c>
      <c r="B386" s="508">
        <f>SUM(J386+K386+L386+M386+N386+S386+V386+W386+X386+AA386+AI386+AJ386+AI386+AM386+AP386+AQ386+AS386+AT386+AU386+AV386)</f>
        <v>0</v>
      </c>
      <c r="C386" s="214">
        <f t="shared" si="172"/>
        <v>0</v>
      </c>
      <c r="D386" s="595">
        <f t="shared" ref="D386:D387" si="174">SUM(T386+U386+Y386+Z386+AK386+AL386+AO386+AR386)</f>
        <v>0</v>
      </c>
      <c r="E386" s="602">
        <f t="shared" si="173"/>
        <v>0</v>
      </c>
      <c r="F386" s="617">
        <v>0</v>
      </c>
      <c r="G386" s="621">
        <v>0</v>
      </c>
      <c r="H386" s="96"/>
      <c r="I386" s="96"/>
      <c r="J386" s="104"/>
      <c r="K386" s="75"/>
      <c r="L386" s="75"/>
      <c r="M386" s="75"/>
      <c r="N386" s="75"/>
      <c r="O386" s="96"/>
      <c r="P386" s="105"/>
      <c r="Q386" s="105"/>
      <c r="R386" s="96"/>
      <c r="S386" s="104"/>
      <c r="T386" s="110"/>
      <c r="U386" s="110"/>
      <c r="V386" s="100"/>
      <c r="W386" s="100"/>
      <c r="X386" s="100"/>
      <c r="Y386" s="110"/>
      <c r="Z386" s="110"/>
      <c r="AA386" s="100"/>
      <c r="AB386" s="109"/>
      <c r="AC386" s="109"/>
      <c r="AD386" s="109"/>
      <c r="AE386" s="109"/>
      <c r="AF386" s="108"/>
      <c r="AG386" s="109"/>
      <c r="AH386" s="100"/>
      <c r="AI386" s="100"/>
      <c r="AJ386" s="110"/>
      <c r="AK386" s="416"/>
      <c r="AL386" s="100"/>
      <c r="AM386" s="100"/>
      <c r="AN386" s="111"/>
      <c r="AO386" s="100"/>
      <c r="AP386" s="100"/>
      <c r="AQ386" s="111"/>
      <c r="AR386" s="100"/>
      <c r="AS386" s="100"/>
      <c r="AT386" s="100"/>
    </row>
    <row r="387" spans="1:46" ht="17" thickBot="1">
      <c r="A387" s="85" t="s">
        <v>4</v>
      </c>
      <c r="B387" s="510">
        <f>SUM(J387+K387+L387+M387+N387+S387+V387+W387+X387+AA387+AI387+AJ387+AI387+AM387+AP387+AQ387+AS387+AT387+AU387+AV387)</f>
        <v>0</v>
      </c>
      <c r="C387" s="217">
        <f t="shared" si="172"/>
        <v>0</v>
      </c>
      <c r="D387" s="597">
        <f t="shared" si="174"/>
        <v>0</v>
      </c>
      <c r="E387" s="603">
        <f t="shared" si="173"/>
        <v>0</v>
      </c>
      <c r="F387" s="618">
        <v>0</v>
      </c>
      <c r="G387" s="622">
        <v>0</v>
      </c>
      <c r="H387" s="114"/>
      <c r="I387" s="114"/>
      <c r="J387" s="113"/>
      <c r="K387" s="112"/>
      <c r="L387" s="112"/>
      <c r="M387" s="112"/>
      <c r="N387" s="112"/>
      <c r="O387" s="114"/>
      <c r="P387" s="127"/>
      <c r="Q387" s="127"/>
      <c r="R387" s="114"/>
      <c r="S387" s="113"/>
      <c r="T387" s="120"/>
      <c r="U387" s="119"/>
      <c r="V387" s="100"/>
      <c r="W387" s="100"/>
      <c r="X387" s="100"/>
      <c r="Y387" s="110"/>
      <c r="Z387" s="110"/>
      <c r="AA387" s="100"/>
      <c r="AB387" s="109"/>
      <c r="AC387" s="109"/>
      <c r="AD387" s="109"/>
      <c r="AE387" s="109"/>
      <c r="AF387" s="108"/>
      <c r="AG387" s="109"/>
      <c r="AH387" s="100"/>
      <c r="AI387" s="100"/>
      <c r="AJ387" s="110"/>
      <c r="AK387" s="416"/>
      <c r="AL387" s="100"/>
      <c r="AM387" s="100"/>
      <c r="AN387" s="111"/>
      <c r="AO387" s="100"/>
      <c r="AP387" s="100"/>
      <c r="AQ387" s="111"/>
      <c r="AR387" s="100"/>
      <c r="AS387" s="100"/>
      <c r="AT387" s="100"/>
    </row>
    <row r="388" spans="1:46" ht="21.1">
      <c r="A388" s="82" t="s">
        <v>291</v>
      </c>
      <c r="B388" s="508"/>
      <c r="C388" s="214"/>
      <c r="D388" s="595"/>
      <c r="E388" s="602"/>
      <c r="F388" s="617"/>
      <c r="G388" s="621"/>
      <c r="H388" s="96"/>
      <c r="I388" s="96"/>
      <c r="J388" s="104"/>
      <c r="K388" s="75"/>
      <c r="L388" s="75"/>
      <c r="M388" s="75"/>
      <c r="N388" s="75"/>
      <c r="O388" s="96"/>
      <c r="P388" s="105"/>
      <c r="Q388" s="105"/>
      <c r="R388" s="96"/>
      <c r="S388" s="104"/>
      <c r="T388" s="110"/>
      <c r="U388" s="110"/>
      <c r="V388" s="102"/>
      <c r="W388" s="102"/>
      <c r="X388" s="102"/>
      <c r="Y388" s="101"/>
      <c r="Z388" s="101"/>
      <c r="AA388" s="102"/>
      <c r="AB388" s="99"/>
      <c r="AC388" s="99"/>
      <c r="AD388" s="99"/>
      <c r="AE388" s="99"/>
      <c r="AF388" s="98"/>
      <c r="AG388" s="99"/>
      <c r="AH388" s="102"/>
      <c r="AI388" s="102"/>
      <c r="AJ388" s="101"/>
      <c r="AK388" s="414"/>
      <c r="AL388" s="102"/>
      <c r="AM388" s="102"/>
      <c r="AN388" s="103"/>
      <c r="AO388" s="102"/>
      <c r="AP388" s="102"/>
      <c r="AQ388" s="103"/>
      <c r="AR388" s="102"/>
      <c r="AS388" s="102"/>
      <c r="AT388" s="102"/>
    </row>
    <row r="389" spans="1:46" ht="16.3">
      <c r="A389" s="246" t="s">
        <v>1</v>
      </c>
      <c r="B389" s="509">
        <f>SUM(J389+K389+L389+M389+N389+S389+V389+W389+X389+AA389+AI389+AJ389+AI389+AM389+AP389+AQ389+AS389+AT389+AU389+AV389+AN389)+1</f>
        <v>1</v>
      </c>
      <c r="C389" s="215">
        <f>B389</f>
        <v>1</v>
      </c>
      <c r="D389" s="596">
        <f>SUM(T389+U389+Y389+Z389+AK389+AL389+AO389+AR389)+1</f>
        <v>1</v>
      </c>
      <c r="E389" s="604">
        <f>D389</f>
        <v>1</v>
      </c>
      <c r="F389" s="626">
        <v>0</v>
      </c>
      <c r="G389" s="627">
        <v>0</v>
      </c>
      <c r="H389" s="96"/>
      <c r="I389" s="96"/>
      <c r="J389" s="104"/>
      <c r="K389" s="75"/>
      <c r="L389" s="75"/>
      <c r="M389" s="75"/>
      <c r="N389" s="75"/>
      <c r="O389" s="96"/>
      <c r="P389" s="105"/>
      <c r="Q389" s="105"/>
      <c r="R389" s="96"/>
      <c r="S389" s="128"/>
      <c r="T389" s="106"/>
      <c r="U389" s="106"/>
      <c r="V389" s="75"/>
      <c r="W389" s="75"/>
      <c r="X389" s="75"/>
      <c r="Y389" s="106"/>
      <c r="Z389" s="106"/>
      <c r="AA389" s="75"/>
      <c r="AB389" s="96"/>
      <c r="AC389" s="96"/>
      <c r="AD389" s="96"/>
      <c r="AE389" s="96"/>
      <c r="AF389" s="105"/>
      <c r="AG389" s="96"/>
      <c r="AH389" s="75"/>
      <c r="AI389" s="75"/>
      <c r="AJ389" s="106"/>
      <c r="AK389" s="415"/>
      <c r="AL389" s="75"/>
      <c r="AM389" s="75"/>
      <c r="AN389" s="107"/>
      <c r="AO389" s="75"/>
      <c r="AP389" s="75"/>
      <c r="AQ389" s="107"/>
      <c r="AR389" s="75"/>
      <c r="AS389" s="75"/>
      <c r="AT389" s="75"/>
    </row>
    <row r="390" spans="1:46" ht="16.3">
      <c r="A390" s="246" t="s">
        <v>2</v>
      </c>
      <c r="B390" s="509">
        <f>SUM(J390+K390+L390+M390+N390+S390+V390+W390+X390+AA390+AI390+AJ390+AI390+AM390+AP390+AQ390+AS390+AT390+AU390+AV390)+5</f>
        <v>5</v>
      </c>
      <c r="C390" s="215">
        <f t="shared" ref="C390:C393" si="175">B390</f>
        <v>5</v>
      </c>
      <c r="D390" s="596">
        <f>SUM(T390+U390+Y390+Z390+AK390+AL390+AO390+AR390)+2</f>
        <v>2</v>
      </c>
      <c r="E390" s="604">
        <f t="shared" ref="E390:E393" si="176">D390</f>
        <v>2</v>
      </c>
      <c r="F390" s="626">
        <v>0</v>
      </c>
      <c r="G390" s="627">
        <v>0</v>
      </c>
      <c r="H390" s="96"/>
      <c r="I390" s="96"/>
      <c r="J390" s="104"/>
      <c r="K390" s="75"/>
      <c r="L390" s="75"/>
      <c r="M390" s="75"/>
      <c r="N390" s="75"/>
      <c r="O390" s="96"/>
      <c r="P390" s="105"/>
      <c r="Q390" s="105"/>
      <c r="R390" s="96"/>
      <c r="S390" s="104"/>
      <c r="T390" s="110"/>
      <c r="U390" s="110"/>
      <c r="V390" s="100"/>
      <c r="W390" s="100"/>
      <c r="X390" s="100"/>
      <c r="Y390" s="110"/>
      <c r="Z390" s="110"/>
      <c r="AA390" s="100"/>
      <c r="AB390" s="109"/>
      <c r="AC390" s="109"/>
      <c r="AD390" s="109"/>
      <c r="AE390" s="109"/>
      <c r="AF390" s="108"/>
      <c r="AG390" s="109"/>
      <c r="AH390" s="100"/>
      <c r="AI390" s="100"/>
      <c r="AJ390" s="110"/>
      <c r="AK390" s="416"/>
      <c r="AL390" s="100"/>
      <c r="AM390" s="100"/>
      <c r="AN390" s="111"/>
      <c r="AO390" s="100"/>
      <c r="AP390" s="100"/>
      <c r="AQ390" s="111"/>
      <c r="AR390" s="100"/>
      <c r="AS390" s="100"/>
      <c r="AT390" s="100"/>
    </row>
    <row r="391" spans="1:46" ht="16.3">
      <c r="A391" s="83" t="s">
        <v>363</v>
      </c>
      <c r="B391" s="508">
        <f>SUM(B389+B390)</f>
        <v>6</v>
      </c>
      <c r="C391" s="214">
        <f t="shared" si="175"/>
        <v>6</v>
      </c>
      <c r="D391" s="595">
        <f>SUM(D389+D390)</f>
        <v>3</v>
      </c>
      <c r="E391" s="602">
        <f t="shared" si="176"/>
        <v>3</v>
      </c>
      <c r="F391" s="617">
        <v>0</v>
      </c>
      <c r="G391" s="621">
        <v>0</v>
      </c>
      <c r="H391" s="96"/>
      <c r="I391" s="96"/>
      <c r="J391" s="104"/>
      <c r="K391" s="75"/>
      <c r="L391" s="75"/>
      <c r="M391" s="75"/>
      <c r="N391" s="75"/>
      <c r="O391" s="96"/>
      <c r="P391" s="105"/>
      <c r="Q391" s="105"/>
      <c r="R391" s="96"/>
      <c r="S391" s="104"/>
      <c r="T391" s="110"/>
      <c r="U391" s="110"/>
      <c r="V391" s="100"/>
      <c r="W391" s="100"/>
      <c r="X391" s="100"/>
      <c r="Y391" s="110"/>
      <c r="Z391" s="110"/>
      <c r="AA391" s="100"/>
      <c r="AB391" s="109"/>
      <c r="AC391" s="109"/>
      <c r="AD391" s="109"/>
      <c r="AE391" s="109"/>
      <c r="AF391" s="108"/>
      <c r="AG391" s="109"/>
      <c r="AH391" s="100"/>
      <c r="AI391" s="100"/>
      <c r="AJ391" s="110"/>
      <c r="AK391" s="416"/>
      <c r="AL391" s="100"/>
      <c r="AM391" s="100"/>
      <c r="AN391" s="111"/>
      <c r="AO391" s="100"/>
      <c r="AP391" s="100"/>
      <c r="AQ391" s="111"/>
      <c r="AR391" s="100"/>
      <c r="AS391" s="100"/>
      <c r="AT391" s="100"/>
    </row>
    <row r="392" spans="1:46" ht="16.3">
      <c r="A392" s="83" t="s">
        <v>3</v>
      </c>
      <c r="B392" s="508">
        <f>SUM(J392+K392+L392+M392+N392+S392+V392+W392+X392+AA392+AI392+AJ392+AI392+AM392+AP392+AQ392+AS392+AT392+AU392+AV392)</f>
        <v>0</v>
      </c>
      <c r="C392" s="214">
        <f t="shared" si="175"/>
        <v>0</v>
      </c>
      <c r="D392" s="595">
        <f t="shared" ref="D392:D393" si="177">SUM(T392+U392+Y392+Z392+AK392+AL392+AO392+AR392)</f>
        <v>0</v>
      </c>
      <c r="E392" s="602">
        <f t="shared" si="176"/>
        <v>0</v>
      </c>
      <c r="F392" s="617">
        <v>0</v>
      </c>
      <c r="G392" s="621">
        <v>0</v>
      </c>
      <c r="H392" s="96"/>
      <c r="I392" s="96"/>
      <c r="J392" s="104"/>
      <c r="K392" s="75"/>
      <c r="L392" s="75"/>
      <c r="M392" s="75"/>
      <c r="N392" s="75"/>
      <c r="O392" s="96"/>
      <c r="P392" s="105"/>
      <c r="Q392" s="105"/>
      <c r="R392" s="96"/>
      <c r="S392" s="104"/>
      <c r="T392" s="110"/>
      <c r="U392" s="110"/>
      <c r="V392" s="100"/>
      <c r="W392" s="100"/>
      <c r="X392" s="100"/>
      <c r="Y392" s="110"/>
      <c r="Z392" s="110"/>
      <c r="AA392" s="100"/>
      <c r="AB392" s="109"/>
      <c r="AC392" s="109"/>
      <c r="AD392" s="109"/>
      <c r="AE392" s="109"/>
      <c r="AF392" s="108"/>
      <c r="AG392" s="109"/>
      <c r="AH392" s="100"/>
      <c r="AI392" s="100"/>
      <c r="AJ392" s="110"/>
      <c r="AK392" s="416"/>
      <c r="AL392" s="100"/>
      <c r="AM392" s="100"/>
      <c r="AN392" s="111"/>
      <c r="AO392" s="100"/>
      <c r="AP392" s="100"/>
      <c r="AQ392" s="111"/>
      <c r="AR392" s="100"/>
      <c r="AS392" s="100"/>
      <c r="AT392" s="100"/>
    </row>
    <row r="393" spans="1:46" ht="17" thickBot="1">
      <c r="A393" s="85" t="s">
        <v>4</v>
      </c>
      <c r="B393" s="510">
        <f>SUM(J393+K393+L393+M393+N393+S393+V393+W393+X393+AA393+AI393+AJ393+AI393+AM393+AP393+AQ393+AS393+AT393+AU393+AV393)</f>
        <v>0</v>
      </c>
      <c r="C393" s="217">
        <f t="shared" si="175"/>
        <v>0</v>
      </c>
      <c r="D393" s="597">
        <f t="shared" si="177"/>
        <v>0</v>
      </c>
      <c r="E393" s="603">
        <f t="shared" si="176"/>
        <v>0</v>
      </c>
      <c r="F393" s="618">
        <v>0</v>
      </c>
      <c r="G393" s="622">
        <v>0</v>
      </c>
      <c r="H393" s="114"/>
      <c r="I393" s="114"/>
      <c r="J393" s="113"/>
      <c r="K393" s="112"/>
      <c r="L393" s="112"/>
      <c r="M393" s="112"/>
      <c r="N393" s="112"/>
      <c r="O393" s="114"/>
      <c r="P393" s="127"/>
      <c r="Q393" s="127"/>
      <c r="R393" s="114"/>
      <c r="S393" s="113"/>
      <c r="T393" s="120"/>
      <c r="U393" s="119"/>
      <c r="V393" s="100"/>
      <c r="W393" s="100"/>
      <c r="X393" s="100"/>
      <c r="Y393" s="110"/>
      <c r="Z393" s="110"/>
      <c r="AA393" s="100"/>
      <c r="AB393" s="109"/>
      <c r="AC393" s="109"/>
      <c r="AD393" s="109"/>
      <c r="AE393" s="109"/>
      <c r="AF393" s="108"/>
      <c r="AG393" s="109"/>
      <c r="AH393" s="100"/>
      <c r="AI393" s="100"/>
      <c r="AJ393" s="110"/>
      <c r="AK393" s="416"/>
      <c r="AL393" s="100"/>
      <c r="AM393" s="100"/>
      <c r="AN393" s="111"/>
      <c r="AO393" s="100"/>
      <c r="AP393" s="100"/>
      <c r="AQ393" s="111"/>
      <c r="AR393" s="100"/>
      <c r="AS393" s="100"/>
      <c r="AT393" s="100"/>
    </row>
    <row r="394" spans="1:46" ht="21.1">
      <c r="A394" s="82" t="s">
        <v>409</v>
      </c>
      <c r="B394" s="508"/>
      <c r="C394" s="214"/>
      <c r="D394" s="595"/>
      <c r="E394" s="602"/>
      <c r="F394" s="617"/>
      <c r="G394" s="621"/>
      <c r="H394" s="96"/>
      <c r="I394" s="96"/>
      <c r="J394" s="104"/>
      <c r="K394" s="75"/>
      <c r="L394" s="75"/>
      <c r="M394" s="75"/>
      <c r="N394" s="75"/>
      <c r="O394" s="96">
        <v>7</v>
      </c>
      <c r="P394" s="105"/>
      <c r="Q394" s="105"/>
      <c r="R394" s="96"/>
      <c r="S394" s="104"/>
      <c r="T394" s="110" t="s">
        <v>375</v>
      </c>
      <c r="U394" s="110" t="s">
        <v>375</v>
      </c>
      <c r="V394" s="102" t="s">
        <v>375</v>
      </c>
      <c r="W394" s="102" t="s">
        <v>441</v>
      </c>
      <c r="X394" s="102">
        <v>7</v>
      </c>
      <c r="Y394" s="101"/>
      <c r="Z394" s="101" t="s">
        <v>373</v>
      </c>
      <c r="AA394" s="102"/>
      <c r="AB394" s="99">
        <v>7</v>
      </c>
      <c r="AC394" s="99"/>
      <c r="AD394" s="99"/>
      <c r="AE394" s="99"/>
      <c r="AF394" s="98"/>
      <c r="AG394" s="99"/>
      <c r="AH394" s="102"/>
      <c r="AI394" s="102"/>
      <c r="AJ394" s="101"/>
      <c r="AK394" s="414"/>
      <c r="AL394" s="102"/>
      <c r="AM394" s="102"/>
      <c r="AN394" s="103"/>
      <c r="AO394" s="102"/>
      <c r="AP394" s="102"/>
      <c r="AQ394" s="103"/>
      <c r="AR394" s="102"/>
      <c r="AS394" s="102"/>
      <c r="AT394" s="102"/>
    </row>
    <row r="395" spans="1:46" ht="16.3">
      <c r="A395" s="246" t="s">
        <v>1</v>
      </c>
      <c r="B395" s="509">
        <f>SUM(J395+K395+L395+M395+N395+S395+V395+W395+X395+AA395+AI395+AJ395+AI395+AM395+AP395+AQ395+AS395+AT395+AU395+AV395+AN395)</f>
        <v>1</v>
      </c>
      <c r="C395" s="215">
        <f>B395</f>
        <v>1</v>
      </c>
      <c r="D395" s="596">
        <f>SUM(T395+U395+Y395+Z395+AK395+AL395+AO395+AR395)</f>
        <v>1</v>
      </c>
      <c r="E395" s="604">
        <f>D395</f>
        <v>1</v>
      </c>
      <c r="F395" s="626">
        <v>0</v>
      </c>
      <c r="G395" s="627">
        <v>0</v>
      </c>
      <c r="H395" s="96"/>
      <c r="I395" s="96"/>
      <c r="J395" s="104"/>
      <c r="K395" s="75"/>
      <c r="L395" s="75"/>
      <c r="M395" s="75"/>
      <c r="N395" s="75"/>
      <c r="O395" s="96">
        <v>1</v>
      </c>
      <c r="P395" s="105"/>
      <c r="Q395" s="105"/>
      <c r="R395" s="96"/>
      <c r="S395" s="104"/>
      <c r="T395" s="110"/>
      <c r="U395" s="110"/>
      <c r="V395" s="100"/>
      <c r="W395" s="100"/>
      <c r="X395" s="100">
        <v>1</v>
      </c>
      <c r="Y395" s="110"/>
      <c r="Z395" s="110">
        <v>1</v>
      </c>
      <c r="AA395" s="100"/>
      <c r="AB395" s="109">
        <v>1</v>
      </c>
      <c r="AC395" s="109"/>
      <c r="AD395" s="109"/>
      <c r="AE395" s="109"/>
      <c r="AF395" s="108"/>
      <c r="AG395" s="109"/>
      <c r="AH395" s="100"/>
      <c r="AI395" s="100"/>
      <c r="AJ395" s="110"/>
      <c r="AK395" s="416"/>
      <c r="AL395" s="100"/>
      <c r="AM395" s="100"/>
      <c r="AN395" s="111"/>
      <c r="AO395" s="100"/>
      <c r="AP395" s="100"/>
      <c r="AQ395" s="111"/>
      <c r="AR395" s="100"/>
      <c r="AS395" s="100"/>
      <c r="AT395" s="100"/>
    </row>
    <row r="396" spans="1:46" ht="16.3">
      <c r="A396" s="246" t="s">
        <v>2</v>
      </c>
      <c r="B396" s="509">
        <f>SUM(J396+K396+L396+M396+N396+S396+V396+W396+X396+AA396+AI396+AJ396+AI396+AM396+AP396+AQ396+AS396+AT396+AU396+AV396)</f>
        <v>2</v>
      </c>
      <c r="C396" s="215">
        <f t="shared" ref="C396:C400" si="178">B396</f>
        <v>2</v>
      </c>
      <c r="D396" s="596">
        <f>SUM(T396+U396+Y396+Z396+AK396+AL396+AO396+AR396)</f>
        <v>2</v>
      </c>
      <c r="E396" s="604">
        <f t="shared" ref="E396:E400" si="179">D396</f>
        <v>2</v>
      </c>
      <c r="F396" s="626">
        <v>0</v>
      </c>
      <c r="G396" s="627">
        <v>0</v>
      </c>
      <c r="H396" s="96"/>
      <c r="I396" s="96"/>
      <c r="J396" s="104"/>
      <c r="K396" s="75"/>
      <c r="L396" s="75"/>
      <c r="M396" s="75"/>
      <c r="N396" s="75"/>
      <c r="O396" s="96"/>
      <c r="P396" s="105"/>
      <c r="Q396" s="105"/>
      <c r="R396" s="96"/>
      <c r="S396" s="104"/>
      <c r="T396" s="110">
        <v>1</v>
      </c>
      <c r="U396" s="110">
        <v>1</v>
      </c>
      <c r="V396" s="100">
        <v>1</v>
      </c>
      <c r="W396" s="100">
        <v>1</v>
      </c>
      <c r="X396" s="100"/>
      <c r="Y396" s="110"/>
      <c r="Z396" s="110"/>
      <c r="AA396" s="100"/>
      <c r="AB396" s="109"/>
      <c r="AC396" s="109"/>
      <c r="AD396" s="109"/>
      <c r="AE396" s="109"/>
      <c r="AF396" s="108"/>
      <c r="AG396" s="109"/>
      <c r="AH396" s="100"/>
      <c r="AI396" s="100"/>
      <c r="AJ396" s="110"/>
      <c r="AK396" s="416"/>
      <c r="AL396" s="100"/>
      <c r="AM396" s="100"/>
      <c r="AN396" s="111"/>
      <c r="AO396" s="100"/>
      <c r="AP396" s="100"/>
      <c r="AQ396" s="111"/>
      <c r="AR396" s="100"/>
      <c r="AS396" s="100"/>
      <c r="AT396" s="100"/>
    </row>
    <row r="397" spans="1:46" ht="16.3">
      <c r="A397" s="83" t="s">
        <v>363</v>
      </c>
      <c r="B397" s="508">
        <f>SUM(B395+B396)</f>
        <v>3</v>
      </c>
      <c r="C397" s="214">
        <f t="shared" si="178"/>
        <v>3</v>
      </c>
      <c r="D397" s="595">
        <f>SUM(D395+D396)</f>
        <v>3</v>
      </c>
      <c r="E397" s="602">
        <f t="shared" si="179"/>
        <v>3</v>
      </c>
      <c r="F397" s="617">
        <v>0</v>
      </c>
      <c r="G397" s="621">
        <v>0</v>
      </c>
      <c r="H397" s="96"/>
      <c r="I397" s="96"/>
      <c r="J397" s="104"/>
      <c r="K397" s="75"/>
      <c r="L397" s="75"/>
      <c r="M397" s="75"/>
      <c r="N397" s="75"/>
      <c r="O397" s="96"/>
      <c r="P397" s="105"/>
      <c r="Q397" s="105"/>
      <c r="R397" s="96"/>
      <c r="S397" s="104"/>
      <c r="T397" s="110"/>
      <c r="U397" s="110"/>
      <c r="V397" s="100"/>
      <c r="W397" s="100"/>
      <c r="X397" s="100"/>
      <c r="Y397" s="110"/>
      <c r="Z397" s="110"/>
      <c r="AA397" s="100"/>
      <c r="AB397" s="109"/>
      <c r="AC397" s="109"/>
      <c r="AD397" s="109"/>
      <c r="AE397" s="109"/>
      <c r="AF397" s="108"/>
      <c r="AG397" s="109"/>
      <c r="AH397" s="100"/>
      <c r="AI397" s="100"/>
      <c r="AJ397" s="110"/>
      <c r="AK397" s="416"/>
      <c r="AL397" s="100"/>
      <c r="AM397" s="100"/>
      <c r="AN397" s="111"/>
      <c r="AO397" s="100"/>
      <c r="AP397" s="100"/>
      <c r="AQ397" s="111"/>
      <c r="AR397" s="100"/>
      <c r="AS397" s="100"/>
      <c r="AT397" s="100"/>
    </row>
    <row r="398" spans="1:46" ht="16.3">
      <c r="A398" s="83" t="s">
        <v>362</v>
      </c>
      <c r="B398" s="508">
        <f>SUM(J398+K398+L398+M398+N398+S398+V398+W398+X398+AA398+AI398+AJ398+AI398+AM398+AP398+AQ398+AS398+AT398+AU398+AV398)</f>
        <v>1</v>
      </c>
      <c r="C398" s="214">
        <f t="shared" ref="C398" si="180">B398</f>
        <v>1</v>
      </c>
      <c r="D398" s="595">
        <f>SUM(T398+U398+Y398+Z398+AK398+AL398+AO398+AR398)</f>
        <v>0</v>
      </c>
      <c r="E398" s="602">
        <f t="shared" ref="E398" si="181">D398</f>
        <v>0</v>
      </c>
      <c r="F398" s="617">
        <v>0</v>
      </c>
      <c r="G398" s="621">
        <v>0</v>
      </c>
      <c r="H398" s="96"/>
      <c r="I398" s="96"/>
      <c r="J398" s="104"/>
      <c r="K398" s="75"/>
      <c r="L398" s="75"/>
      <c r="M398" s="75"/>
      <c r="N398" s="75"/>
      <c r="O398" s="96"/>
      <c r="P398" s="105"/>
      <c r="Q398" s="105"/>
      <c r="R398" s="96"/>
      <c r="S398" s="104"/>
      <c r="T398" s="110"/>
      <c r="U398" s="110"/>
      <c r="V398" s="100"/>
      <c r="W398" s="100">
        <v>1</v>
      </c>
      <c r="X398" s="100"/>
      <c r="Y398" s="110"/>
      <c r="Z398" s="110"/>
      <c r="AA398" s="100"/>
      <c r="AB398" s="109"/>
      <c r="AC398" s="109"/>
      <c r="AD398" s="109"/>
      <c r="AE398" s="109"/>
      <c r="AF398" s="108"/>
      <c r="AG398" s="109"/>
      <c r="AH398" s="100"/>
      <c r="AI398" s="100"/>
      <c r="AJ398" s="110"/>
      <c r="AK398" s="416"/>
      <c r="AL398" s="100"/>
      <c r="AM398" s="100"/>
      <c r="AN398" s="111"/>
      <c r="AO398" s="100"/>
      <c r="AP398" s="100"/>
      <c r="AQ398" s="111"/>
      <c r="AR398" s="100"/>
      <c r="AS398" s="100"/>
      <c r="AT398" s="100"/>
    </row>
    <row r="399" spans="1:46" ht="16.3">
      <c r="A399" s="83" t="s">
        <v>3</v>
      </c>
      <c r="B399" s="508">
        <f>SUM(J399+K399+L399+M399+N399+S399+V399+W399+X399+AA399+AI399+AJ399+AI399+AM399+AP399+AQ399+AS399+AT399+AU399+AV399)</f>
        <v>0</v>
      </c>
      <c r="C399" s="214">
        <f t="shared" si="178"/>
        <v>0</v>
      </c>
      <c r="D399" s="595">
        <f t="shared" ref="D399:D400" si="182">SUM(T399+U399+Y399+Z399+AK399+AL399+AO399+AR399)</f>
        <v>0</v>
      </c>
      <c r="E399" s="602">
        <f t="shared" si="179"/>
        <v>0</v>
      </c>
      <c r="F399" s="617">
        <v>0</v>
      </c>
      <c r="G399" s="621">
        <v>0</v>
      </c>
      <c r="H399" s="96"/>
      <c r="I399" s="96"/>
      <c r="J399" s="104"/>
      <c r="K399" s="75"/>
      <c r="L399" s="75"/>
      <c r="M399" s="75"/>
      <c r="N399" s="75"/>
      <c r="O399" s="96"/>
      <c r="P399" s="105"/>
      <c r="Q399" s="105"/>
      <c r="R399" s="96"/>
      <c r="S399" s="104"/>
      <c r="T399" s="110"/>
      <c r="U399" s="110"/>
      <c r="V399" s="100"/>
      <c r="W399" s="100"/>
      <c r="X399" s="100"/>
      <c r="Y399" s="110"/>
      <c r="Z399" s="110"/>
      <c r="AA399" s="100"/>
      <c r="AB399" s="109">
        <v>1</v>
      </c>
      <c r="AC399" s="109"/>
      <c r="AD399" s="109"/>
      <c r="AE399" s="109"/>
      <c r="AF399" s="108"/>
      <c r="AG399" s="109"/>
      <c r="AH399" s="100"/>
      <c r="AI399" s="100"/>
      <c r="AJ399" s="110"/>
      <c r="AK399" s="416"/>
      <c r="AL399" s="100"/>
      <c r="AM399" s="100"/>
      <c r="AN399" s="111"/>
      <c r="AO399" s="100"/>
      <c r="AP399" s="100"/>
      <c r="AQ399" s="111"/>
      <c r="AR399" s="100"/>
      <c r="AS399" s="100"/>
      <c r="AT399" s="100"/>
    </row>
    <row r="400" spans="1:46" ht="17" thickBot="1">
      <c r="A400" s="85" t="s">
        <v>4</v>
      </c>
      <c r="B400" s="510">
        <f>SUM(J400+K400+L400+M400+N400+S400+V400+W400+X400+AA400+AI400+AJ400+AI400+AM400+AP400+AQ400+AS400+AT400+AU400+AV400)</f>
        <v>0</v>
      </c>
      <c r="C400" s="217">
        <f t="shared" si="178"/>
        <v>0</v>
      </c>
      <c r="D400" s="597">
        <f t="shared" si="182"/>
        <v>0</v>
      </c>
      <c r="E400" s="603">
        <f t="shared" si="179"/>
        <v>0</v>
      </c>
      <c r="F400" s="618">
        <v>0</v>
      </c>
      <c r="G400" s="622">
        <v>0</v>
      </c>
      <c r="H400" s="114"/>
      <c r="I400" s="114"/>
      <c r="J400" s="113"/>
      <c r="K400" s="112"/>
      <c r="L400" s="112"/>
      <c r="M400" s="112"/>
      <c r="N400" s="112"/>
      <c r="O400" s="114"/>
      <c r="P400" s="127"/>
      <c r="Q400" s="127"/>
      <c r="R400" s="114"/>
      <c r="S400" s="113"/>
      <c r="T400" s="120"/>
      <c r="U400" s="119"/>
      <c r="V400" s="116"/>
      <c r="W400" s="116"/>
      <c r="X400" s="116"/>
      <c r="Y400" s="120"/>
      <c r="Z400" s="120"/>
      <c r="AA400" s="116"/>
      <c r="AB400" s="118">
        <v>5</v>
      </c>
      <c r="AC400" s="118"/>
      <c r="AD400" s="118"/>
      <c r="AE400" s="118"/>
      <c r="AF400" s="117"/>
      <c r="AG400" s="118"/>
      <c r="AH400" s="116"/>
      <c r="AI400" s="116"/>
      <c r="AJ400" s="120"/>
      <c r="AK400" s="417"/>
      <c r="AL400" s="116"/>
      <c r="AM400" s="116"/>
      <c r="AN400" s="121"/>
      <c r="AO400" s="116"/>
      <c r="AP400" s="116"/>
      <c r="AQ400" s="121"/>
      <c r="AR400" s="116"/>
      <c r="AS400" s="116"/>
      <c r="AT400" s="116"/>
    </row>
    <row r="401" spans="1:46" ht="21.1">
      <c r="A401" s="82" t="s">
        <v>659</v>
      </c>
      <c r="B401" s="513"/>
      <c r="C401" s="227"/>
      <c r="D401" s="599"/>
      <c r="E401" s="606"/>
      <c r="F401" s="620"/>
      <c r="G401" s="107"/>
      <c r="H401" s="96"/>
      <c r="I401" s="96" t="s">
        <v>432</v>
      </c>
      <c r="J401" s="104"/>
      <c r="K401" s="75"/>
      <c r="L401" s="75"/>
      <c r="M401" s="75"/>
      <c r="N401" s="75"/>
      <c r="O401" s="96"/>
      <c r="P401" s="105"/>
      <c r="Q401" s="105"/>
      <c r="R401" s="96"/>
      <c r="S401" s="104"/>
      <c r="T401" s="110"/>
      <c r="U401" s="101"/>
      <c r="V401" s="102"/>
      <c r="W401" s="102"/>
      <c r="X401" s="102"/>
      <c r="Y401" s="101"/>
      <c r="Z401" s="101" t="s">
        <v>984</v>
      </c>
      <c r="AA401" s="102" t="s">
        <v>984</v>
      </c>
      <c r="AB401" s="99" t="s">
        <v>375</v>
      </c>
      <c r="AC401" s="109" t="s">
        <v>984</v>
      </c>
      <c r="AD401" s="109" t="s">
        <v>984</v>
      </c>
      <c r="AE401" s="109" t="s">
        <v>984</v>
      </c>
      <c r="AF401" s="98"/>
      <c r="AG401" s="99"/>
      <c r="AH401" s="102"/>
      <c r="AI401" s="102"/>
      <c r="AJ401" s="101"/>
      <c r="AK401" s="414"/>
      <c r="AL401" s="102"/>
      <c r="AM401" s="102"/>
      <c r="AN401" s="103"/>
      <c r="AO401" s="102"/>
      <c r="AP401" s="102"/>
      <c r="AQ401" s="103"/>
      <c r="AR401" s="102"/>
      <c r="AS401" s="102"/>
      <c r="AT401" s="102"/>
    </row>
    <row r="402" spans="1:46" ht="16.3">
      <c r="A402" s="246" t="s">
        <v>1</v>
      </c>
      <c r="B402" s="514">
        <f>SUM(J402+K402+L402+M402+N402+S402+V402+W402+X402+AA402+AI402+AJ402+AI402+AM402+AP402+AQ402+AS402+AT402+AU402+AV402+AN402)</f>
        <v>0</v>
      </c>
      <c r="C402" s="231">
        <f>B402</f>
        <v>0</v>
      </c>
      <c r="D402" s="608">
        <f>SUM(T402+U402+Y402+Z402+AK402+AL402+AO402+AR402)</f>
        <v>0</v>
      </c>
      <c r="E402" s="609">
        <f>D402</f>
        <v>0</v>
      </c>
      <c r="F402" s="626">
        <v>0</v>
      </c>
      <c r="G402" s="627">
        <v>0</v>
      </c>
      <c r="H402" s="96"/>
      <c r="I402" s="96"/>
      <c r="J402" s="104"/>
      <c r="K402" s="75"/>
      <c r="L402" s="75"/>
      <c r="M402" s="75"/>
      <c r="N402" s="75"/>
      <c r="O402" s="96"/>
      <c r="P402" s="105"/>
      <c r="Q402" s="105"/>
      <c r="R402" s="96"/>
      <c r="S402" s="128"/>
      <c r="T402" s="106"/>
      <c r="U402" s="106"/>
      <c r="V402" s="75"/>
      <c r="W402" s="75"/>
      <c r="X402" s="75"/>
      <c r="Y402" s="106"/>
      <c r="Z402" s="106"/>
      <c r="AA402" s="75"/>
      <c r="AB402" s="96"/>
      <c r="AC402" s="96"/>
      <c r="AD402" s="96"/>
      <c r="AE402" s="96"/>
      <c r="AF402" s="105"/>
      <c r="AG402" s="96"/>
      <c r="AH402" s="75"/>
      <c r="AI402" s="75"/>
      <c r="AJ402" s="106"/>
      <c r="AK402" s="415"/>
      <c r="AL402" s="75"/>
      <c r="AM402" s="75"/>
      <c r="AN402" s="107"/>
      <c r="AO402" s="75"/>
      <c r="AP402" s="75"/>
      <c r="AQ402" s="107"/>
      <c r="AR402" s="75"/>
      <c r="AS402" s="75"/>
      <c r="AT402" s="75"/>
    </row>
    <row r="403" spans="1:46" ht="16.3">
      <c r="A403" s="246" t="s">
        <v>2</v>
      </c>
      <c r="B403" s="514">
        <f>SUM(J403+K403+L403+M403+N403+S403+V403+W403+X403+AA403+AI403+AJ403+AI403+AM403+AP403+AQ403+AS403+AT403+AU403+AV403)</f>
        <v>0</v>
      </c>
      <c r="C403" s="231">
        <f t="shared" ref="C403:C406" si="183">B403</f>
        <v>0</v>
      </c>
      <c r="D403" s="608">
        <f>SUM(T403+U403+Y403+Z403+AK403+AL403+AO403+AR403)</f>
        <v>0</v>
      </c>
      <c r="E403" s="609">
        <f t="shared" ref="E403:E406" si="184">D403</f>
        <v>0</v>
      </c>
      <c r="F403" s="626">
        <v>0</v>
      </c>
      <c r="G403" s="627">
        <v>0</v>
      </c>
      <c r="H403" s="96"/>
      <c r="I403" s="96">
        <v>1</v>
      </c>
      <c r="J403" s="104"/>
      <c r="K403" s="75"/>
      <c r="L403" s="75"/>
      <c r="M403" s="75"/>
      <c r="N403" s="75"/>
      <c r="O403" s="96"/>
      <c r="P403" s="105"/>
      <c r="Q403" s="105"/>
      <c r="R403" s="96"/>
      <c r="S403" s="104"/>
      <c r="T403" s="110"/>
      <c r="U403" s="110"/>
      <c r="V403" s="100"/>
      <c r="W403" s="100"/>
      <c r="X403" s="100"/>
      <c r="Y403" s="110"/>
      <c r="Z403" s="110"/>
      <c r="AA403" s="100"/>
      <c r="AB403" s="109">
        <v>1</v>
      </c>
      <c r="AC403" s="109"/>
      <c r="AD403" s="109"/>
      <c r="AE403" s="109"/>
      <c r="AF403" s="108"/>
      <c r="AG403" s="109"/>
      <c r="AH403" s="100"/>
      <c r="AI403" s="100"/>
      <c r="AJ403" s="110"/>
      <c r="AK403" s="416"/>
      <c r="AL403" s="100"/>
      <c r="AM403" s="100"/>
      <c r="AN403" s="111"/>
      <c r="AO403" s="100"/>
      <c r="AP403" s="100"/>
      <c r="AQ403" s="111"/>
      <c r="AR403" s="100"/>
      <c r="AS403" s="100"/>
      <c r="AT403" s="100"/>
    </row>
    <row r="404" spans="1:46" ht="16.3">
      <c r="A404" s="83" t="s">
        <v>363</v>
      </c>
      <c r="B404" s="513">
        <f>SUM(B402+B403)</f>
        <v>0</v>
      </c>
      <c r="C404" s="227">
        <f t="shared" si="183"/>
        <v>0</v>
      </c>
      <c r="D404" s="600">
        <f>SUM(D402+D403)</f>
        <v>0</v>
      </c>
      <c r="E404" s="606">
        <f t="shared" si="184"/>
        <v>0</v>
      </c>
      <c r="F404" s="617">
        <v>0</v>
      </c>
      <c r="G404" s="621">
        <v>0</v>
      </c>
      <c r="H404" s="96"/>
      <c r="I404" s="96"/>
      <c r="J404" s="104"/>
      <c r="K404" s="75"/>
      <c r="L404" s="75"/>
      <c r="M404" s="75"/>
      <c r="N404" s="75"/>
      <c r="O404" s="96"/>
      <c r="P404" s="105"/>
      <c r="Q404" s="105"/>
      <c r="R404" s="96"/>
      <c r="S404" s="104"/>
      <c r="T404" s="110"/>
      <c r="U404" s="110"/>
      <c r="V404" s="100"/>
      <c r="W404" s="100"/>
      <c r="X404" s="100"/>
      <c r="Y404" s="110"/>
      <c r="Z404" s="110"/>
      <c r="AA404" s="100"/>
      <c r="AB404" s="109"/>
      <c r="AC404" s="109"/>
      <c r="AD404" s="109"/>
      <c r="AE404" s="109"/>
      <c r="AF404" s="108"/>
      <c r="AG404" s="109"/>
      <c r="AH404" s="100"/>
      <c r="AI404" s="100"/>
      <c r="AJ404" s="110"/>
      <c r="AK404" s="416"/>
      <c r="AL404" s="100"/>
      <c r="AM404" s="100"/>
      <c r="AN404" s="111"/>
      <c r="AO404" s="100"/>
      <c r="AP404" s="100"/>
      <c r="AQ404" s="111"/>
      <c r="AR404" s="100"/>
      <c r="AS404" s="100"/>
      <c r="AT404" s="100"/>
    </row>
    <row r="405" spans="1:46" ht="16.3">
      <c r="A405" s="83" t="s">
        <v>3</v>
      </c>
      <c r="B405" s="513">
        <f>SUM(J405+K405+L405+M405+N405+S405+V405+W405+X405+AA405+AI405+AJ405+AI405+AM405+AP405+AQ405+AS405+AT405+AU405+AV405)</f>
        <v>0</v>
      </c>
      <c r="C405" s="227">
        <f t="shared" si="183"/>
        <v>0</v>
      </c>
      <c r="D405" s="600">
        <f t="shared" ref="D405:D406" si="185">SUM(T405+U405+Y405+Z405+AK405+AL405+AO405+AR405)</f>
        <v>0</v>
      </c>
      <c r="E405" s="606">
        <f t="shared" si="184"/>
        <v>0</v>
      </c>
      <c r="F405" s="617">
        <v>0</v>
      </c>
      <c r="G405" s="621">
        <v>0</v>
      </c>
      <c r="H405" s="96"/>
      <c r="I405" s="96"/>
      <c r="J405" s="104"/>
      <c r="K405" s="75"/>
      <c r="L405" s="75"/>
      <c r="M405" s="75"/>
      <c r="N405" s="75"/>
      <c r="O405" s="96"/>
      <c r="P405" s="105"/>
      <c r="Q405" s="105"/>
      <c r="R405" s="96"/>
      <c r="S405" s="104"/>
      <c r="T405" s="110"/>
      <c r="U405" s="110"/>
      <c r="V405" s="100"/>
      <c r="W405" s="100"/>
      <c r="X405" s="100"/>
      <c r="Y405" s="110"/>
      <c r="Z405" s="110"/>
      <c r="AA405" s="100"/>
      <c r="AB405" s="109"/>
      <c r="AC405" s="109"/>
      <c r="AD405" s="109"/>
      <c r="AE405" s="109"/>
      <c r="AF405" s="108"/>
      <c r="AG405" s="109"/>
      <c r="AH405" s="100"/>
      <c r="AI405" s="100"/>
      <c r="AJ405" s="110"/>
      <c r="AK405" s="416"/>
      <c r="AL405" s="100"/>
      <c r="AM405" s="100"/>
      <c r="AN405" s="111"/>
      <c r="AO405" s="100"/>
      <c r="AP405" s="100"/>
      <c r="AQ405" s="111"/>
      <c r="AR405" s="100"/>
      <c r="AS405" s="100"/>
      <c r="AT405" s="100"/>
    </row>
    <row r="406" spans="1:46" ht="17" thickBot="1">
      <c r="A406" s="85" t="s">
        <v>4</v>
      </c>
      <c r="B406" s="515">
        <f>SUM(J406+K406+L406+M406+N406+S406+V406+W406+X406+AA406+AI406+AJ406+AI406+AM406+AP406+AQ406+AS406+AT406+AU406+AV406)</f>
        <v>0</v>
      </c>
      <c r="C406" s="228">
        <f t="shared" si="183"/>
        <v>0</v>
      </c>
      <c r="D406" s="601">
        <f t="shared" si="185"/>
        <v>0</v>
      </c>
      <c r="E406" s="607">
        <f t="shared" si="184"/>
        <v>0</v>
      </c>
      <c r="F406" s="618">
        <v>0</v>
      </c>
      <c r="G406" s="622">
        <v>0</v>
      </c>
      <c r="H406" s="114"/>
      <c r="I406" s="114"/>
      <c r="J406" s="113"/>
      <c r="K406" s="112"/>
      <c r="L406" s="112"/>
      <c r="M406" s="112"/>
      <c r="N406" s="112"/>
      <c r="O406" s="114"/>
      <c r="P406" s="127"/>
      <c r="Q406" s="127"/>
      <c r="R406" s="114"/>
      <c r="S406" s="113"/>
      <c r="T406" s="120"/>
      <c r="U406" s="119"/>
      <c r="V406" s="100"/>
      <c r="W406" s="100"/>
      <c r="X406" s="100"/>
      <c r="Y406" s="110"/>
      <c r="Z406" s="110"/>
      <c r="AA406" s="100"/>
      <c r="AB406" s="109"/>
      <c r="AC406" s="109"/>
      <c r="AD406" s="109"/>
      <c r="AE406" s="109"/>
      <c r="AF406" s="108"/>
      <c r="AG406" s="109"/>
      <c r="AH406" s="100"/>
      <c r="AI406" s="100"/>
      <c r="AJ406" s="110"/>
      <c r="AK406" s="416"/>
      <c r="AL406" s="100"/>
      <c r="AM406" s="100"/>
      <c r="AN406" s="111"/>
      <c r="AO406" s="100"/>
      <c r="AP406" s="100"/>
      <c r="AQ406" s="111"/>
      <c r="AR406" s="100"/>
      <c r="AS406" s="100"/>
      <c r="AT406" s="100"/>
    </row>
    <row r="407" spans="1:46" ht="21.1">
      <c r="A407" s="86" t="s">
        <v>8</v>
      </c>
      <c r="B407" s="165"/>
      <c r="C407" s="124"/>
      <c r="D407" s="124"/>
      <c r="E407" s="124"/>
      <c r="F407" s="125"/>
      <c r="G407" s="102"/>
      <c r="H407" s="99"/>
      <c r="I407" s="99"/>
      <c r="J407" s="102"/>
      <c r="K407" s="102"/>
      <c r="L407" s="102"/>
      <c r="M407" s="102"/>
      <c r="N407" s="102"/>
      <c r="O407" s="99"/>
      <c r="P407" s="98"/>
      <c r="Q407" s="180"/>
      <c r="R407" s="124"/>
      <c r="S407" s="123"/>
      <c r="T407" s="101"/>
      <c r="U407" s="101"/>
      <c r="V407" s="102"/>
      <c r="W407" s="102"/>
      <c r="X407" s="102"/>
      <c r="Y407" s="101"/>
      <c r="Z407" s="101"/>
      <c r="AA407" s="102"/>
      <c r="AB407" s="99"/>
      <c r="AC407" s="99"/>
      <c r="AD407" s="99"/>
      <c r="AE407" s="99"/>
      <c r="AF407" s="98"/>
      <c r="AG407" s="99"/>
      <c r="AH407" s="102"/>
      <c r="AI407" s="102"/>
      <c r="AJ407" s="101"/>
      <c r="AK407" s="414"/>
      <c r="AL407" s="102"/>
      <c r="AM407" s="102"/>
      <c r="AN407" s="103"/>
      <c r="AO407" s="102"/>
      <c r="AP407" s="102"/>
      <c r="AQ407" s="103"/>
      <c r="AR407" s="102"/>
      <c r="AS407" s="102"/>
      <c r="AT407" s="102"/>
    </row>
    <row r="408" spans="1:46" ht="16.3">
      <c r="A408" s="83" t="s">
        <v>3</v>
      </c>
      <c r="B408" s="128"/>
      <c r="C408" s="96"/>
      <c r="D408" s="96"/>
      <c r="E408" s="96"/>
      <c r="F408" s="97"/>
      <c r="G408" s="100"/>
      <c r="H408" s="109"/>
      <c r="I408" s="109"/>
      <c r="J408" s="100"/>
      <c r="K408" s="100"/>
      <c r="L408" s="100"/>
      <c r="M408" s="100"/>
      <c r="N408" s="100"/>
      <c r="O408" s="109"/>
      <c r="P408" s="108"/>
      <c r="Q408" s="105"/>
      <c r="R408" s="96"/>
      <c r="S408" s="104"/>
      <c r="T408" s="110"/>
      <c r="U408" s="110"/>
      <c r="V408" s="100">
        <v>1</v>
      </c>
      <c r="W408" s="100"/>
      <c r="X408" s="100"/>
      <c r="Y408" s="110"/>
      <c r="Z408" s="110"/>
      <c r="AA408" s="100"/>
      <c r="AB408" s="109"/>
      <c r="AC408" s="109"/>
      <c r="AD408" s="109"/>
      <c r="AE408" s="109">
        <v>1</v>
      </c>
      <c r="AF408" s="108"/>
      <c r="AG408" s="109"/>
      <c r="AH408" s="100"/>
      <c r="AI408" s="100"/>
      <c r="AJ408" s="110"/>
      <c r="AK408" s="416"/>
      <c r="AL408" s="100"/>
      <c r="AM408" s="100"/>
      <c r="AN408" s="111"/>
      <c r="AO408" s="100"/>
      <c r="AP408" s="100"/>
      <c r="AQ408" s="111"/>
      <c r="AR408" s="100"/>
      <c r="AS408" s="100"/>
      <c r="AT408" s="100"/>
    </row>
    <row r="409" spans="1:46" ht="17" thickBot="1">
      <c r="A409" s="85" t="s">
        <v>4</v>
      </c>
      <c r="B409" s="624"/>
      <c r="C409" s="537"/>
      <c r="D409" s="114"/>
      <c r="E409" s="114"/>
      <c r="F409" s="115"/>
      <c r="G409" s="116"/>
      <c r="H409" s="118"/>
      <c r="I409" s="118"/>
      <c r="J409" s="116"/>
      <c r="K409" s="116"/>
      <c r="L409" s="116"/>
      <c r="M409" s="116"/>
      <c r="N409" s="112"/>
      <c r="O409" s="118"/>
      <c r="P409" s="117"/>
      <c r="Q409" s="127"/>
      <c r="R409" s="115"/>
      <c r="S409" s="116"/>
      <c r="T409" s="120"/>
      <c r="U409" s="120"/>
      <c r="V409" s="116">
        <v>7</v>
      </c>
      <c r="W409" s="116"/>
      <c r="X409" s="116"/>
      <c r="Y409" s="120"/>
      <c r="Z409" s="120"/>
      <c r="AA409" s="116"/>
      <c r="AB409" s="118"/>
      <c r="AC409" s="118"/>
      <c r="AD409" s="118"/>
      <c r="AE409" s="118">
        <v>7</v>
      </c>
      <c r="AF409" s="117"/>
      <c r="AG409" s="118"/>
      <c r="AH409" s="116"/>
      <c r="AI409" s="116"/>
      <c r="AJ409" s="120"/>
      <c r="AK409" s="417"/>
      <c r="AL409" s="116"/>
      <c r="AM409" s="116"/>
      <c r="AN409" s="121"/>
      <c r="AO409" s="116"/>
      <c r="AP409" s="116"/>
      <c r="AQ409" s="121"/>
      <c r="AR409" s="116"/>
      <c r="AS409" s="116"/>
      <c r="AT409" s="116"/>
    </row>
    <row r="410" spans="1:46">
      <c r="A410" s="516"/>
      <c r="B410" s="862" t="s">
        <v>352</v>
      </c>
      <c r="C410" s="863"/>
      <c r="D410" s="864" t="s">
        <v>350</v>
      </c>
      <c r="E410" s="865"/>
      <c r="F410" s="866" t="s">
        <v>351</v>
      </c>
      <c r="G410" s="867"/>
      <c r="H410" s="524"/>
      <c r="I410" s="518"/>
      <c r="J410" s="518"/>
      <c r="K410" s="518"/>
      <c r="L410" s="518"/>
      <c r="M410" s="518"/>
      <c r="N410" s="518"/>
      <c r="O410" s="518"/>
      <c r="P410" s="518"/>
      <c r="Q410" s="518"/>
      <c r="R410" s="518"/>
      <c r="S410" s="518"/>
      <c r="T410" s="518"/>
      <c r="U410" s="661"/>
      <c r="V410" s="518"/>
      <c r="W410" s="518"/>
      <c r="X410" s="525"/>
      <c r="Y410" s="518"/>
      <c r="Z410" s="661"/>
      <c r="AA410" s="525"/>
      <c r="AB410" s="518"/>
      <c r="AC410" s="525"/>
      <c r="AD410" s="525"/>
      <c r="AE410" s="518"/>
      <c r="AF410" s="518"/>
      <c r="AG410" s="518"/>
      <c r="AH410" s="518"/>
      <c r="AI410" s="518"/>
      <c r="AJ410" s="518"/>
      <c r="AK410" s="518"/>
      <c r="AL410" s="518"/>
      <c r="AM410" s="518"/>
      <c r="AN410" s="518"/>
      <c r="AO410" s="518"/>
      <c r="AP410" s="518"/>
      <c r="AQ410" s="518"/>
      <c r="AR410" s="518"/>
      <c r="AS410" s="519"/>
      <c r="AT410" s="520"/>
    </row>
    <row r="411" spans="1:46" ht="21.75" thickBot="1">
      <c r="A411" s="517" t="s">
        <v>598</v>
      </c>
      <c r="B411" s="507" t="s">
        <v>482</v>
      </c>
      <c r="C411" s="64" t="s">
        <v>349</v>
      </c>
      <c r="D411" s="507" t="s">
        <v>482</v>
      </c>
      <c r="E411" s="61" t="s">
        <v>349</v>
      </c>
      <c r="F411" s="507" t="s">
        <v>482</v>
      </c>
      <c r="G411" s="70" t="s">
        <v>349</v>
      </c>
      <c r="H411" s="526"/>
      <c r="I411" s="527"/>
      <c r="J411" s="527"/>
      <c r="K411" s="527"/>
      <c r="L411" s="527"/>
      <c r="M411" s="527"/>
      <c r="N411" s="527"/>
      <c r="O411" s="527"/>
      <c r="P411" s="527"/>
      <c r="Q411" s="521"/>
      <c r="R411" s="521"/>
      <c r="S411" s="521"/>
      <c r="T411" s="521"/>
      <c r="U411" s="662"/>
      <c r="V411" s="521"/>
      <c r="W411" s="521"/>
      <c r="X411" s="780"/>
      <c r="Y411" s="521"/>
      <c r="Z411" s="662"/>
      <c r="AA411" s="780"/>
      <c r="AB411" s="521"/>
      <c r="AC411" s="521"/>
      <c r="AD411" s="521"/>
      <c r="AE411" s="521"/>
      <c r="AF411" s="521"/>
      <c r="AG411" s="521"/>
      <c r="AH411" s="521"/>
      <c r="AI411" s="521"/>
      <c r="AJ411" s="521"/>
      <c r="AK411" s="522"/>
      <c r="AL411" s="522"/>
      <c r="AM411" s="522"/>
      <c r="AN411" s="522"/>
      <c r="AO411" s="522"/>
      <c r="AP411" s="522"/>
      <c r="AQ411" s="522"/>
      <c r="AR411" s="522"/>
      <c r="AS411" s="522"/>
      <c r="AT411" s="523"/>
    </row>
    <row r="412" spans="1:46">
      <c r="A412" s="301" t="s">
        <v>476</v>
      </c>
      <c r="B412" s="345">
        <f>SUM(J412+K412+L412+M412+N412+S412+V412+W412+X412+AA412+AI412+AJ412+AM412+AN412+AP412+AQ412+AS412+AT412+AU405+AV405)</f>
        <v>10</v>
      </c>
      <c r="C412" s="317">
        <f>B412</f>
        <v>10</v>
      </c>
      <c r="D412" s="348">
        <f>SUM(T412+U412+Y412+Z412+AK412+AL412+AO412+AR412)</f>
        <v>4</v>
      </c>
      <c r="E412" s="355">
        <f>D412</f>
        <v>4</v>
      </c>
      <c r="F412" s="348">
        <v>0</v>
      </c>
      <c r="G412" s="358">
        <v>0</v>
      </c>
      <c r="H412" s="491">
        <v>1</v>
      </c>
      <c r="I412" s="491">
        <v>1</v>
      </c>
      <c r="J412" s="305">
        <v>1</v>
      </c>
      <c r="K412" s="305">
        <v>1</v>
      </c>
      <c r="L412" s="303">
        <v>1</v>
      </c>
      <c r="M412" s="362">
        <v>1</v>
      </c>
      <c r="N412" s="305">
        <v>1</v>
      </c>
      <c r="O412" s="491">
        <v>1</v>
      </c>
      <c r="P412" s="530"/>
      <c r="Q412" s="530"/>
      <c r="R412" s="491">
        <v>1</v>
      </c>
      <c r="S412" s="305">
        <v>1</v>
      </c>
      <c r="T412" s="344">
        <v>1</v>
      </c>
      <c r="U412" s="344">
        <v>1</v>
      </c>
      <c r="V412" s="306">
        <v>1</v>
      </c>
      <c r="W412" s="306">
        <v>1</v>
      </c>
      <c r="X412" s="781">
        <v>1</v>
      </c>
      <c r="Y412" s="344">
        <v>1</v>
      </c>
      <c r="Z412" s="344">
        <v>1</v>
      </c>
      <c r="AA412" s="306">
        <v>1</v>
      </c>
      <c r="AB412" s="812">
        <v>1</v>
      </c>
      <c r="AC412" s="815">
        <v>1</v>
      </c>
      <c r="AD412" s="812">
        <v>1</v>
      </c>
      <c r="AE412" s="815">
        <v>1</v>
      </c>
      <c r="AF412" s="820"/>
      <c r="AG412" s="815">
        <v>1</v>
      </c>
      <c r="AH412" s="815"/>
      <c r="AI412" s="306"/>
      <c r="AJ412" s="419"/>
      <c r="AK412" s="425"/>
      <c r="AL412" s="362"/>
      <c r="AM412" s="362"/>
      <c r="AN412" s="438"/>
      <c r="AO412" s="362"/>
      <c r="AP412" s="362"/>
      <c r="AQ412" s="438"/>
      <c r="AR412" s="362"/>
      <c r="AS412" s="362"/>
      <c r="AT412" s="362"/>
    </row>
    <row r="413" spans="1:46">
      <c r="A413" s="304" t="s">
        <v>477</v>
      </c>
      <c r="B413" s="346">
        <f>SUM(J413+K413+L413+M413+N413+S413+V413+W413+X413+AA413+AI413+AJ413+AM413+AN413+AP413+AQ413+AS413+AT413+AU406+AV406)</f>
        <v>7</v>
      </c>
      <c r="C413" s="318">
        <f t="shared" ref="C413:C415" si="186">B413</f>
        <v>7</v>
      </c>
      <c r="D413" s="349">
        <f t="shared" ref="D413:D415" si="187">SUM(T413+U413+Y413+Z413+AK413+AL413+AO413+AR413)</f>
        <v>1</v>
      </c>
      <c r="E413" s="356">
        <f t="shared" ref="E413:E415" si="188">D413</f>
        <v>1</v>
      </c>
      <c r="F413" s="349">
        <v>0</v>
      </c>
      <c r="G413" s="359">
        <v>0</v>
      </c>
      <c r="H413" s="491">
        <v>1</v>
      </c>
      <c r="I413" s="491">
        <v>1</v>
      </c>
      <c r="J413" s="305">
        <v>0</v>
      </c>
      <c r="K413" s="305">
        <v>1</v>
      </c>
      <c r="L413" s="306">
        <v>0</v>
      </c>
      <c r="M413" s="362">
        <v>1</v>
      </c>
      <c r="N413" s="305">
        <v>1</v>
      </c>
      <c r="O413" s="491">
        <v>1</v>
      </c>
      <c r="P413" s="530"/>
      <c r="Q413" s="530"/>
      <c r="R413" s="491">
        <v>1</v>
      </c>
      <c r="S413" s="305">
        <v>1</v>
      </c>
      <c r="T413" s="344">
        <v>0</v>
      </c>
      <c r="U413" s="344">
        <v>0</v>
      </c>
      <c r="V413" s="306">
        <v>1</v>
      </c>
      <c r="W413" s="306">
        <v>0</v>
      </c>
      <c r="X413" s="782">
        <v>1</v>
      </c>
      <c r="Y413" s="344">
        <v>1</v>
      </c>
      <c r="Z413" s="344">
        <v>0</v>
      </c>
      <c r="AA413" s="306">
        <v>1</v>
      </c>
      <c r="AB413" s="812">
        <v>0</v>
      </c>
      <c r="AC413" s="815">
        <v>1</v>
      </c>
      <c r="AD413" s="812">
        <v>1</v>
      </c>
      <c r="AE413" s="815">
        <v>1</v>
      </c>
      <c r="AF413" s="820"/>
      <c r="AG413" s="815">
        <v>1</v>
      </c>
      <c r="AH413" s="815"/>
      <c r="AI413" s="306"/>
      <c r="AJ413" s="419"/>
      <c r="AK413" s="425"/>
      <c r="AL413" s="362"/>
      <c r="AM413" s="362"/>
      <c r="AN413" s="438"/>
      <c r="AO413" s="362"/>
      <c r="AP413" s="362"/>
      <c r="AQ413" s="438"/>
      <c r="AR413" s="362"/>
      <c r="AS413" s="362"/>
      <c r="AT413" s="362"/>
    </row>
    <row r="414" spans="1:46">
      <c r="A414" s="304" t="s">
        <v>478</v>
      </c>
      <c r="B414" s="346">
        <f>SUM(J414+K414+L414+M414+N414+S414+V414+W414+X414+AA414+AI414+AJ414+AM414+AN414+AP414+AQ414+AS414+AT414+AU407+AV407)</f>
        <v>0</v>
      </c>
      <c r="C414" s="318">
        <f t="shared" si="186"/>
        <v>0</v>
      </c>
      <c r="D414" s="349">
        <f t="shared" si="187"/>
        <v>0</v>
      </c>
      <c r="E414" s="356">
        <f t="shared" si="188"/>
        <v>0</v>
      </c>
      <c r="F414" s="349">
        <v>0</v>
      </c>
      <c r="G414" s="359">
        <v>0</v>
      </c>
      <c r="H414" s="491">
        <v>0</v>
      </c>
      <c r="I414" s="491">
        <v>0</v>
      </c>
      <c r="J414" s="305">
        <v>0</v>
      </c>
      <c r="K414" s="305">
        <v>0</v>
      </c>
      <c r="L414" s="306">
        <v>0</v>
      </c>
      <c r="M414" s="362">
        <v>0</v>
      </c>
      <c r="N414" s="305">
        <v>0</v>
      </c>
      <c r="O414" s="491">
        <v>0</v>
      </c>
      <c r="P414" s="530"/>
      <c r="Q414" s="530"/>
      <c r="R414" s="491">
        <v>0</v>
      </c>
      <c r="S414" s="305">
        <v>0</v>
      </c>
      <c r="T414" s="344">
        <v>0</v>
      </c>
      <c r="U414" s="344">
        <v>0</v>
      </c>
      <c r="V414" s="306">
        <v>0</v>
      </c>
      <c r="W414" s="306">
        <v>0</v>
      </c>
      <c r="X414" s="782">
        <v>0</v>
      </c>
      <c r="Y414" s="344">
        <v>0</v>
      </c>
      <c r="Z414" s="344">
        <v>0</v>
      </c>
      <c r="AA414" s="306">
        <v>0</v>
      </c>
      <c r="AB414" s="812">
        <v>0</v>
      </c>
      <c r="AC414" s="815">
        <v>0</v>
      </c>
      <c r="AD414" s="812">
        <v>0</v>
      </c>
      <c r="AE414" s="815">
        <v>0</v>
      </c>
      <c r="AF414" s="820"/>
      <c r="AG414" s="815">
        <v>0</v>
      </c>
      <c r="AH414" s="815"/>
      <c r="AI414" s="306"/>
      <c r="AJ414" s="419"/>
      <c r="AK414" s="425"/>
      <c r="AL414" s="362"/>
      <c r="AM414" s="362"/>
      <c r="AN414" s="438"/>
      <c r="AO414" s="362"/>
      <c r="AP414" s="362"/>
      <c r="AQ414" s="438"/>
      <c r="AR414" s="362"/>
      <c r="AS414" s="362"/>
      <c r="AT414" s="362"/>
    </row>
    <row r="415" spans="1:46" ht="14.95" thickBot="1">
      <c r="A415" s="304" t="s">
        <v>479</v>
      </c>
      <c r="B415" s="347">
        <f>SUM(J415+K415+L415+M415+N415+S415+V415+W415+X415+AA415+AI415+AJ415+AM415+AN415+AP415+AQ415+AS415+AT415+AU408+AV408)</f>
        <v>3</v>
      </c>
      <c r="C415" s="354">
        <f t="shared" si="186"/>
        <v>3</v>
      </c>
      <c r="D415" s="352">
        <f t="shared" si="187"/>
        <v>3</v>
      </c>
      <c r="E415" s="357">
        <f t="shared" si="188"/>
        <v>3</v>
      </c>
      <c r="F415" s="352">
        <v>0</v>
      </c>
      <c r="G415" s="360">
        <v>0</v>
      </c>
      <c r="H415" s="491">
        <v>0</v>
      </c>
      <c r="I415" s="491">
        <v>0</v>
      </c>
      <c r="J415" s="305">
        <v>1</v>
      </c>
      <c r="K415" s="305">
        <v>0</v>
      </c>
      <c r="L415" s="306">
        <v>1</v>
      </c>
      <c r="M415" s="362">
        <v>0</v>
      </c>
      <c r="N415" s="305">
        <v>0</v>
      </c>
      <c r="O415" s="491">
        <v>0</v>
      </c>
      <c r="P415" s="530"/>
      <c r="Q415" s="530"/>
      <c r="R415" s="491">
        <v>0</v>
      </c>
      <c r="S415" s="305">
        <v>0</v>
      </c>
      <c r="T415" s="344">
        <v>1</v>
      </c>
      <c r="U415" s="344">
        <v>1</v>
      </c>
      <c r="V415" s="306">
        <v>0</v>
      </c>
      <c r="W415" s="306">
        <v>1</v>
      </c>
      <c r="X415" s="782">
        <v>0</v>
      </c>
      <c r="Y415" s="344">
        <v>0</v>
      </c>
      <c r="Z415" s="344">
        <v>1</v>
      </c>
      <c r="AA415" s="306">
        <v>0</v>
      </c>
      <c r="AB415" s="812">
        <v>1</v>
      </c>
      <c r="AC415" s="815">
        <v>0</v>
      </c>
      <c r="AD415" s="812">
        <v>0</v>
      </c>
      <c r="AE415" s="815">
        <v>0</v>
      </c>
      <c r="AF415" s="820"/>
      <c r="AG415" s="815">
        <v>0</v>
      </c>
      <c r="AH415" s="815"/>
      <c r="AI415" s="306"/>
      <c r="AJ415" s="419"/>
      <c r="AK415" s="425"/>
      <c r="AL415" s="362"/>
      <c r="AM415" s="362"/>
      <c r="AN415" s="438"/>
      <c r="AO415" s="362"/>
      <c r="AP415" s="362"/>
      <c r="AQ415" s="438"/>
      <c r="AR415" s="362"/>
      <c r="AS415" s="362"/>
      <c r="AT415" s="362"/>
    </row>
    <row r="416" spans="1:46" ht="14.95" thickBot="1">
      <c r="A416" s="307" t="s">
        <v>480</v>
      </c>
      <c r="B416" s="353">
        <f>SUM(B413+B414*0.5)/B412*100</f>
        <v>70</v>
      </c>
      <c r="C416" s="350">
        <f>SUM(C413+C414*0.5)/C412*100</f>
        <v>70</v>
      </c>
      <c r="D416" s="351">
        <f>SUM(D413+D414*0.5)/D412*100</f>
        <v>25</v>
      </c>
      <c r="E416" s="357">
        <f>SUM(E413+E414*0.5)/E412*100</f>
        <v>25</v>
      </c>
      <c r="F416" s="352">
        <v>0</v>
      </c>
      <c r="G416" s="361">
        <v>0</v>
      </c>
      <c r="H416" s="492"/>
      <c r="I416" s="492"/>
      <c r="J416" s="340"/>
      <c r="K416" s="340"/>
      <c r="L416" s="309"/>
      <c r="M416" s="547"/>
      <c r="N416" s="462"/>
      <c r="O416" s="583"/>
      <c r="P416" s="584"/>
      <c r="Q416" s="584"/>
      <c r="R416" s="583"/>
      <c r="S416" s="340"/>
      <c r="T416" s="309"/>
      <c r="U416" s="403"/>
      <c r="V416" s="311"/>
      <c r="W416" s="311"/>
      <c r="X416" s="783"/>
      <c r="Y416" s="310"/>
      <c r="Z416" s="403"/>
      <c r="AA416" s="309"/>
      <c r="AB416" s="813"/>
      <c r="AC416" s="816"/>
      <c r="AD416" s="813"/>
      <c r="AE416" s="816"/>
      <c r="AF416" s="821"/>
      <c r="AG416" s="816"/>
      <c r="AH416" s="816"/>
      <c r="AI416" s="309"/>
      <c r="AJ416" s="420"/>
      <c r="AK416" s="425"/>
      <c r="AL416" s="362"/>
      <c r="AM416" s="362"/>
      <c r="AN416" s="438"/>
      <c r="AO416" s="362"/>
      <c r="AP416" s="362"/>
      <c r="AQ416" s="438"/>
      <c r="AR416" s="362"/>
      <c r="AS416" s="362"/>
      <c r="AT416" s="362"/>
    </row>
    <row r="417" spans="1:46" ht="21.1">
      <c r="A417" s="206" t="s">
        <v>10</v>
      </c>
      <c r="B417" s="50"/>
      <c r="C417" s="28"/>
      <c r="D417" s="29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34"/>
      <c r="Q417" s="34"/>
      <c r="R417" s="28"/>
      <c r="S417" s="28"/>
      <c r="T417" s="30"/>
      <c r="U417" s="30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3"/>
      <c r="AG417" s="31"/>
      <c r="AH417" s="31"/>
      <c r="AI417" s="31"/>
      <c r="AJ417" s="31"/>
      <c r="AK417" s="33"/>
      <c r="AL417" s="31"/>
      <c r="AM417" s="31"/>
      <c r="AN417" s="33"/>
      <c r="AO417" s="31"/>
      <c r="AP417" s="31"/>
      <c r="AQ417" s="33"/>
      <c r="AR417" s="31"/>
      <c r="AS417" s="31"/>
      <c r="AT417" s="31"/>
    </row>
    <row r="418" spans="1:46">
      <c r="A418" s="207" t="s">
        <v>1</v>
      </c>
      <c r="B418" s="50"/>
      <c r="C418" s="28"/>
      <c r="D418" s="28"/>
      <c r="E418" s="28"/>
      <c r="F418" s="28"/>
      <c r="G418" s="28"/>
      <c r="H418" s="28">
        <f>IF(SUMIF($A$4:$A409,$A418,H$4:H409)=0,"",SUMIF($A$4:$A409,$A418,H$4:H409))</f>
        <v>15</v>
      </c>
      <c r="I418" s="28">
        <f>IF(SUMIF($A$4:$A409,$A418,I$4:I409)=0,"",SUMIF($A$4:$A409,$A418,I$4:I409))</f>
        <v>15</v>
      </c>
      <c r="J418" s="28">
        <f>IF(SUMIF($A$4:$A409,$A418,J$4:J409)=0,"",SUMIF($A$4:$A409,$A418,J$4:J409))</f>
        <v>15</v>
      </c>
      <c r="K418" s="28">
        <f>IF(SUMIF($A$4:$A409,$A418,K$4:K409)=0,"",SUMIF($A$4:$A409,$A418,K$4:K409))</f>
        <v>15</v>
      </c>
      <c r="L418" s="28">
        <f>IF(SUMIF($A$4:$A409,$A418,L$4:L409)=0,"",SUMIF($A$4:$A409,$A418,L$4:L409))</f>
        <v>15</v>
      </c>
      <c r="M418" s="28">
        <f>IF(SUMIF($A$4:$A409,$A418,M$4:M409)=0,"",SUMIF($A$4:$A409,$A418,M$4:M409))</f>
        <v>15</v>
      </c>
      <c r="N418" s="28">
        <f>IF(SUMIF($A$4:$A409,$A418,N$4:N409)=0,"",SUMIF($A$4:$A409,$A418,N$4:N409))</f>
        <v>15</v>
      </c>
      <c r="O418" s="28">
        <f>IF(SUMIF($A$4:$A409,$A418,O$4:O409)=0,"",SUMIF($A$4:$A409,$A418,O$4:O409))</f>
        <v>15</v>
      </c>
      <c r="P418" s="34"/>
      <c r="Q418" s="34" t="str">
        <f>IF(SUMIF($A$4:$A409,$A418,Q$4:Q409)=0,"",SUMIF($A$4:$A409,$A418,Q$4:Q409))</f>
        <v/>
      </c>
      <c r="R418" s="28">
        <f>IF(SUMIF($A$4:$A409,$A418,R$4:R409)=0,"",SUMIF($A$4:$A409,$A418,R$4:R409))</f>
        <v>15</v>
      </c>
      <c r="S418" s="28">
        <f>IF(SUMIF($A$4:$A409,$A418,S$4:S409)=0,"",SUMIF($A$4:$A409,$A418,S$4:S409))</f>
        <v>15</v>
      </c>
      <c r="T418" s="28">
        <f>IF(SUMIF($A$4:$A409,$A418,T$4:T409)=0,"",SUMIF($A$4:$A409,$A418,T$4:T409))</f>
        <v>15</v>
      </c>
      <c r="U418" s="28">
        <f>IF(SUMIF($A$4:$A409,$A418,U$4:U409)=0,"",SUMIF($A$4:$A409,$A418,U$4:U409))</f>
        <v>15</v>
      </c>
      <c r="V418" s="28">
        <f>IF(SUMIF($A$4:$A409,$A418,V$4:V409)=0,"",SUMIF($A$4:$A409,$A418,V$4:V409))</f>
        <v>15</v>
      </c>
      <c r="W418" s="28">
        <f>IF(SUMIF($A$4:$A409,$A418,W$4:W409)=0,"",SUMIF($A$4:$A409,$A418,W$4:W409))</f>
        <v>15</v>
      </c>
      <c r="X418" s="28">
        <f>IF(SUMIF($A$4:$A409,$A418,X$4:X409)=0,"",SUMIF($A$4:$A409,$A418,X$4:X409))</f>
        <v>15</v>
      </c>
      <c r="Y418" s="28">
        <f>IF(SUMIF($A$4:$A409,$A418,Y$4:Y409)=0,"",SUMIF($A$4:$A409,$A418,Y$4:Y409))</f>
        <v>15</v>
      </c>
      <c r="Z418" s="28">
        <f>IF(SUMIF($A$4:$A409,$A418,Z$4:Z409)=0,"",SUMIF($A$4:$A409,$A418,Z$4:Z409))</f>
        <v>15</v>
      </c>
      <c r="AA418" s="28">
        <f>IF(SUMIF($A$4:$A409,$A418,AA$4:AA409)=0,"",SUMIF($A$4:$A409,$A418,AA$4:AA409))</f>
        <v>15</v>
      </c>
      <c r="AB418" s="28">
        <f>IF(SUMIF($A$4:$A409,$A418,AB$4:AB409)=0,"",SUMIF($A$4:$A409,$A418,AB$4:AB409))</f>
        <v>15</v>
      </c>
      <c r="AC418" s="28">
        <f>IF(SUMIF($A$4:$A409,$A418,AC$4:AC409)=0,"",SUMIF($A$4:$A409,$A418,AC$4:AC409))</f>
        <v>15</v>
      </c>
      <c r="AD418" s="28">
        <f>IF(SUMIF($A$4:$A409,$A418,AD$4:AD409)=0,"",SUMIF($A$4:$A409,$A418,AD$4:AD409))</f>
        <v>15</v>
      </c>
      <c r="AE418" s="28">
        <f>IF(SUMIF($A$4:$A409,$A418,AE$4:AE409)=0,"",SUMIF($A$4:$A409,$A418,AE$4:AE409))</f>
        <v>15</v>
      </c>
      <c r="AF418" s="34" t="str">
        <f>IF(SUMIF($A$4:$A409,$A418,AF$4:AF409)=0,"",SUMIF($A$4:$A409,$A418,AF$4:AF409))</f>
        <v/>
      </c>
      <c r="AG418" s="28">
        <f>IF(SUMIF($A$4:$A409,$A418,AG$4:AG409)=0,"",SUMIF($A$4:$A409,$A418,AG$4:AG409))</f>
        <v>15</v>
      </c>
      <c r="AH418" s="28" t="str">
        <f>IF(SUMIF($A$4:$A409,$A418,AH$4:AH409)=0,"",SUMIF($A$4:$A409,$A418,AH$4:AH409))</f>
        <v/>
      </c>
      <c r="AI418" s="28" t="str">
        <f>IF(SUMIF($A$4:$A409,$A418,AI$4:AI409)=0,"",SUMIF($A$4:$A409,$A418,AI$4:AI409))</f>
        <v/>
      </c>
      <c r="AJ418" s="28" t="str">
        <f>IF(SUMIF($A$4:$A409,$A418,AJ$4:AJ409)=0,"",SUMIF($A$4:$A409,$A418,AJ$4:AJ409))</f>
        <v/>
      </c>
      <c r="AK418" s="34" t="str">
        <f>IF(SUMIF($A$4:$A409,$A418,AK$4:AK409)=0,"",SUMIF($A$4:$A409,$A418,AK$4:AK409))</f>
        <v/>
      </c>
      <c r="AL418" s="28" t="str">
        <f>IF(SUMIF($A$4:$A409,$A418,AL$4:AL409)=0,"",SUMIF($A$4:$A409,$A418,AL$4:AL409))</f>
        <v/>
      </c>
      <c r="AM418" s="28" t="str">
        <f>IF(SUMIF($A$4:$A409,$A418,AM$4:AM409)=0,"",SUMIF($A$4:$A409,$A418,AM$4:AM409))</f>
        <v/>
      </c>
      <c r="AN418" s="34" t="str">
        <f>IF(SUMIF($A$4:$A409,$A418,AN$4:AN409)=0,"",SUMIF($A$4:$A409,$A418,AN$4:AN409))</f>
        <v/>
      </c>
      <c r="AO418" s="28" t="str">
        <f>IF(SUMIF($A$4:$A409,$A418,AO$4:AO409)=0,"",SUMIF($A$4:$A409,$A418,AO$4:AO409))</f>
        <v/>
      </c>
      <c r="AP418" s="28" t="str">
        <f>IF(SUMIF($A$4:$A409,$A418,AP$4:AP409)=0,"",SUMIF($A$4:$A409,$A418,AP$4:AP409))</f>
        <v/>
      </c>
      <c r="AQ418" s="34" t="str">
        <f>IF(SUMIF($A$4:$A409,$A418,AQ$4:AQ409)=0,"",SUMIF($A$4:$A409,$A418,AQ$4:AQ409))</f>
        <v/>
      </c>
      <c r="AR418" s="28" t="str">
        <f>IF(SUMIF($A$4:$A409,$A418,AR$4:AR409)=0,"",SUMIF($A$4:$A409,$A418,AR$4:AR409))</f>
        <v/>
      </c>
      <c r="AS418" s="28" t="str">
        <f>IF(SUMIF($A$4:$A409,$A418,AS$4:AS409)=0,"",SUMIF($A$4:$A409,$A418,AS$4:AS409))</f>
        <v/>
      </c>
      <c r="AT418" s="28" t="str">
        <f>IF(SUMIF($A$4:$A409,$A418,AT$4:AT409)=0,"",SUMIF($A$4:$A409,$A418,AT$4:AT409))</f>
        <v/>
      </c>
    </row>
    <row r="419" spans="1:46">
      <c r="A419" s="207" t="s">
        <v>2</v>
      </c>
      <c r="B419" s="50"/>
      <c r="C419" s="28"/>
      <c r="D419" s="28"/>
      <c r="E419" s="28"/>
      <c r="F419" s="28"/>
      <c r="G419" s="28"/>
      <c r="H419" s="28">
        <f>IF(SUMIF($A$4:$A417,$A419,H$4:H417)=0,"",SUMIF($A$4:$A417,$A419,H$4:H417))</f>
        <v>8</v>
      </c>
      <c r="I419" s="28">
        <f>IF(SUMIF($A$4:$A417,$A419,I$4:I417)=0,"",SUMIF($A$4:$A417,$A419,I$4:I417))</f>
        <v>7</v>
      </c>
      <c r="J419" s="28">
        <f>IF(SUMIF($A$4:$A417,$A419,J$4:J417)=0,"",SUMIF($A$4:$A417,$A419,J$4:J417))</f>
        <v>8</v>
      </c>
      <c r="K419" s="28">
        <f>IF(SUMIF($A$4:$A417,$A419,K$4:K417)=0,"",SUMIF($A$4:$A417,$A419,K$4:K417))</f>
        <v>6</v>
      </c>
      <c r="L419" s="28">
        <f>IF(SUMIF($A$4:$A417,$A419,L$4:L417)=0,"",SUMIF($A$4:$A417,$A419,L$4:L417))</f>
        <v>8</v>
      </c>
      <c r="M419" s="28">
        <f>IF(SUMIF($A$4:$A417,$A419,M$4:M417)=0,"",SUMIF($A$4:$A417,$A419,M$4:M417))</f>
        <v>6</v>
      </c>
      <c r="N419" s="28">
        <f>IF(SUMIF($A$4:$A417,$A419,N$4:N417)=0,"",SUMIF($A$4:$A417,$A419,N$4:N417))</f>
        <v>8</v>
      </c>
      <c r="O419" s="28">
        <f>IF(SUMIF($A$4:$A417,$A419,O$4:O417)=0,"",SUMIF($A$4:$A417,$A419,O$4:O417))</f>
        <v>8</v>
      </c>
      <c r="P419" s="34"/>
      <c r="Q419" s="34" t="str">
        <f>IF(SUMIF($A$4:$A417,$A419,Q$4:Q417)=0,"",SUMIF($A$4:$A417,$A419,Q$4:Q417))</f>
        <v/>
      </c>
      <c r="R419" s="28">
        <f>IF(SUMIF($A$4:$A417,$A419,R$4:R417)=0,"",SUMIF($A$4:$A417,$A419,R$4:R417))</f>
        <v>8</v>
      </c>
      <c r="S419" s="28">
        <f>IF(SUMIF($A$4:$A417,$A419,S$4:S417)=0,"",SUMIF($A$4:$A417,$A419,S$4:S417))</f>
        <v>8</v>
      </c>
      <c r="T419" s="28">
        <f>IF(SUMIF($A$4:$A417,$A419,T$4:T417)=0,"",SUMIF($A$4:$A417,$A419,T$4:T417))</f>
        <v>8</v>
      </c>
      <c r="U419" s="28">
        <f>IF(SUMIF($A$4:$A417,$A419,U$4:U417)=0,"",SUMIF($A$4:$A417,$A419,U$4:U417))</f>
        <v>7</v>
      </c>
      <c r="V419" s="28">
        <f>IF(SUMIF($A$4:$A417,$A419,V$4:V417)=0,"",SUMIF($A$4:$A417,$A419,V$4:V417))</f>
        <v>8</v>
      </c>
      <c r="W419" s="28">
        <f>IF(SUMIF($A$4:$A417,$A419,W$4:W417)=0,"",SUMIF($A$4:$A417,$A419,W$4:W417))</f>
        <v>8</v>
      </c>
      <c r="X419" s="28">
        <f>IF(SUMIF($A$4:$A417,$A419,X$4:X417)=0,"",SUMIF($A$4:$A417,$A419,X$4:X417))</f>
        <v>8</v>
      </c>
      <c r="Y419" s="28">
        <f>IF(SUMIF($A$4:$A417,$A419,Y$4:Y417)=0,"",SUMIF($A$4:$A417,$A419,Y$4:Y417))</f>
        <v>8</v>
      </c>
      <c r="Z419" s="28">
        <f>IF(SUMIF($A$4:$A417,$A419,Z$4:Z417)=0,"",SUMIF($A$4:$A417,$A419,Z$4:Z417))</f>
        <v>8</v>
      </c>
      <c r="AA419" s="28">
        <f>IF(SUMIF($A$4:$A417,$A419,AA$4:AA417)=0,"",SUMIF($A$4:$A417,$A419,AA$4:AA417))</f>
        <v>8</v>
      </c>
      <c r="AB419" s="28">
        <f>IF(SUMIF($A$4:$A417,$A419,AB$4:AB417)=0,"",SUMIF($A$4:$A417,$A419,AB$4:AB417))</f>
        <v>8</v>
      </c>
      <c r="AC419" s="28">
        <f>IF(SUMIF($A$4:$A417,$A419,AC$4:AC417)=0,"",SUMIF($A$4:$A417,$A419,AC$4:AC417))</f>
        <v>7</v>
      </c>
      <c r="AD419" s="28">
        <f>IF(SUMIF($A$4:$A417,$A419,AD$4:AD417)=0,"",SUMIF($A$4:$A417,$A419,AD$4:AD417))</f>
        <v>8</v>
      </c>
      <c r="AE419" s="28">
        <f>IF(SUMIF($A$4:$A417,$A419,AE$4:AE417)=0,"",SUMIF($A$4:$A417,$A419,AE$4:AE417))</f>
        <v>8</v>
      </c>
      <c r="AF419" s="34" t="str">
        <f>IF(SUMIF($A$4:$A417,$A419,AF$4:AF417)=0,"",SUMIF($A$4:$A417,$A419,AF$4:AF417))</f>
        <v/>
      </c>
      <c r="AG419" s="28">
        <f>IF(SUMIF($A$4:$A417,$A419,AG$4:AG417)=0,"",SUMIF($A$4:$A417,$A419,AG$4:AG417))</f>
        <v>8</v>
      </c>
      <c r="AH419" s="28" t="str">
        <f>IF(SUMIF($A$4:$A417,$A419,AH$4:AH417)=0,"",SUMIF($A$4:$A417,$A419,AH$4:AH417))</f>
        <v/>
      </c>
      <c r="AI419" s="28" t="str">
        <f>IF(SUMIF($A$4:$A417,$A419,AI$4:AI417)=0,"",SUMIF($A$4:$A417,$A419,AI$4:AI417))</f>
        <v/>
      </c>
      <c r="AJ419" s="28" t="str">
        <f>IF(SUMIF($A$4:$A417,$A419,AJ$4:AJ417)=0,"",SUMIF($A$4:$A417,$A419,AJ$4:AJ417))</f>
        <v/>
      </c>
      <c r="AK419" s="34" t="str">
        <f>IF(SUMIF($A$4:$A417,$A419,AK$4:AK417)=0,"",SUMIF($A$4:$A417,$A419,AK$4:AK417))</f>
        <v/>
      </c>
      <c r="AL419" s="28" t="str">
        <f>IF(SUMIF($A$4:$A417,$A419,AL$4:AL417)=0,"",SUMIF($A$4:$A417,$A419,AL$4:AL417))</f>
        <v/>
      </c>
      <c r="AM419" s="28" t="str">
        <f>IF(SUMIF($A$4:$A417,$A419,AM$4:AM417)=0,"",SUMIF($A$4:$A417,$A419,AM$4:AM417))</f>
        <v/>
      </c>
      <c r="AN419" s="34" t="str">
        <f>IF(SUMIF($A$4:$A417,$A419,AN$4:AN417)=0,"",SUMIF($A$4:$A417,$A419,AN$4:AN417))</f>
        <v/>
      </c>
      <c r="AO419" s="28" t="str">
        <f>IF(SUMIF($A$4:$A417,$A419,AO$4:AO417)=0,"",SUMIF($A$4:$A417,$A419,AO$4:AO417))</f>
        <v/>
      </c>
      <c r="AP419" s="28" t="str">
        <f>IF(SUMIF($A$4:$A417,$A419,AP$4:AP417)=0,"",SUMIF($A$4:$A417,$A419,AP$4:AP417))</f>
        <v/>
      </c>
      <c r="AQ419" s="34" t="str">
        <f>IF(SUMIF($A$4:$A417,$A419,AQ$4:AQ417)=0,"",SUMIF($A$4:$A417,$A419,AQ$4:AQ417))</f>
        <v/>
      </c>
      <c r="AR419" s="28" t="str">
        <f>IF(SUMIF($A$4:$A417,$A419,AR$4:AR417)=0,"",SUMIF($A$4:$A417,$A419,AR$4:AR417))</f>
        <v/>
      </c>
      <c r="AS419" s="28" t="str">
        <f>IF(SUMIF($A$4:$A417,$A419,AS$4:AS417)=0,"",SUMIF($A$4:$A417,$A419,AS$4:AS417))</f>
        <v/>
      </c>
      <c r="AT419" s="28" t="str">
        <f>IF(SUMIF($A$4:$A417,$A419,AT$4:AT417)=0,"",SUMIF($A$4:$A417,$A419,AT$4:AT417))</f>
        <v/>
      </c>
    </row>
    <row r="420" spans="1:46">
      <c r="A420" s="207" t="s">
        <v>3</v>
      </c>
      <c r="B420" s="50"/>
      <c r="C420" s="28"/>
      <c r="D420" s="28"/>
      <c r="E420" s="28"/>
      <c r="F420" s="28"/>
      <c r="G420" s="28"/>
      <c r="H420" s="28">
        <f>IF(SUMIF($A$4:$A418,$A420,H$4:H418)=0,"",SUMIF($A$4:$A418,$A420,H$4:H418))</f>
        <v>4</v>
      </c>
      <c r="I420" s="28">
        <f>IF(SUMIF($A$4:$A418,$A420,I$4:I418)=0,"",SUMIF($A$4:$A418,$A420,I$4:I418))</f>
        <v>3</v>
      </c>
      <c r="J420" s="28">
        <f>IF(SUMIF($A$4:$A418,$A420,J$4:J418)=0,"",SUMIF($A$4:$A418,$A420,J$4:J418))</f>
        <v>4</v>
      </c>
      <c r="K420" s="28">
        <f>IF(SUMIF($A$4:$A418,$A420,K$4:K418)=0,"",SUMIF($A$4:$A418,$A420,K$4:K418))</f>
        <v>4</v>
      </c>
      <c r="L420" s="28">
        <f>IF(SUMIF($A$4:$A418,$A420,L$4:L418)=0,"",SUMIF($A$4:$A418,$A420,L$4:L418))</f>
        <v>2</v>
      </c>
      <c r="M420" s="28">
        <f>IF(SUMIF($A$4:$A418,$A420,M$4:M418)=0,"",SUMIF($A$4:$A418,$A420,M$4:M418))</f>
        <v>3</v>
      </c>
      <c r="N420" s="28">
        <f>IF(SUMIF($A$4:$A418,$A420,N$4:N418)=0,"",SUMIF($A$4:$A418,$A420,N$4:N418))</f>
        <v>5</v>
      </c>
      <c r="O420" s="28">
        <f>IF(SUMIF($A$4:$A418,$A420,O$4:O418)=0,"",SUMIF($A$4:$A418,$A420,O$4:O418))</f>
        <v>1</v>
      </c>
      <c r="P420" s="34"/>
      <c r="Q420" s="34" t="str">
        <f>IF(SUMIF($A$4:$A418,$A420,Q$4:Q418)=0,"",SUMIF($A$4:$A418,$A420,Q$4:Q418))</f>
        <v/>
      </c>
      <c r="R420" s="28">
        <f>IF(SUMIF($A$4:$A418,$A420,R$4:R418)=0,"",SUMIF($A$4:$A418,$A420,R$4:R418))</f>
        <v>5</v>
      </c>
      <c r="S420" s="28">
        <f>IF(SUMIF($A$4:$A418,$A420,S$4:S418)=0,"",SUMIF($A$4:$A418,$A420,S$4:S418))</f>
        <v>5</v>
      </c>
      <c r="T420" s="28">
        <f>IF(SUMIF($A$4:$A418,$A420,T$4:T418)=0,"",SUMIF($A$4:$A418,$A420,T$4:T418))</f>
        <v>2</v>
      </c>
      <c r="U420" s="28">
        <f>IF(SUMIF($A$4:$A418,$A420,U$4:U418)=0,"",SUMIF($A$4:$A418,$A420,U$4:U418))</f>
        <v>2</v>
      </c>
      <c r="V420" s="28">
        <f>IF(SUMIF($A$4:$A418,$A420,V$4:V418)=0,"",SUMIF($A$4:$A418,$A420,V$4:V418))</f>
        <v>7</v>
      </c>
      <c r="W420" s="28">
        <f>IF(SUMIF($A$4:$A418,$A420,W$4:W418)=0,"",SUMIF($A$4:$A418,$A420,W$4:W418))</f>
        <v>1</v>
      </c>
      <c r="X420" s="28">
        <f>IF(SUMIF($A$4:$A418,$A420,X$4:X418)=0,"",SUMIF($A$4:$A418,$A420,X$4:X418))</f>
        <v>5</v>
      </c>
      <c r="Y420" s="28">
        <f>IF(SUMIF($A$4:$A418,$A420,Y$4:Y418)=0,"",SUMIF($A$4:$A418,$A420,Y$4:Y418))</f>
        <v>9</v>
      </c>
      <c r="Z420" s="28">
        <f>IF(SUMIF($A$4:$A418,$A420,Z$4:Z418)=0,"",SUMIF($A$4:$A418,$A420,Z$4:Z418))</f>
        <v>4</v>
      </c>
      <c r="AA420" s="28">
        <f>IF(SUMIF($A$4:$A418,$A420,AA$4:AA418)=0,"",SUMIF($A$4:$A418,$A420,AA$4:AA418))</f>
        <v>5</v>
      </c>
      <c r="AB420" s="28">
        <f>IF(SUMIF($A$4:$A418,$A420,AB$4:AB418)=0,"",SUMIF($A$4:$A418,$A420,AB$4:AB418))</f>
        <v>4</v>
      </c>
      <c r="AC420" s="28">
        <f>IF(SUMIF($A$4:$A418,$A420,AC$4:AC418)=0,"",SUMIF($A$4:$A418,$A420,AC$4:AC418))</f>
        <v>4</v>
      </c>
      <c r="AD420" s="28">
        <f>IF(SUMIF($A$4:$A418,$A420,AD$4:AD418)=0,"",SUMIF($A$4:$A418,$A420,AD$4:AD418))</f>
        <v>5</v>
      </c>
      <c r="AE420" s="28">
        <f>IF(SUMIF($A$4:$A418,$A420,AE$4:AE418)=0,"",SUMIF($A$4:$A418,$A420,AE$4:AE418))</f>
        <v>5</v>
      </c>
      <c r="AF420" s="34" t="str">
        <f>IF(SUMIF($A$4:$A418,$A420,AF$4:AF418)=0,"",SUMIF($A$4:$A418,$A420,AF$4:AF418))</f>
        <v/>
      </c>
      <c r="AG420" s="28">
        <f>IF(SUMIF($A$4:$A418,$A420,AG$4:AG418)=0,"",SUMIF($A$4:$A418,$A420,AG$4:AG418))</f>
        <v>8</v>
      </c>
      <c r="AH420" s="28" t="str">
        <f>IF(SUMIF($A$4:$A418,$A420,AH$4:AH418)=0,"",SUMIF($A$4:$A418,$A420,AH$4:AH418))</f>
        <v/>
      </c>
      <c r="AI420" s="28" t="str">
        <f>IF(SUMIF($A$4:$A418,$A420,AI$4:AI418)=0,"",SUMIF($A$4:$A418,$A420,AI$4:AI418))</f>
        <v/>
      </c>
      <c r="AJ420" s="28" t="str">
        <f>IF(SUMIF($A$4:$A418,$A420,AJ$4:AJ418)=0,"",SUMIF($A$4:$A418,$A420,AJ$4:AJ418))</f>
        <v/>
      </c>
      <c r="AK420" s="34" t="str">
        <f>IF(SUMIF($A$4:$A418,$A420,AK$4:AK418)=0,"",SUMIF($A$4:$A418,$A420,AK$4:AK418))</f>
        <v/>
      </c>
      <c r="AL420" s="28" t="str">
        <f>IF(SUMIF($A$4:$A418,$A420,AL$4:AL418)=0,"",SUMIF($A$4:$A418,$A420,AL$4:AL418))</f>
        <v/>
      </c>
      <c r="AM420" s="28" t="str">
        <f>IF(SUMIF($A$4:$A418,$A420,AM$4:AM418)=0,"",SUMIF($A$4:$A418,$A420,AM$4:AM418))</f>
        <v/>
      </c>
      <c r="AN420" s="34" t="str">
        <f>IF(SUMIF($A$4:$A418,$A420,AN$4:AN418)=0,"",SUMIF($A$4:$A418,$A420,AN$4:AN418))</f>
        <v/>
      </c>
      <c r="AO420" s="28" t="str">
        <f>IF(SUMIF($A$4:$A418,$A420,AO$4:AO418)=0,"",SUMIF($A$4:$A418,$A420,AO$4:AO418))</f>
        <v/>
      </c>
      <c r="AP420" s="28" t="str">
        <f>IF(SUMIF($A$4:$A418,$A420,AP$4:AP418)=0,"",SUMIF($A$4:$A418,$A420,AP$4:AP418))</f>
        <v/>
      </c>
      <c r="AQ420" s="34" t="str">
        <f>IF(SUMIF($A$4:$A418,$A420,AQ$4:AQ418)=0,"",SUMIF($A$4:$A418,$A420,AQ$4:AQ418))</f>
        <v/>
      </c>
      <c r="AR420" s="28" t="str">
        <f>IF(SUMIF($A$4:$A418,$A420,AR$4:AR418)=0,"",SUMIF($A$4:$A418,$A420,AR$4:AR418))</f>
        <v/>
      </c>
      <c r="AS420" s="28" t="str">
        <f>IF(SUMIF($A$4:$A418,$A420,AS$4:AS418)=0,"",SUMIF($A$4:$A418,$A420,AS$4:AS418))</f>
        <v/>
      </c>
      <c r="AT420" s="28" t="str">
        <f>IF(SUMIF($A$4:$A418,$A420,AT$4:AT418)=0,"",SUMIF($A$4:$A418,$A420,AT$4:AT418))</f>
        <v/>
      </c>
    </row>
    <row r="421" spans="1:46" ht="14.95" thickBot="1">
      <c r="A421" s="208" t="s">
        <v>4</v>
      </c>
      <c r="B421" s="51"/>
      <c r="C421" s="36"/>
      <c r="D421" s="36"/>
      <c r="E421" s="36"/>
      <c r="F421" s="36"/>
      <c r="G421" s="36"/>
      <c r="H421" s="36">
        <f>IF(SUMIF($A$4:$A419,$A421,H$4:H419)=0,"",SUMIF($A$4:$A419,$A421,H$4:H419))</f>
        <v>20</v>
      </c>
      <c r="I421" s="36">
        <f>IF(SUMIF($A$4:$A419,$A421,I$4:I419)=0,"",SUMIF($A$4:$A419,$A421,I$4:I419))</f>
        <v>25</v>
      </c>
      <c r="J421" s="36">
        <f>IF(SUMIF($A$4:$A419,$A421,J$4:J419)=0,"",SUMIF($A$4:$A419,$A421,J$4:J419))</f>
        <v>24</v>
      </c>
      <c r="K421" s="36">
        <f>IF(SUMIF($A$4:$A419,$A421,K$4:K419)=0,"",SUMIF($A$4:$A419,$A421,K$4:K419))</f>
        <v>29</v>
      </c>
      <c r="L421" s="36">
        <f>IF(SUMIF($A$4:$A419,$A421,L$4:L419)=0,"",SUMIF($A$4:$A419,$A421,L$4:L419))</f>
        <v>26</v>
      </c>
      <c r="M421" s="36">
        <f>IF(SUMIF($A$4:$A419,$A421,M$4:M419)=0,"",SUMIF($A$4:$A419,$A421,M$4:M419))</f>
        <v>22</v>
      </c>
      <c r="N421" s="36">
        <f>IF(SUMIF($A$4:$A419,$A421,N$4:N419)=0,"",SUMIF($A$4:$A419,$A421,N$4:N419))</f>
        <v>36</v>
      </c>
      <c r="O421" s="36">
        <f>IF(SUMIF($A$4:$A419,$A421,O$4:O419)=0,"",SUMIF($A$4:$A419,$A421,O$4:O419))</f>
        <v>10</v>
      </c>
      <c r="P421" s="37"/>
      <c r="Q421" s="37" t="str">
        <f>IF(SUMIF($A$4:$A419,$A421,Q$4:Q419)=0,"",SUMIF($A$4:$A419,$A421,Q$4:Q419))</f>
        <v/>
      </c>
      <c r="R421" s="36">
        <f>IF(SUMIF($A$4:$A419,$A421,R$4:R419)=0,"",SUMIF($A$4:$A419,$A421,R$4:R419))</f>
        <v>34</v>
      </c>
      <c r="S421" s="36">
        <f>IF(SUMIF($A$4:$A419,$A421,S$4:S419)=0,"",SUMIF($A$4:$A419,$A421,S$4:S419))</f>
        <v>39</v>
      </c>
      <c r="T421" s="36">
        <f>IF(SUMIF($A$4:$A419,$A421,T$4:T419)=0,"",SUMIF($A$4:$A419,$A421,T$4:T419))</f>
        <v>20</v>
      </c>
      <c r="U421" s="36">
        <f>IF(SUMIF($A$4:$A419,$A421,U$4:U419)=0,"",SUMIF($A$4:$A419,$A421,U$4:U419))</f>
        <v>15</v>
      </c>
      <c r="V421" s="36">
        <f>IF(SUMIF($A$4:$A419,$A421,V$4:V419)=0,"",SUMIF($A$4:$A419,$A421,V$4:V419))</f>
        <v>45</v>
      </c>
      <c r="W421" s="36">
        <f>IF(SUMIF($A$4:$A419,$A421,W$4:W419)=0,"",SUMIF($A$4:$A419,$A421,W$4:W419))</f>
        <v>10</v>
      </c>
      <c r="X421" s="36">
        <f>IF(SUMIF($A$4:$A419,$A421,X$4:X419)=0,"",SUMIF($A$4:$A419,$A421,X$4:X419))</f>
        <v>36</v>
      </c>
      <c r="Y421" s="36">
        <f>IF(SUMIF($A$4:$A419,$A421,Y$4:Y419)=0,"",SUMIF($A$4:$A419,$A421,Y$4:Y419))</f>
        <v>57</v>
      </c>
      <c r="Z421" s="36">
        <f>IF(SUMIF($A$4:$A419,$A421,Z$4:Z419)=0,"",SUMIF($A$4:$A419,$A421,Z$4:Z419))</f>
        <v>26</v>
      </c>
      <c r="AA421" s="36">
        <f>IF(SUMIF($A$4:$A419,$A421,AA$4:AA419)=0,"",SUMIF($A$4:$A419,$A421,AA$4:AA419))</f>
        <v>34</v>
      </c>
      <c r="AB421" s="36">
        <f>IF(SUMIF($A$4:$A419,$A421,AB$4:AB419)=0,"",SUMIF($A$4:$A419,$A421,AB$4:AB419))</f>
        <v>22</v>
      </c>
      <c r="AC421" s="36">
        <f>IF(SUMIF($A$4:$A419,$A421,AC$4:AC419)=0,"",SUMIF($A$4:$A419,$A421,AC$4:AC419))</f>
        <v>28</v>
      </c>
      <c r="AD421" s="36">
        <f>IF(SUMIF($A$4:$A419,$A421,AD$4:AD419)=0,"",SUMIF($A$4:$A419,$A421,AD$4:AD419))</f>
        <v>31</v>
      </c>
      <c r="AE421" s="36">
        <f>IF(SUMIF($A$4:$A419,$A421,AE$4:AE419)=0,"",SUMIF($A$4:$A419,$A421,AE$4:AE419))</f>
        <v>33</v>
      </c>
      <c r="AF421" s="37" t="str">
        <f>IF(SUMIF($A$4:$A419,$A421,AF$4:AF419)=0,"",SUMIF($A$4:$A419,$A421,AF$4:AF419))</f>
        <v/>
      </c>
      <c r="AG421" s="36">
        <f>IF(SUMIF($A$4:$A419,$A421,AG$4:AG419)=0,"",SUMIF($A$4:$A419,$A421,AG$4:AG419))</f>
        <v>46</v>
      </c>
      <c r="AH421" s="36" t="str">
        <f>IF(SUMIF($A$4:$A419,$A421,AH$4:AH419)=0,"",SUMIF($A$4:$A419,$A421,AH$4:AH419))</f>
        <v/>
      </c>
      <c r="AI421" s="36" t="str">
        <f>IF(SUMIF($A$4:$A419,$A421,AI$4:AI419)=0,"",SUMIF($A$4:$A419,$A421,AI$4:AI419))</f>
        <v/>
      </c>
      <c r="AJ421" s="36" t="str">
        <f>IF(SUMIF($A$4:$A419,$A421,AJ$4:AJ419)=0,"",SUMIF($A$4:$A419,$A421,AJ$4:AJ419))</f>
        <v/>
      </c>
      <c r="AK421" s="37" t="str">
        <f>IF(SUMIF($A$4:$A419,$A421,AK$4:AK419)=0,"",SUMIF($A$4:$A419,$A421,AK$4:AK419))</f>
        <v/>
      </c>
      <c r="AL421" s="36" t="str">
        <f>IF(SUMIF($A$4:$A419,$A421,AL$4:AL419)=0,"",SUMIF($A$4:$A419,$A421,AL$4:AL419))</f>
        <v/>
      </c>
      <c r="AM421" s="36" t="str">
        <f>IF(SUMIF($A$4:$A419,$A421,AM$4:AM419)=0,"",SUMIF($A$4:$A419,$A421,AM$4:AM419))</f>
        <v/>
      </c>
      <c r="AN421" s="37" t="str">
        <f>IF(SUMIF($A$4:$A419,$A421,AN$4:AN419)=0,"",SUMIF($A$4:$A419,$A421,AN$4:AN419))</f>
        <v/>
      </c>
      <c r="AO421" s="36" t="str">
        <f>IF(SUMIF($A$4:$A419,$A421,AO$4:AO419)=0,"",SUMIF($A$4:$A419,$A421,AO$4:AO419))</f>
        <v/>
      </c>
      <c r="AP421" s="36" t="str">
        <f>IF(SUMIF($A$4:$A419,$A421,AP$4:AP419)=0,"",SUMIF($A$4:$A419,$A421,AP$4:AP419))</f>
        <v/>
      </c>
      <c r="AQ421" s="37" t="str">
        <f>IF(SUMIF($A$4:$A419,$A421,AQ$4:AQ419)=0,"",SUMIF($A$4:$A419,$A421,AQ$4:AQ419))</f>
        <v/>
      </c>
      <c r="AR421" s="36" t="str">
        <f>IF(SUMIF($A$4:$A419,$A421,AR$4:AR419)=0,"",SUMIF($A$4:$A419,$A421,AR$4:AR419))</f>
        <v/>
      </c>
      <c r="AS421" s="36" t="str">
        <f>IF(SUMIF($A$4:$A419,$A421,AS$4:AS419)=0,"",SUMIF($A$4:$A419,$A421,AS$4:AS419))</f>
        <v/>
      </c>
      <c r="AT421" s="36" t="str">
        <f>IF(SUMIF($A$4:$A419,$A421,AT$4:AT419)=0,"",SUMIF($A$4:$A419,$A421,AT$4:AT419))</f>
        <v/>
      </c>
    </row>
    <row r="422" spans="1:46">
      <c r="A422" s="2"/>
      <c r="S422" s="15"/>
      <c r="T422" s="15"/>
    </row>
    <row r="423" spans="1:46" ht="16.3">
      <c r="A423" s="528" t="s">
        <v>7</v>
      </c>
    </row>
    <row r="424" spans="1:46">
      <c r="A424" s="2"/>
    </row>
    <row r="425" spans="1:46">
      <c r="A425" s="2"/>
    </row>
    <row r="426" spans="1:46">
      <c r="A426" s="2"/>
    </row>
    <row r="427" spans="1:46">
      <c r="A427" s="2"/>
    </row>
    <row r="428" spans="1:46">
      <c r="A428" s="2"/>
    </row>
    <row r="429" spans="1:46">
      <c r="A429" s="2"/>
    </row>
    <row r="430" spans="1:46">
      <c r="A430" s="2"/>
    </row>
    <row r="431" spans="1:46">
      <c r="A431" s="2"/>
    </row>
  </sheetData>
  <mergeCells count="8">
    <mergeCell ref="B410:C410"/>
    <mergeCell ref="D410:E410"/>
    <mergeCell ref="F410:G410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C11 D5:E6 D12:D13 D19:D20 D37 C212:E217 D15:D17 C77:E77 D8 E8:F11 C7:F7 E43 E30 C131:E131 C123:D128 C129:C130 C142:E142 C140:C141 C132:D135 C169:E181 C164:D168 C194:E210 C182:D186 C246:D256 C219:E245 C218:D218 C295:E298 C292 C289:D291 C293:D294 E291 C353:E355 C351:C352 D351 C399:E406 C356:D358 E358 C261:E267 C257:C258 C259:D260 E258 C300:E338 C299 C122:E122 C113:D119 C78 C151:E154 C143:D147 C148:C150 C120:C121 C112:E112 C110:C111 E110:E111 D110 E148 E145 C157:E159 C155:C156 C279:E284 C277:C278 C346:E350 C343 C339:D341 C344:D345 C187:E187 C192:D193 C188:D190 C286:E288 C285 C273:E276 C268:D272 C79:E85 C87:E87 C86 C90:E109 C88:C89 D88 D413:D416 C388:E397 C359:C363 E248 C136:C138 C364:E381 C160:D16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V434"/>
  <sheetViews>
    <sheetView workbookViewId="0">
      <pane xSplit="7" ySplit="3" topLeftCell="W103" activePane="bottomRight" state="frozen"/>
      <selection pane="topRight" activeCell="H1" sqref="H1"/>
      <selection pane="bottomLeft" activeCell="A4" sqref="A4"/>
      <selection pane="bottomRight" activeCell="Y107" sqref="Y107"/>
    </sheetView>
  </sheetViews>
  <sheetFormatPr defaultColWidth="8.875" defaultRowHeight="14.3"/>
  <cols>
    <col min="1" max="1" width="57.375" bestFit="1" customWidth="1"/>
    <col min="2" max="7" width="5.625" customWidth="1"/>
    <col min="8" max="40" width="9.875" customWidth="1"/>
  </cols>
  <sheetData>
    <row r="1" spans="1:48" ht="17" thickBot="1">
      <c r="A1" s="916" t="s">
        <v>572</v>
      </c>
      <c r="B1" s="919" t="s">
        <v>347</v>
      </c>
      <c r="C1" s="920"/>
      <c r="D1" s="920"/>
      <c r="E1" s="920"/>
      <c r="F1" s="920"/>
      <c r="G1" s="921"/>
      <c r="H1" s="22" t="s">
        <v>529</v>
      </c>
      <c r="I1" s="22" t="s">
        <v>9</v>
      </c>
      <c r="J1" s="22" t="s">
        <v>562</v>
      </c>
      <c r="K1" s="22" t="s">
        <v>563</v>
      </c>
      <c r="L1" s="22" t="s">
        <v>564</v>
      </c>
      <c r="M1" s="22" t="s">
        <v>565</v>
      </c>
      <c r="N1" s="22" t="s">
        <v>566</v>
      </c>
      <c r="O1" s="22" t="s">
        <v>435</v>
      </c>
      <c r="P1" s="22" t="s">
        <v>9</v>
      </c>
      <c r="Q1" s="22" t="s">
        <v>436</v>
      </c>
      <c r="R1" s="22" t="s">
        <v>536</v>
      </c>
      <c r="S1" s="22" t="s">
        <v>537</v>
      </c>
      <c r="T1" s="22" t="s">
        <v>866</v>
      </c>
      <c r="U1" s="1" t="s">
        <v>867</v>
      </c>
      <c r="V1" s="22" t="s">
        <v>538</v>
      </c>
      <c r="W1" s="22" t="s">
        <v>539</v>
      </c>
      <c r="X1" s="22" t="s">
        <v>540</v>
      </c>
      <c r="Y1" s="1" t="s">
        <v>914</v>
      </c>
      <c r="Z1" s="1" t="s">
        <v>915</v>
      </c>
      <c r="AA1" s="22" t="s">
        <v>541</v>
      </c>
      <c r="AB1" s="22" t="s">
        <v>542</v>
      </c>
      <c r="AC1" s="22" t="s">
        <v>543</v>
      </c>
      <c r="AD1" s="22" t="s">
        <v>9</v>
      </c>
      <c r="AE1" s="22" t="s">
        <v>544</v>
      </c>
      <c r="AF1" s="22" t="s">
        <v>545</v>
      </c>
      <c r="AG1" s="22" t="s">
        <v>9</v>
      </c>
      <c r="AH1" s="22" t="s">
        <v>9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917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41153</v>
      </c>
      <c r="I2" s="56">
        <v>43709</v>
      </c>
      <c r="J2" s="4">
        <v>46266</v>
      </c>
      <c r="K2" s="4">
        <v>38261</v>
      </c>
      <c r="L2" s="5">
        <v>40452</v>
      </c>
      <c r="M2" s="5">
        <v>43009</v>
      </c>
      <c r="N2" s="5">
        <v>45931</v>
      </c>
      <c r="O2" s="42">
        <v>48122</v>
      </c>
      <c r="P2" s="56">
        <v>39753</v>
      </c>
      <c r="Q2" s="41">
        <v>42309</v>
      </c>
      <c r="R2" s="41">
        <v>44866</v>
      </c>
      <c r="S2" s="4">
        <v>47423</v>
      </c>
      <c r="T2" s="616">
        <v>39052</v>
      </c>
      <c r="U2" s="616">
        <v>41609</v>
      </c>
      <c r="V2" s="4">
        <v>44531</v>
      </c>
      <c r="W2" s="4">
        <v>10197</v>
      </c>
      <c r="X2" s="5">
        <v>37257</v>
      </c>
      <c r="Y2" s="616">
        <v>40179</v>
      </c>
      <c r="Z2" s="616">
        <v>42370</v>
      </c>
      <c r="AA2" s="4">
        <v>45292</v>
      </c>
      <c r="AB2" s="41">
        <v>47484</v>
      </c>
      <c r="AC2" s="41">
        <v>38749</v>
      </c>
      <c r="AD2" s="56">
        <v>41671</v>
      </c>
      <c r="AE2" s="41">
        <v>43862</v>
      </c>
      <c r="AF2" s="41">
        <v>46784</v>
      </c>
      <c r="AG2" s="56">
        <v>39508</v>
      </c>
      <c r="AH2" s="56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918"/>
      <c r="B3" s="63" t="s">
        <v>824</v>
      </c>
      <c r="C3" s="64" t="s">
        <v>349</v>
      </c>
      <c r="D3" s="63" t="s">
        <v>824</v>
      </c>
      <c r="E3" s="61" t="s">
        <v>349</v>
      </c>
      <c r="F3" s="63" t="s">
        <v>824</v>
      </c>
      <c r="G3" s="70" t="s">
        <v>349</v>
      </c>
      <c r="H3" s="7" t="s">
        <v>391</v>
      </c>
      <c r="I3" s="7"/>
      <c r="J3" s="546" t="s">
        <v>388</v>
      </c>
      <c r="K3" s="80" t="s">
        <v>722</v>
      </c>
      <c r="L3" s="577" t="s">
        <v>392</v>
      </c>
      <c r="M3" s="81" t="s">
        <v>639</v>
      </c>
      <c r="N3" s="577" t="s">
        <v>395</v>
      </c>
      <c r="O3" s="81" t="s">
        <v>652</v>
      </c>
      <c r="P3" s="7"/>
      <c r="Q3" s="11" t="s">
        <v>694</v>
      </c>
      <c r="R3" s="74" t="s">
        <v>396</v>
      </c>
      <c r="S3" s="21" t="s">
        <v>652</v>
      </c>
      <c r="T3" s="11" t="s">
        <v>862</v>
      </c>
      <c r="U3" s="286" t="s">
        <v>887</v>
      </c>
      <c r="V3" s="21" t="s">
        <v>687</v>
      </c>
      <c r="W3" s="10" t="s">
        <v>700</v>
      </c>
      <c r="X3" s="9" t="s">
        <v>680</v>
      </c>
      <c r="Y3" s="9" t="s">
        <v>947</v>
      </c>
      <c r="Z3" s="10" t="s">
        <v>948</v>
      </c>
      <c r="AA3" s="10" t="s">
        <v>396</v>
      </c>
      <c r="AB3" s="23" t="s">
        <v>388</v>
      </c>
      <c r="AC3" s="11" t="s">
        <v>403</v>
      </c>
      <c r="AD3" s="21"/>
      <c r="AE3" s="21" t="s">
        <v>639</v>
      </c>
      <c r="AF3" s="10" t="s">
        <v>395</v>
      </c>
      <c r="AG3" s="9"/>
      <c r="AH3" s="9"/>
      <c r="AI3" s="6"/>
      <c r="AJ3" s="10"/>
      <c r="AK3" s="55"/>
      <c r="AL3" s="54"/>
      <c r="AM3" s="23"/>
      <c r="AN3" s="10"/>
      <c r="AO3" s="55"/>
      <c r="AP3" s="9"/>
      <c r="AQ3" s="9"/>
      <c r="AR3" s="465"/>
      <c r="AS3" s="10"/>
      <c r="AT3" s="9"/>
      <c r="AV3" s="465"/>
    </row>
    <row r="4" spans="1:48" ht="21.1">
      <c r="A4" s="86" t="s">
        <v>723</v>
      </c>
      <c r="B4" s="289"/>
      <c r="C4" s="132"/>
      <c r="D4" s="133"/>
      <c r="E4" s="134"/>
      <c r="F4" s="135"/>
      <c r="G4" s="136"/>
      <c r="H4" s="481" t="s">
        <v>344</v>
      </c>
      <c r="I4" s="163"/>
      <c r="J4" s="75" t="s">
        <v>719</v>
      </c>
      <c r="K4" s="75" t="s">
        <v>724</v>
      </c>
      <c r="L4" s="75"/>
      <c r="M4" s="75" t="s">
        <v>367</v>
      </c>
      <c r="N4" s="75"/>
      <c r="O4" s="96"/>
      <c r="P4" s="163"/>
      <c r="Q4" s="99"/>
      <c r="R4" s="97"/>
      <c r="S4" s="100" t="s">
        <v>383</v>
      </c>
      <c r="T4" s="142" t="s">
        <v>339</v>
      </c>
      <c r="U4" s="142" t="s">
        <v>339</v>
      </c>
      <c r="V4" s="102" t="s">
        <v>339</v>
      </c>
      <c r="W4" s="102" t="s">
        <v>339</v>
      </c>
      <c r="X4" s="102" t="s">
        <v>339</v>
      </c>
      <c r="Y4" s="138" t="s">
        <v>339</v>
      </c>
      <c r="Z4" s="138" t="s">
        <v>339</v>
      </c>
      <c r="AA4" s="122" t="s">
        <v>339</v>
      </c>
      <c r="AB4" s="97" t="s">
        <v>339</v>
      </c>
      <c r="AC4" s="99" t="s">
        <v>339</v>
      </c>
      <c r="AD4" s="98"/>
      <c r="AE4" s="99"/>
      <c r="AF4" s="99"/>
      <c r="AG4" s="98"/>
      <c r="AH4" s="98"/>
      <c r="AI4" s="102"/>
      <c r="AJ4" s="102"/>
      <c r="AK4" s="101"/>
      <c r="AL4" s="101"/>
      <c r="AM4" s="102"/>
      <c r="AN4" s="102"/>
      <c r="AO4" s="102"/>
      <c r="AP4" s="102"/>
      <c r="AQ4" s="102"/>
      <c r="AR4" s="102"/>
      <c r="AS4" s="102"/>
      <c r="AT4" s="102"/>
      <c r="AU4" s="466"/>
      <c r="AV4" s="102"/>
    </row>
    <row r="5" spans="1:48" ht="16.3">
      <c r="A5" s="246" t="s">
        <v>1</v>
      </c>
      <c r="B5" s="292">
        <f>SUM(J5+K5+L5+M5+N5+S5+V5+W5+X5+AA5+AI5+AJ5+AI5+AM5+AP5+AQ5+AS5+AT5+AU5+AV5+AN5)</f>
        <v>3</v>
      </c>
      <c r="C5" s="288">
        <f>SUM(K5+L5+M5+N5+J5+S5+W5+X5+V5+AA5+AJ5+AI5+AJ5+AN5+AQ5+AP5+AT5+AU5+AV5+AS5+AM5)+22</f>
        <v>25</v>
      </c>
      <c r="D5" s="133"/>
      <c r="E5" s="134"/>
      <c r="F5" s="135"/>
      <c r="G5" s="136"/>
      <c r="H5" s="481"/>
      <c r="I5" s="105"/>
      <c r="J5" s="75"/>
      <c r="K5" s="75">
        <v>1</v>
      </c>
      <c r="L5" s="75"/>
      <c r="M5" s="75">
        <v>1</v>
      </c>
      <c r="N5" s="75"/>
      <c r="O5" s="96"/>
      <c r="P5" s="105"/>
      <c r="Q5" s="96"/>
      <c r="R5" s="96"/>
      <c r="S5" s="75">
        <v>1</v>
      </c>
      <c r="T5" s="141"/>
      <c r="U5" s="141"/>
      <c r="V5" s="75"/>
      <c r="W5" s="75"/>
      <c r="X5" s="75"/>
      <c r="Y5" s="141"/>
      <c r="Z5" s="141"/>
      <c r="AA5" s="96"/>
      <c r="AB5" s="96"/>
      <c r="AC5" s="96"/>
      <c r="AD5" s="105"/>
      <c r="AE5" s="96"/>
      <c r="AF5" s="96"/>
      <c r="AG5" s="105"/>
      <c r="AH5" s="107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168"/>
      <c r="AU5" s="477"/>
      <c r="AV5" s="477"/>
    </row>
    <row r="6" spans="1:48" ht="16.3">
      <c r="A6" s="246" t="s">
        <v>2</v>
      </c>
      <c r="B6" s="292">
        <f>SUM(J6+K6+L6+M6+N6+S6+V6+W6+X6+AA6+AI6+AJ6+AI6+AM6+AP6+AQ6+AS6+AT6+AU6+AV6)</f>
        <v>0</v>
      </c>
      <c r="C6" s="288">
        <f>SUM(K6+L6+M6+N6+J6+S6+W6+X6+V6+AA6+AJ6+AI6+AJ6+AN6+AQ6+AP6+AT6+AU6+AV6+AS6+AM6)+2</f>
        <v>2</v>
      </c>
      <c r="D6" s="133"/>
      <c r="E6" s="134"/>
      <c r="F6" s="135"/>
      <c r="G6" s="136"/>
      <c r="H6" s="481"/>
      <c r="I6" s="105"/>
      <c r="J6" s="75"/>
      <c r="K6" s="75"/>
      <c r="L6" s="75"/>
      <c r="M6" s="75"/>
      <c r="N6" s="75"/>
      <c r="O6" s="96"/>
      <c r="P6" s="105"/>
      <c r="Q6" s="96"/>
      <c r="R6" s="96"/>
      <c r="S6" s="75"/>
      <c r="T6" s="141"/>
      <c r="U6" s="141"/>
      <c r="V6" s="75"/>
      <c r="W6" s="100"/>
      <c r="X6" s="100"/>
      <c r="Y6" s="142"/>
      <c r="Z6" s="142"/>
      <c r="AA6" s="100"/>
      <c r="AB6" s="96"/>
      <c r="AC6" s="109"/>
      <c r="AD6" s="108"/>
      <c r="AE6" s="109"/>
      <c r="AF6" s="109"/>
      <c r="AG6" s="108"/>
      <c r="AH6" s="111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50"/>
      <c r="AU6" s="477"/>
      <c r="AV6" s="477"/>
    </row>
    <row r="7" spans="1:48" ht="16.3">
      <c r="A7" s="87" t="s">
        <v>363</v>
      </c>
      <c r="B7" s="289">
        <f>SUM(B5+B6)</f>
        <v>3</v>
      </c>
      <c r="C7" s="132">
        <f>SUM(C5+C6)</f>
        <v>27</v>
      </c>
      <c r="D7" s="133"/>
      <c r="E7" s="134"/>
      <c r="F7" s="135"/>
      <c r="G7" s="136"/>
      <c r="H7" s="481"/>
      <c r="I7" s="105"/>
      <c r="J7" s="75"/>
      <c r="K7" s="75"/>
      <c r="L7" s="75"/>
      <c r="M7" s="75"/>
      <c r="N7" s="75"/>
      <c r="O7" s="96"/>
      <c r="P7" s="105"/>
      <c r="Q7" s="96"/>
      <c r="R7" s="96"/>
      <c r="S7" s="75"/>
      <c r="T7" s="141"/>
      <c r="U7" s="141"/>
      <c r="V7" s="75"/>
      <c r="W7" s="100"/>
      <c r="X7" s="100"/>
      <c r="Y7" s="142"/>
      <c r="Z7" s="142"/>
      <c r="AA7" s="100"/>
      <c r="AB7" s="96"/>
      <c r="AC7" s="109"/>
      <c r="AD7" s="108"/>
      <c r="AE7" s="109"/>
      <c r="AF7" s="109"/>
      <c r="AG7" s="108"/>
      <c r="AH7" s="111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50"/>
      <c r="AU7" s="477"/>
      <c r="AV7" s="477"/>
    </row>
    <row r="8" spans="1:48" ht="16.3">
      <c r="A8" s="246" t="s">
        <v>362</v>
      </c>
      <c r="B8" s="292">
        <f>SUM(J8+K8+L8+M8+N8+S8+V8+W8+X8+AA8+AI8+AJ8+AI8+AM8+AP8+AQ8+AS8+AT8+AU8+AV8)</f>
        <v>0</v>
      </c>
      <c r="C8" s="288">
        <f>SUM(K8+L8+M8+N8+J8+S8+W8+X8+V8+AA8+AJ8+AI8+AJ8+AN8+AQ8+AP8+AT8+AU8+AV8+AS8+AM8)+3</f>
        <v>3</v>
      </c>
      <c r="D8" s="133"/>
      <c r="E8" s="134"/>
      <c r="F8" s="135"/>
      <c r="G8" s="136"/>
      <c r="H8" s="481"/>
      <c r="I8" s="105"/>
      <c r="J8" s="75"/>
      <c r="K8" s="75"/>
      <c r="L8" s="75"/>
      <c r="M8" s="75"/>
      <c r="N8" s="75"/>
      <c r="O8" s="96"/>
      <c r="P8" s="105"/>
      <c r="Q8" s="96"/>
      <c r="R8" s="96"/>
      <c r="S8" s="75"/>
      <c r="T8" s="141"/>
      <c r="U8" s="141"/>
      <c r="V8" s="75"/>
      <c r="W8" s="100"/>
      <c r="X8" s="100"/>
      <c r="Y8" s="142"/>
      <c r="Z8" s="142"/>
      <c r="AA8" s="100"/>
      <c r="AB8" s="96"/>
      <c r="AC8" s="109"/>
      <c r="AD8" s="108"/>
      <c r="AE8" s="109"/>
      <c r="AF8" s="109"/>
      <c r="AG8" s="108"/>
      <c r="AH8" s="111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50"/>
      <c r="AU8" s="477"/>
      <c r="AV8" s="477"/>
    </row>
    <row r="9" spans="1:48" ht="16.3">
      <c r="A9" s="87" t="s">
        <v>3</v>
      </c>
      <c r="B9" s="289">
        <f t="shared" ref="B9:B10" si="0">SUM(J9+K9+L9+M9+N9+S9+V9+W9+X9+AA9+AI9+AJ9+AI9+AM9+AP9+AQ9+AS9+AT9+AU9+AV9)</f>
        <v>0</v>
      </c>
      <c r="C9" s="132">
        <f>SUM(K9+L9+M9+N9+J9+S9+W9+X9+V9+AA9+AJ9+AI9+AJ9+AN9+AQ9+AP9+AT9+AU9+AV9+AS9+AM9)+16</f>
        <v>16</v>
      </c>
      <c r="D9" s="133"/>
      <c r="E9" s="134"/>
      <c r="F9" s="135"/>
      <c r="G9" s="136"/>
      <c r="H9" s="481"/>
      <c r="I9" s="105"/>
      <c r="J9" s="75"/>
      <c r="K9" s="75"/>
      <c r="L9" s="75"/>
      <c r="M9" s="75"/>
      <c r="N9" s="75"/>
      <c r="O9" s="96"/>
      <c r="P9" s="105"/>
      <c r="Q9" s="96"/>
      <c r="R9" s="96"/>
      <c r="S9" s="75"/>
      <c r="T9" s="141"/>
      <c r="U9" s="141"/>
      <c r="V9" s="75"/>
      <c r="W9" s="100"/>
      <c r="X9" s="100"/>
      <c r="Y9" s="142"/>
      <c r="Z9" s="142"/>
      <c r="AA9" s="100"/>
      <c r="AB9" s="96"/>
      <c r="AC9" s="109"/>
      <c r="AD9" s="108"/>
      <c r="AE9" s="109"/>
      <c r="AF9" s="109"/>
      <c r="AG9" s="108"/>
      <c r="AH9" s="111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50"/>
      <c r="AU9" s="477"/>
      <c r="AV9" s="477"/>
    </row>
    <row r="10" spans="1:48" ht="17" thickBot="1">
      <c r="A10" s="88" t="s">
        <v>4</v>
      </c>
      <c r="B10" s="290">
        <f t="shared" si="0"/>
        <v>0</v>
      </c>
      <c r="C10" s="143">
        <f>SUM(K10+L10+M10+N10+J10+S10+W10+X10+V10+AA10+AJ10+AI10+AJ10+AN10+AQ10+AP10+AT10+AU10+AV10+AS10+AM10)+80</f>
        <v>80</v>
      </c>
      <c r="D10" s="144"/>
      <c r="E10" s="145"/>
      <c r="F10" s="146"/>
      <c r="G10" s="147"/>
      <c r="H10" s="482"/>
      <c r="I10" s="127"/>
      <c r="J10" s="112"/>
      <c r="K10" s="112"/>
      <c r="L10" s="112"/>
      <c r="M10" s="112"/>
      <c r="N10" s="112"/>
      <c r="O10" s="114"/>
      <c r="P10" s="127"/>
      <c r="Q10" s="114"/>
      <c r="R10" s="114"/>
      <c r="S10" s="112"/>
      <c r="T10" s="178"/>
      <c r="U10" s="178"/>
      <c r="V10" s="112"/>
      <c r="W10" s="116"/>
      <c r="X10" s="112"/>
      <c r="Y10" s="149"/>
      <c r="Z10" s="149"/>
      <c r="AA10" s="116"/>
      <c r="AB10" s="114"/>
      <c r="AC10" s="118"/>
      <c r="AD10" s="117"/>
      <c r="AE10" s="118"/>
      <c r="AF10" s="118"/>
      <c r="AG10" s="117"/>
      <c r="AH10" s="121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76"/>
      <c r="AU10" s="580"/>
      <c r="AV10" s="580"/>
    </row>
    <row r="11" spans="1:48" ht="21.1">
      <c r="A11" s="82" t="s">
        <v>755</v>
      </c>
      <c r="B11" s="289"/>
      <c r="C11" s="132"/>
      <c r="D11" s="133"/>
      <c r="E11" s="134"/>
      <c r="F11" s="135"/>
      <c r="G11" s="136"/>
      <c r="H11" s="481" t="s">
        <v>344</v>
      </c>
      <c r="I11" s="105" t="s">
        <v>719</v>
      </c>
      <c r="J11" s="75"/>
      <c r="K11" s="75"/>
      <c r="L11" s="75"/>
      <c r="M11" s="75" t="s">
        <v>432</v>
      </c>
      <c r="N11" s="75">
        <v>15</v>
      </c>
      <c r="O11" s="96">
        <v>15</v>
      </c>
      <c r="P11" s="105"/>
      <c r="Q11" s="96"/>
      <c r="R11" s="96" t="s">
        <v>383</v>
      </c>
      <c r="S11" s="75"/>
      <c r="T11" s="141" t="s">
        <v>375</v>
      </c>
      <c r="U11" s="141"/>
      <c r="V11" s="75"/>
      <c r="W11" s="100"/>
      <c r="X11" s="100"/>
      <c r="Y11" s="142"/>
      <c r="Z11" s="142"/>
      <c r="AA11" s="100"/>
      <c r="AB11" s="96" t="s">
        <v>383</v>
      </c>
      <c r="AC11" s="109"/>
      <c r="AD11" s="108"/>
      <c r="AE11" s="109"/>
      <c r="AF11" s="109"/>
      <c r="AG11" s="108"/>
      <c r="AH11" s="111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50"/>
      <c r="AU11" s="477"/>
      <c r="AV11" s="477"/>
    </row>
    <row r="12" spans="1:48" ht="16.3">
      <c r="A12" s="246" t="s">
        <v>1</v>
      </c>
      <c r="B12" s="292">
        <f>SUM(J12+K12+L12+M12+N12+S12+V12+W12+X12+AA12+AI12+AJ12+AI12+AM12+AP12+AQ12+AS12+AT12+AU12+AV12+AN12)</f>
        <v>1</v>
      </c>
      <c r="C12" s="288">
        <f>B12</f>
        <v>1</v>
      </c>
      <c r="D12" s="133"/>
      <c r="E12" s="134"/>
      <c r="F12" s="135"/>
      <c r="G12" s="136"/>
      <c r="H12" s="481"/>
      <c r="I12" s="105"/>
      <c r="J12" s="75"/>
      <c r="K12" s="75"/>
      <c r="L12" s="75"/>
      <c r="M12" s="75"/>
      <c r="N12" s="75">
        <v>1</v>
      </c>
      <c r="O12" s="96">
        <v>1</v>
      </c>
      <c r="P12" s="105"/>
      <c r="Q12" s="96"/>
      <c r="R12" s="96">
        <v>1</v>
      </c>
      <c r="S12" s="75"/>
      <c r="T12" s="141"/>
      <c r="U12" s="141"/>
      <c r="V12" s="75"/>
      <c r="W12" s="100"/>
      <c r="X12" s="100"/>
      <c r="Y12" s="142"/>
      <c r="Z12" s="142"/>
      <c r="AA12" s="100"/>
      <c r="AB12" s="96">
        <v>1</v>
      </c>
      <c r="AC12" s="109"/>
      <c r="AD12" s="108"/>
      <c r="AE12" s="109"/>
      <c r="AF12" s="109"/>
      <c r="AG12" s="108"/>
      <c r="AH12" s="111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50"/>
      <c r="AU12" s="477"/>
      <c r="AV12" s="477"/>
    </row>
    <row r="13" spans="1:48" ht="16.3">
      <c r="A13" s="246" t="s">
        <v>2</v>
      </c>
      <c r="B13" s="292">
        <f>SUM(J13+K13+L13+M13+N13+S13+V13+W13+X13+AA13+AI13+AJ13+AI13+AM13+AP13+AQ13+AS13+AT13+AU13+AV13)</f>
        <v>1</v>
      </c>
      <c r="C13" s="288">
        <f t="shared" ref="C13:C16" si="1">B13</f>
        <v>1</v>
      </c>
      <c r="D13" s="133"/>
      <c r="E13" s="134"/>
      <c r="F13" s="135"/>
      <c r="G13" s="136"/>
      <c r="H13" s="481"/>
      <c r="I13" s="105"/>
      <c r="J13" s="75"/>
      <c r="K13" s="75"/>
      <c r="L13" s="75"/>
      <c r="M13" s="75">
        <v>1</v>
      </c>
      <c r="N13" s="75"/>
      <c r="O13" s="96"/>
      <c r="P13" s="105"/>
      <c r="Q13" s="96"/>
      <c r="R13" s="96"/>
      <c r="S13" s="75"/>
      <c r="T13" s="141">
        <v>1</v>
      </c>
      <c r="U13" s="141"/>
      <c r="V13" s="75"/>
      <c r="W13" s="100"/>
      <c r="X13" s="100"/>
      <c r="Y13" s="142"/>
      <c r="Z13" s="142"/>
      <c r="AA13" s="100"/>
      <c r="AB13" s="96"/>
      <c r="AC13" s="109"/>
      <c r="AD13" s="108"/>
      <c r="AE13" s="109"/>
      <c r="AF13" s="109"/>
      <c r="AG13" s="108"/>
      <c r="AH13" s="111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50"/>
      <c r="AU13" s="477"/>
      <c r="AV13" s="477"/>
    </row>
    <row r="14" spans="1:48" ht="16.3">
      <c r="A14" s="87" t="s">
        <v>363</v>
      </c>
      <c r="B14" s="289">
        <f>SUM(B12+B13)</f>
        <v>2</v>
      </c>
      <c r="C14" s="132">
        <f t="shared" si="1"/>
        <v>2</v>
      </c>
      <c r="D14" s="133"/>
      <c r="E14" s="134"/>
      <c r="F14" s="135"/>
      <c r="G14" s="136"/>
      <c r="H14" s="481"/>
      <c r="I14" s="105"/>
      <c r="J14" s="75"/>
      <c r="K14" s="75"/>
      <c r="L14" s="75"/>
      <c r="M14" s="75"/>
      <c r="N14" s="75"/>
      <c r="O14" s="96"/>
      <c r="P14" s="105"/>
      <c r="Q14" s="96"/>
      <c r="R14" s="96"/>
      <c r="S14" s="75"/>
      <c r="T14" s="141"/>
      <c r="U14" s="141"/>
      <c r="V14" s="75"/>
      <c r="W14" s="100"/>
      <c r="X14" s="100"/>
      <c r="Y14" s="142"/>
      <c r="Z14" s="142"/>
      <c r="AA14" s="100"/>
      <c r="AB14" s="96"/>
      <c r="AC14" s="109"/>
      <c r="AD14" s="108"/>
      <c r="AE14" s="109"/>
      <c r="AF14" s="109"/>
      <c r="AG14" s="108"/>
      <c r="AH14" s="111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50"/>
      <c r="AU14" s="477"/>
      <c r="AV14" s="477"/>
    </row>
    <row r="15" spans="1:48" ht="16.3">
      <c r="A15" s="87" t="s">
        <v>3</v>
      </c>
      <c r="B15" s="289">
        <f>SUM(J15+K15+L15+M15+N15+S15+V15+W15+X15+AA15+AI15+AJ15+AI15+AM15+AP15+AQ15+AS15+AT15+AU15+AV15)</f>
        <v>1</v>
      </c>
      <c r="C15" s="132">
        <f t="shared" si="1"/>
        <v>1</v>
      </c>
      <c r="D15" s="133"/>
      <c r="E15" s="134"/>
      <c r="F15" s="135"/>
      <c r="G15" s="136"/>
      <c r="H15" s="481"/>
      <c r="I15" s="105"/>
      <c r="J15" s="75"/>
      <c r="K15" s="75"/>
      <c r="L15" s="75"/>
      <c r="M15" s="75">
        <v>1</v>
      </c>
      <c r="N15" s="75"/>
      <c r="O15" s="96"/>
      <c r="P15" s="105"/>
      <c r="Q15" s="96"/>
      <c r="R15" s="96"/>
      <c r="S15" s="75"/>
      <c r="T15" s="141"/>
      <c r="U15" s="141"/>
      <c r="V15" s="75"/>
      <c r="W15" s="100"/>
      <c r="X15" s="100"/>
      <c r="Y15" s="142"/>
      <c r="Z15" s="142"/>
      <c r="AA15" s="100"/>
      <c r="AB15" s="96"/>
      <c r="AC15" s="109"/>
      <c r="AD15" s="108"/>
      <c r="AE15" s="109"/>
      <c r="AF15" s="109"/>
      <c r="AG15" s="108"/>
      <c r="AH15" s="111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50"/>
      <c r="AU15" s="477"/>
      <c r="AV15" s="477"/>
    </row>
    <row r="16" spans="1:48" ht="17" thickBot="1">
      <c r="A16" s="88" t="s">
        <v>4</v>
      </c>
      <c r="B16" s="290">
        <f>SUM(J16+K16+L16+M16+N16+S16+V16+W16+X16+AA16+AI16+AJ16+AI16+AM16+AP16+AQ16+AS16+AT16+AU16+AV16)</f>
        <v>5</v>
      </c>
      <c r="C16" s="143">
        <f t="shared" si="1"/>
        <v>5</v>
      </c>
      <c r="D16" s="144"/>
      <c r="E16" s="145"/>
      <c r="F16" s="146"/>
      <c r="G16" s="147"/>
      <c r="H16" s="482"/>
      <c r="I16" s="127"/>
      <c r="J16" s="112"/>
      <c r="K16" s="112"/>
      <c r="L16" s="112"/>
      <c r="M16" s="112">
        <v>5</v>
      </c>
      <c r="N16" s="112"/>
      <c r="O16" s="114"/>
      <c r="P16" s="127"/>
      <c r="Q16" s="114"/>
      <c r="R16" s="114"/>
      <c r="S16" s="112"/>
      <c r="T16" s="178"/>
      <c r="U16" s="178"/>
      <c r="V16" s="112"/>
      <c r="W16" s="116"/>
      <c r="X16" s="116"/>
      <c r="Y16" s="149"/>
      <c r="Z16" s="149"/>
      <c r="AA16" s="116"/>
      <c r="AB16" s="114"/>
      <c r="AC16" s="118"/>
      <c r="AD16" s="117"/>
      <c r="AE16" s="118"/>
      <c r="AF16" s="118"/>
      <c r="AG16" s="117"/>
      <c r="AH16" s="121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76"/>
      <c r="AU16" s="580"/>
      <c r="AV16" s="580"/>
    </row>
    <row r="17" spans="1:48" ht="21.1">
      <c r="A17" s="82" t="s">
        <v>170</v>
      </c>
      <c r="B17" s="289"/>
      <c r="C17" s="132"/>
      <c r="D17" s="133"/>
      <c r="E17" s="134"/>
      <c r="F17" s="135"/>
      <c r="G17" s="136"/>
      <c r="H17" s="481" t="s">
        <v>339</v>
      </c>
      <c r="I17" s="105"/>
      <c r="J17" s="75" t="s">
        <v>375</v>
      </c>
      <c r="K17" s="75" t="s">
        <v>375</v>
      </c>
      <c r="L17" s="75">
        <v>14</v>
      </c>
      <c r="M17" s="75"/>
      <c r="N17" s="75" t="s">
        <v>383</v>
      </c>
      <c r="O17" s="96" t="s">
        <v>339</v>
      </c>
      <c r="P17" s="105"/>
      <c r="Q17" s="96" t="s">
        <v>339</v>
      </c>
      <c r="R17" s="96" t="s">
        <v>339</v>
      </c>
      <c r="S17" s="75" t="s">
        <v>339</v>
      </c>
      <c r="T17" s="141" t="s">
        <v>339</v>
      </c>
      <c r="U17" s="141">
        <v>11</v>
      </c>
      <c r="V17" s="75">
        <v>11</v>
      </c>
      <c r="W17" s="100">
        <v>11</v>
      </c>
      <c r="X17" s="100">
        <v>11</v>
      </c>
      <c r="Y17" s="142">
        <v>15</v>
      </c>
      <c r="Z17" s="142">
        <v>15</v>
      </c>
      <c r="AA17" s="100" t="s">
        <v>965</v>
      </c>
      <c r="AB17" s="96"/>
      <c r="AC17" s="109">
        <v>15</v>
      </c>
      <c r="AD17" s="108"/>
      <c r="AE17" s="109">
        <v>15</v>
      </c>
      <c r="AF17" s="109">
        <v>15</v>
      </c>
      <c r="AG17" s="108"/>
      <c r="AH17" s="111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50"/>
      <c r="AU17" s="477"/>
      <c r="AV17" s="477"/>
    </row>
    <row r="18" spans="1:48" ht="16.3">
      <c r="A18" s="246" t="s">
        <v>1</v>
      </c>
      <c r="B18" s="292">
        <f>SUM(J18+K18+L18+M18+N18+S18+V18+W18+X18+AA18+AI18+AJ18+AI18+AM18+AP18+AQ18+AS18+AT18+AU18+AV18+AN18)+31</f>
        <v>37</v>
      </c>
      <c r="C18" s="288">
        <f>SUM(K18+L18+M18+N18+J18+S18+W18+X18+V18+AA18+AJ18+AI18+AJ18+AN18+AQ18+AP18+AT18+AU18+AV18+AS18+AM18)+40</f>
        <v>46</v>
      </c>
      <c r="D18" s="133"/>
      <c r="E18" s="134"/>
      <c r="F18" s="135"/>
      <c r="G18" s="136"/>
      <c r="H18" s="481"/>
      <c r="I18" s="105"/>
      <c r="J18" s="75"/>
      <c r="K18" s="75"/>
      <c r="L18" s="75">
        <v>1</v>
      </c>
      <c r="M18" s="75"/>
      <c r="N18" s="75">
        <v>1</v>
      </c>
      <c r="O18" s="96"/>
      <c r="P18" s="105"/>
      <c r="Q18" s="96"/>
      <c r="R18" s="96"/>
      <c r="S18" s="75"/>
      <c r="T18" s="141"/>
      <c r="U18" s="141">
        <v>1</v>
      </c>
      <c r="V18" s="75">
        <v>1</v>
      </c>
      <c r="W18" s="100">
        <v>1</v>
      </c>
      <c r="X18" s="100">
        <v>1</v>
      </c>
      <c r="Y18" s="142">
        <v>1</v>
      </c>
      <c r="Z18" s="142">
        <v>1</v>
      </c>
      <c r="AA18" s="100">
        <v>1</v>
      </c>
      <c r="AB18" s="96"/>
      <c r="AC18" s="109">
        <v>1</v>
      </c>
      <c r="AD18" s="108"/>
      <c r="AE18" s="109">
        <v>1</v>
      </c>
      <c r="AF18" s="109">
        <v>1</v>
      </c>
      <c r="AG18" s="108"/>
      <c r="AH18" s="111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50"/>
      <c r="AU18" s="477"/>
      <c r="AV18" s="477"/>
    </row>
    <row r="19" spans="1:48" ht="16.3">
      <c r="A19" s="246" t="s">
        <v>2</v>
      </c>
      <c r="B19" s="292">
        <f>SUM(J19+K19+L19+M19+N19+S19+V19+W19+X19+AA19+AI19+AJ19+AI19+AM19+AP19+AQ19+AS19+AT19+AU19+AV19)+4</f>
        <v>6</v>
      </c>
      <c r="C19" s="288">
        <f>SUM(K19+L19+M19+N19+J19+S19+W19+X19+V19+AA19+AJ19+AI19+AJ19+AN19+AQ19+AP19+AT19+AU19+AV19+AS19+AM19)+10</f>
        <v>12</v>
      </c>
      <c r="D19" s="133"/>
      <c r="E19" s="134"/>
      <c r="F19" s="135"/>
      <c r="G19" s="136"/>
      <c r="H19" s="481"/>
      <c r="I19" s="105"/>
      <c r="J19" s="75">
        <v>1</v>
      </c>
      <c r="K19" s="75">
        <v>1</v>
      </c>
      <c r="L19" s="75"/>
      <c r="M19" s="75"/>
      <c r="N19" s="75"/>
      <c r="O19" s="96"/>
      <c r="P19" s="105"/>
      <c r="Q19" s="96"/>
      <c r="R19" s="96"/>
      <c r="S19" s="75"/>
      <c r="T19" s="141"/>
      <c r="U19" s="141"/>
      <c r="V19" s="75"/>
      <c r="W19" s="100"/>
      <c r="X19" s="100"/>
      <c r="Y19" s="142"/>
      <c r="Z19" s="142"/>
      <c r="AA19" s="100"/>
      <c r="AB19" s="96"/>
      <c r="AC19" s="109"/>
      <c r="AD19" s="108"/>
      <c r="AE19" s="109"/>
      <c r="AF19" s="109"/>
      <c r="AG19" s="108"/>
      <c r="AH19" s="111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50"/>
      <c r="AU19" s="477"/>
      <c r="AV19" s="477"/>
    </row>
    <row r="20" spans="1:48" ht="16.3">
      <c r="A20" s="87" t="s">
        <v>363</v>
      </c>
      <c r="B20" s="289">
        <f>SUM(B18+B19)</f>
        <v>43</v>
      </c>
      <c r="C20" s="132">
        <f>SUM(C18+C19)</f>
        <v>58</v>
      </c>
      <c r="D20" s="133"/>
      <c r="E20" s="134"/>
      <c r="F20" s="135"/>
      <c r="G20" s="136"/>
      <c r="H20" s="481"/>
      <c r="I20" s="105"/>
      <c r="J20" s="75"/>
      <c r="K20" s="75"/>
      <c r="L20" s="75"/>
      <c r="M20" s="75"/>
      <c r="N20" s="75"/>
      <c r="O20" s="96"/>
      <c r="P20" s="105"/>
      <c r="Q20" s="96"/>
      <c r="R20" s="96"/>
      <c r="S20" s="75"/>
      <c r="T20" s="141"/>
      <c r="U20" s="141"/>
      <c r="V20" s="75"/>
      <c r="W20" s="100"/>
      <c r="X20" s="100"/>
      <c r="Y20" s="142"/>
      <c r="Z20" s="142"/>
      <c r="AA20" s="100"/>
      <c r="AB20" s="96"/>
      <c r="AC20" s="109"/>
      <c r="AD20" s="108"/>
      <c r="AE20" s="109"/>
      <c r="AF20" s="109"/>
      <c r="AG20" s="108"/>
      <c r="AH20" s="111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50"/>
      <c r="AU20" s="477"/>
      <c r="AV20" s="477"/>
    </row>
    <row r="21" spans="1:48" ht="16.3">
      <c r="A21" s="246" t="s">
        <v>362</v>
      </c>
      <c r="B21" s="292">
        <f>SUM(J21+K21+L21+M21+N21+S21+V21+W21+X21+AA21+AI21+AJ21+AI21+AM21+AP21+AQ21+AS21+AT21+AU21+AV21)+3</f>
        <v>4</v>
      </c>
      <c r="C21" s="288">
        <f>SUM(K21+L21+M21+N21+J21+S21+W21+X21+V21+AA21+AJ21+AI21+AJ21+AN21+AQ21+AP21+AT21+AU21+AV21+AS21+AM21)+4</f>
        <v>5</v>
      </c>
      <c r="D21" s="133"/>
      <c r="E21" s="134"/>
      <c r="F21" s="135"/>
      <c r="G21" s="136"/>
      <c r="H21" s="481"/>
      <c r="I21" s="105"/>
      <c r="J21" s="75"/>
      <c r="K21" s="75"/>
      <c r="L21" s="75"/>
      <c r="M21" s="75"/>
      <c r="N21" s="75"/>
      <c r="O21" s="96"/>
      <c r="P21" s="105"/>
      <c r="Q21" s="96"/>
      <c r="R21" s="96"/>
      <c r="S21" s="75"/>
      <c r="T21" s="141"/>
      <c r="U21" s="141"/>
      <c r="V21" s="75"/>
      <c r="W21" s="100"/>
      <c r="X21" s="100"/>
      <c r="Y21" s="142"/>
      <c r="Z21" s="142"/>
      <c r="AA21" s="100">
        <v>1</v>
      </c>
      <c r="AB21" s="96"/>
      <c r="AC21" s="109"/>
      <c r="AD21" s="108"/>
      <c r="AE21" s="109"/>
      <c r="AF21" s="109"/>
      <c r="AG21" s="108"/>
      <c r="AH21" s="111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50"/>
      <c r="AU21" s="477"/>
      <c r="AV21" s="477"/>
    </row>
    <row r="22" spans="1:48" ht="16.3">
      <c r="A22" s="87" t="s">
        <v>3</v>
      </c>
      <c r="B22" s="289">
        <f>SUM(J22+K22+L22+M22+N22+S22+V22+W22+X22+AA22+AI22+AJ22+AI22+AM22+AP22+AQ22+AS22+AT22+AU22+AV22)+1</f>
        <v>2</v>
      </c>
      <c r="C22" s="132">
        <f>SUM(K22+L22+M22+N22+J22+S22+W22+X22+V22+AA22+AJ22+AI22+AJ22+AN22+AQ22+AP22+AT22+AU22+AV22+AS22+AM22)+3</f>
        <v>4</v>
      </c>
      <c r="D22" s="133"/>
      <c r="E22" s="134"/>
      <c r="F22" s="135"/>
      <c r="G22" s="136"/>
      <c r="H22" s="481"/>
      <c r="I22" s="105"/>
      <c r="J22" s="75"/>
      <c r="K22" s="75"/>
      <c r="L22" s="75">
        <v>1</v>
      </c>
      <c r="M22" s="75"/>
      <c r="N22" s="75"/>
      <c r="O22" s="96"/>
      <c r="P22" s="105"/>
      <c r="Q22" s="96"/>
      <c r="R22" s="96"/>
      <c r="S22" s="75"/>
      <c r="T22" s="141"/>
      <c r="U22" s="141"/>
      <c r="V22" s="75"/>
      <c r="W22" s="100"/>
      <c r="X22" s="100"/>
      <c r="Y22" s="142">
        <v>1</v>
      </c>
      <c r="Z22" s="142"/>
      <c r="AA22" s="100"/>
      <c r="AB22" s="96"/>
      <c r="AC22" s="109"/>
      <c r="AD22" s="108"/>
      <c r="AE22" s="109"/>
      <c r="AF22" s="109"/>
      <c r="AG22" s="108"/>
      <c r="AH22" s="111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50"/>
      <c r="AU22" s="477"/>
      <c r="AV22" s="477"/>
    </row>
    <row r="23" spans="1:48" ht="17" thickBot="1">
      <c r="A23" s="88" t="s">
        <v>4</v>
      </c>
      <c r="B23" s="290">
        <f>SUM(J23+K23+L23+M23+N23+S23+V23+W23+X23+AA23+AI23+AJ23+AI23+AM23+AP23+AQ23+AS23+AT23+AU23+AV23)+5</f>
        <v>10</v>
      </c>
      <c r="C23" s="143">
        <f>SUM(K23+L23+M23+N23+J23+S23+W23+X23+V23+AA23+AJ23+AI23+AJ23+AN23+AQ23+AP23+AT23+AU23+AV23+AS23+AM23)+15</f>
        <v>20</v>
      </c>
      <c r="D23" s="144"/>
      <c r="E23" s="145"/>
      <c r="F23" s="146"/>
      <c r="G23" s="147"/>
      <c r="H23" s="482"/>
      <c r="I23" s="127"/>
      <c r="J23" s="112"/>
      <c r="K23" s="112"/>
      <c r="L23" s="112">
        <v>5</v>
      </c>
      <c r="M23" s="112"/>
      <c r="N23" s="112"/>
      <c r="O23" s="114"/>
      <c r="P23" s="127"/>
      <c r="Q23" s="114"/>
      <c r="R23" s="114"/>
      <c r="S23" s="112"/>
      <c r="T23" s="178"/>
      <c r="U23" s="178"/>
      <c r="V23" s="112"/>
      <c r="W23" s="116"/>
      <c r="X23" s="116"/>
      <c r="Y23" s="149">
        <v>5</v>
      </c>
      <c r="Z23" s="149"/>
      <c r="AA23" s="116"/>
      <c r="AB23" s="114"/>
      <c r="AC23" s="118"/>
      <c r="AD23" s="117"/>
      <c r="AE23" s="118"/>
      <c r="AF23" s="118"/>
      <c r="AG23" s="117"/>
      <c r="AH23" s="121"/>
      <c r="AI23" s="116"/>
      <c r="AJ23" s="116"/>
      <c r="AK23" s="116"/>
      <c r="AL23" s="112"/>
      <c r="AM23" s="100"/>
      <c r="AN23" s="100"/>
      <c r="AO23" s="100"/>
      <c r="AP23" s="100"/>
      <c r="AQ23" s="100"/>
      <c r="AR23" s="100"/>
      <c r="AS23" s="100"/>
      <c r="AT23" s="150"/>
      <c r="AU23" s="477"/>
      <c r="AV23" s="477"/>
    </row>
    <row r="24" spans="1:48" ht="21.1">
      <c r="A24" s="82" t="s">
        <v>302</v>
      </c>
      <c r="B24" s="289"/>
      <c r="C24" s="132"/>
      <c r="D24" s="133"/>
      <c r="E24" s="134"/>
      <c r="F24" s="135"/>
      <c r="G24" s="136"/>
      <c r="H24" s="481" t="s">
        <v>571</v>
      </c>
      <c r="I24" s="105"/>
      <c r="J24" s="75" t="s">
        <v>571</v>
      </c>
      <c r="K24" s="75" t="s">
        <v>571</v>
      </c>
      <c r="L24" s="75" t="s">
        <v>571</v>
      </c>
      <c r="M24" s="75" t="s">
        <v>571</v>
      </c>
      <c r="N24" s="75" t="s">
        <v>571</v>
      </c>
      <c r="O24" s="96" t="s">
        <v>571</v>
      </c>
      <c r="P24" s="105"/>
      <c r="Q24" s="96" t="s">
        <v>571</v>
      </c>
      <c r="R24" s="96" t="s">
        <v>571</v>
      </c>
      <c r="S24" s="75" t="s">
        <v>571</v>
      </c>
      <c r="T24" s="141"/>
      <c r="U24" s="141" t="s">
        <v>888</v>
      </c>
      <c r="V24" s="75" t="s">
        <v>717</v>
      </c>
      <c r="W24" s="100" t="s">
        <v>717</v>
      </c>
      <c r="X24" s="100">
        <v>14</v>
      </c>
      <c r="Y24" s="142">
        <v>14</v>
      </c>
      <c r="Z24" s="142">
        <v>14</v>
      </c>
      <c r="AA24" s="100" t="s">
        <v>383</v>
      </c>
      <c r="AB24" s="96" t="s">
        <v>339</v>
      </c>
      <c r="AC24" s="109"/>
      <c r="AD24" s="108"/>
      <c r="AE24" s="109"/>
      <c r="AF24" s="109"/>
      <c r="AG24" s="108"/>
      <c r="AH24" s="111"/>
      <c r="AI24" s="100"/>
      <c r="AJ24" s="100"/>
      <c r="AK24" s="100"/>
      <c r="AL24" s="100"/>
      <c r="AM24" s="102"/>
      <c r="AN24" s="102"/>
      <c r="AO24" s="102"/>
      <c r="AP24" s="102"/>
      <c r="AQ24" s="102"/>
      <c r="AR24" s="102"/>
      <c r="AS24" s="102"/>
      <c r="AT24" s="478"/>
      <c r="AU24" s="477"/>
      <c r="AV24" s="477"/>
    </row>
    <row r="25" spans="1:48" ht="16.3">
      <c r="A25" s="246" t="s">
        <v>1</v>
      </c>
      <c r="B25" s="292">
        <f>SUM(J25+K25+L25+M25+N25+S25+V25+W25+X25+AA25+AI25+AJ25+AI25+AM25+AP25+AQ25+AS25+AT25+AU25+AV25+AN25)</f>
        <v>2</v>
      </c>
      <c r="C25" s="288">
        <f>SUM(K25+L25+M25+N25+J25+S25+W25+X25+V25+AA25+AJ25+AI25+AJ25+AN25+AQ25+AP25+AT25+AU25+AV25+AS25+AM25)+141</f>
        <v>143</v>
      </c>
      <c r="D25" s="133"/>
      <c r="E25" s="134"/>
      <c r="F25" s="135"/>
      <c r="G25" s="136"/>
      <c r="H25" s="481"/>
      <c r="I25" s="105"/>
      <c r="J25" s="75"/>
      <c r="K25" s="75"/>
      <c r="L25" s="75"/>
      <c r="M25" s="75"/>
      <c r="N25" s="75"/>
      <c r="O25" s="96"/>
      <c r="P25" s="105"/>
      <c r="Q25" s="96"/>
      <c r="R25" s="96"/>
      <c r="S25" s="75"/>
      <c r="T25" s="141"/>
      <c r="U25" s="141">
        <v>1</v>
      </c>
      <c r="V25" s="75"/>
      <c r="W25" s="100"/>
      <c r="X25" s="100">
        <v>1</v>
      </c>
      <c r="Y25" s="142">
        <v>1</v>
      </c>
      <c r="Z25" s="142">
        <v>1</v>
      </c>
      <c r="AA25" s="100">
        <v>1</v>
      </c>
      <c r="AB25" s="96"/>
      <c r="AC25" s="109"/>
      <c r="AD25" s="108"/>
      <c r="AE25" s="109"/>
      <c r="AF25" s="109"/>
      <c r="AG25" s="108"/>
      <c r="AH25" s="111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50"/>
      <c r="AU25" s="477"/>
      <c r="AV25" s="477"/>
    </row>
    <row r="26" spans="1:48" ht="16.3">
      <c r="A26" s="246" t="s">
        <v>2</v>
      </c>
      <c r="B26" s="292">
        <f>SUM(J26+K26+L26+M26+N26+S26+V26+W26+X26+AA26+AI26+AJ26+AI26+AM26+AP26+AQ26+AS26+AT26+AU26+AV26)</f>
        <v>0</v>
      </c>
      <c r="C26" s="288">
        <f>SUM(K26+L26+M26+N26+J26+S26+W26+X26+V26+AA26+AJ26+AI26+AJ26+AN26+AQ26+AP26+AT26+AU26+AV26+AS26+AM26)+3</f>
        <v>3</v>
      </c>
      <c r="D26" s="133"/>
      <c r="E26" s="134"/>
      <c r="F26" s="135"/>
      <c r="G26" s="136"/>
      <c r="H26" s="481"/>
      <c r="I26" s="105"/>
      <c r="J26" s="75"/>
      <c r="K26" s="75"/>
      <c r="L26" s="75"/>
      <c r="M26" s="75"/>
      <c r="N26" s="75"/>
      <c r="O26" s="96"/>
      <c r="P26" s="105"/>
      <c r="Q26" s="96"/>
      <c r="R26" s="96"/>
      <c r="S26" s="75"/>
      <c r="T26" s="141"/>
      <c r="U26" s="141"/>
      <c r="V26" s="75"/>
      <c r="W26" s="100"/>
      <c r="X26" s="100"/>
      <c r="Y26" s="142"/>
      <c r="Z26" s="142"/>
      <c r="AA26" s="100"/>
      <c r="AB26" s="96"/>
      <c r="AC26" s="109"/>
      <c r="AD26" s="108"/>
      <c r="AE26" s="109"/>
      <c r="AF26" s="109"/>
      <c r="AG26" s="108"/>
      <c r="AH26" s="111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50"/>
      <c r="AU26" s="477"/>
      <c r="AV26" s="477"/>
    </row>
    <row r="27" spans="1:48" ht="16.3">
      <c r="A27" s="87" t="s">
        <v>363</v>
      </c>
      <c r="B27" s="289">
        <f>SUM(B25+B26)</f>
        <v>2</v>
      </c>
      <c r="C27" s="132">
        <f>SUM(C25+C26)</f>
        <v>146</v>
      </c>
      <c r="D27" s="133"/>
      <c r="E27" s="134"/>
      <c r="F27" s="135"/>
      <c r="G27" s="136"/>
      <c r="H27" s="481"/>
      <c r="I27" s="105"/>
      <c r="J27" s="75"/>
      <c r="K27" s="75"/>
      <c r="L27" s="75"/>
      <c r="M27" s="75"/>
      <c r="N27" s="75"/>
      <c r="O27" s="96"/>
      <c r="P27" s="105"/>
      <c r="Q27" s="96"/>
      <c r="R27" s="96"/>
      <c r="S27" s="75"/>
      <c r="T27" s="141"/>
      <c r="U27" s="141"/>
      <c r="V27" s="75"/>
      <c r="W27" s="100"/>
      <c r="X27" s="100"/>
      <c r="Y27" s="142"/>
      <c r="Z27" s="142"/>
      <c r="AA27" s="100"/>
      <c r="AB27" s="96"/>
      <c r="AC27" s="109"/>
      <c r="AD27" s="108"/>
      <c r="AE27" s="109"/>
      <c r="AF27" s="109"/>
      <c r="AG27" s="108"/>
      <c r="AH27" s="111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50"/>
      <c r="AU27" s="477"/>
      <c r="AV27" s="477"/>
    </row>
    <row r="28" spans="1:48" ht="16.3">
      <c r="A28" s="246" t="s">
        <v>362</v>
      </c>
      <c r="B28" s="292">
        <f>SUM(J28+K28+L28+M28+N28+S28+V28+W28+X28+AA28+AI28+AJ28+AI28+AM28+AP28+AQ28+AS28+AT28+AU28+AV28)</f>
        <v>0</v>
      </c>
      <c r="C28" s="288">
        <f>SUM(K28+L28+M28+N28+J28+S28+W28+X28+V28+AA28+AJ28+AI28+AJ28+AN28+AQ28+AP28+AT28+AU28+AV28+AS28+AM28)+3</f>
        <v>3</v>
      </c>
      <c r="D28" s="133"/>
      <c r="E28" s="134"/>
      <c r="F28" s="135"/>
      <c r="G28" s="136"/>
      <c r="H28" s="481"/>
      <c r="I28" s="105"/>
      <c r="J28" s="75"/>
      <c r="K28" s="75"/>
      <c r="L28" s="75"/>
      <c r="M28" s="75"/>
      <c r="N28" s="75"/>
      <c r="O28" s="96"/>
      <c r="P28" s="105"/>
      <c r="Q28" s="96"/>
      <c r="R28" s="96"/>
      <c r="S28" s="75"/>
      <c r="T28" s="141"/>
      <c r="U28" s="141"/>
      <c r="V28" s="75"/>
      <c r="W28" s="100"/>
      <c r="X28" s="100"/>
      <c r="Y28" s="142"/>
      <c r="Z28" s="142"/>
      <c r="AA28" s="100"/>
      <c r="AB28" s="96"/>
      <c r="AC28" s="109"/>
      <c r="AD28" s="108"/>
      <c r="AE28" s="109"/>
      <c r="AF28" s="109"/>
      <c r="AG28" s="108"/>
      <c r="AH28" s="111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50"/>
      <c r="AU28" s="477"/>
      <c r="AV28" s="477"/>
    </row>
    <row r="29" spans="1:48" ht="16.3">
      <c r="A29" s="87" t="s">
        <v>3</v>
      </c>
      <c r="B29" s="289">
        <f>SUM(J29+K29+L29+M29+N29+S29+V29+W29+X29+AA29+AI29+AJ29+AI29+AM29+AP29+AQ29+AS29+AT29+AU29+AV29)</f>
        <v>0</v>
      </c>
      <c r="C29" s="132">
        <f>SUM(K29+L29+M29+N29+J29+S29+W29+X29+V29+AA29+AJ29+AI29+AJ29+AN29+AQ29+AP29+AT29+AU29+AV29+AS29+AM29)+93</f>
        <v>93</v>
      </c>
      <c r="D29" s="133"/>
      <c r="E29" s="134"/>
      <c r="F29" s="135"/>
      <c r="G29" s="136"/>
      <c r="H29" s="481"/>
      <c r="I29" s="105"/>
      <c r="J29" s="75"/>
      <c r="K29" s="75"/>
      <c r="L29" s="75"/>
      <c r="M29" s="75"/>
      <c r="N29" s="75"/>
      <c r="O29" s="96"/>
      <c r="P29" s="105"/>
      <c r="Q29" s="96"/>
      <c r="R29" s="96"/>
      <c r="S29" s="75"/>
      <c r="T29" s="141"/>
      <c r="U29" s="141"/>
      <c r="V29" s="75"/>
      <c r="W29" s="100"/>
      <c r="X29" s="100"/>
      <c r="Y29" s="142">
        <v>1</v>
      </c>
      <c r="Z29" s="142">
        <v>1</v>
      </c>
      <c r="AA29" s="100"/>
      <c r="AB29" s="96"/>
      <c r="AC29" s="109"/>
      <c r="AD29" s="108"/>
      <c r="AE29" s="109"/>
      <c r="AF29" s="109"/>
      <c r="AG29" s="108"/>
      <c r="AH29" s="111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50"/>
      <c r="AU29" s="477"/>
      <c r="AV29" s="477"/>
    </row>
    <row r="30" spans="1:48" ht="17" thickBot="1">
      <c r="A30" s="88" t="s">
        <v>4</v>
      </c>
      <c r="B30" s="290">
        <f>SUM(J30+K30+L30+M30+N30+S30+V30+W30+X30+AA30+AI30+AJ30+AI30+AM30+AP30+AQ30+AS30+AT30+AU30+AV30)</f>
        <v>0</v>
      </c>
      <c r="C30" s="143">
        <f>SUM(K30+L30+M30+N30+J30+S30+W30+X30+V30+AA30+AJ30+AI30+AJ30+AN30+AQ30+AP30+AT30+AU30+AV30+AS30+AM30)+467</f>
        <v>467</v>
      </c>
      <c r="D30" s="144"/>
      <c r="E30" s="145"/>
      <c r="F30" s="146"/>
      <c r="G30" s="147"/>
      <c r="H30" s="482"/>
      <c r="I30" s="127"/>
      <c r="J30" s="112"/>
      <c r="K30" s="112"/>
      <c r="L30" s="112"/>
      <c r="M30" s="112"/>
      <c r="N30" s="112"/>
      <c r="O30" s="114"/>
      <c r="P30" s="127"/>
      <c r="Q30" s="114"/>
      <c r="R30" s="114"/>
      <c r="S30" s="112"/>
      <c r="T30" s="178"/>
      <c r="U30" s="178"/>
      <c r="V30" s="112"/>
      <c r="W30" s="116"/>
      <c r="X30" s="112"/>
      <c r="Y30" s="149">
        <v>5</v>
      </c>
      <c r="Z30" s="149">
        <v>5</v>
      </c>
      <c r="AA30" s="116"/>
      <c r="AB30" s="114"/>
      <c r="AC30" s="118"/>
      <c r="AD30" s="117"/>
      <c r="AE30" s="118"/>
      <c r="AF30" s="118"/>
      <c r="AG30" s="117"/>
      <c r="AH30" s="121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76"/>
      <c r="AU30" s="477"/>
      <c r="AV30" s="477"/>
    </row>
    <row r="31" spans="1:48" ht="21.1">
      <c r="A31" s="82" t="s">
        <v>316</v>
      </c>
      <c r="B31" s="289"/>
      <c r="C31" s="132"/>
      <c r="D31" s="133"/>
      <c r="E31" s="134"/>
      <c r="F31" s="135"/>
      <c r="G31" s="136"/>
      <c r="H31" s="481">
        <v>15</v>
      </c>
      <c r="I31" s="105"/>
      <c r="J31" s="75" t="s">
        <v>367</v>
      </c>
      <c r="K31" s="75">
        <v>11</v>
      </c>
      <c r="L31" s="75">
        <v>11</v>
      </c>
      <c r="M31" s="75">
        <v>13</v>
      </c>
      <c r="N31" s="75">
        <v>11</v>
      </c>
      <c r="O31" s="96"/>
      <c r="P31" s="105"/>
      <c r="Q31" s="96">
        <v>11</v>
      </c>
      <c r="R31" s="96"/>
      <c r="S31" s="75">
        <v>13</v>
      </c>
      <c r="T31" s="141">
        <v>13</v>
      </c>
      <c r="U31" s="141">
        <v>13</v>
      </c>
      <c r="V31" s="75">
        <v>13</v>
      </c>
      <c r="W31" s="100">
        <v>13</v>
      </c>
      <c r="X31" s="100" t="s">
        <v>377</v>
      </c>
      <c r="Y31" s="142">
        <v>13</v>
      </c>
      <c r="Z31" s="142">
        <v>11</v>
      </c>
      <c r="AA31" s="100">
        <v>13</v>
      </c>
      <c r="AB31" s="96"/>
      <c r="AC31" s="109"/>
      <c r="AD31" s="108"/>
      <c r="AE31" s="109"/>
      <c r="AF31" s="109" t="s">
        <v>367</v>
      </c>
      <c r="AG31" s="108"/>
      <c r="AH31" s="111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50"/>
      <c r="AU31" s="477"/>
      <c r="AV31" s="477"/>
    </row>
    <row r="32" spans="1:48" ht="16.3">
      <c r="A32" s="246" t="s">
        <v>1</v>
      </c>
      <c r="B32" s="292">
        <f>SUM(J32+K32+L32+M32+N32+S32+V32+W32+X32+AA32+AI32+AJ32+AI32+AM32+AP32+AQ32+AS32+AT32+AU32+AV32+AN32)+13</f>
        <v>23</v>
      </c>
      <c r="C32" s="288">
        <f>SUM(K32+L32+M32+N32+J32+S32+W32+X32+V32+AA32+AJ32+AI32+AJ32+AN32+AQ32+AP32+AT32+AU32+AV32+AS32+AM32)+33</f>
        <v>43</v>
      </c>
      <c r="D32" s="133"/>
      <c r="E32" s="134"/>
      <c r="F32" s="135"/>
      <c r="G32" s="136"/>
      <c r="H32" s="481">
        <v>1</v>
      </c>
      <c r="I32" s="105"/>
      <c r="J32" s="75">
        <v>1</v>
      </c>
      <c r="K32" s="75">
        <v>1</v>
      </c>
      <c r="L32" s="75">
        <v>1</v>
      </c>
      <c r="M32" s="75">
        <v>1</v>
      </c>
      <c r="N32" s="75">
        <v>1</v>
      </c>
      <c r="O32" s="96"/>
      <c r="P32" s="105"/>
      <c r="Q32" s="96">
        <v>1</v>
      </c>
      <c r="R32" s="96"/>
      <c r="S32" s="75">
        <v>1</v>
      </c>
      <c r="T32" s="141">
        <v>1</v>
      </c>
      <c r="U32" s="141">
        <v>1</v>
      </c>
      <c r="V32" s="75">
        <v>1</v>
      </c>
      <c r="W32" s="100">
        <v>1</v>
      </c>
      <c r="X32" s="100">
        <v>1</v>
      </c>
      <c r="Y32" s="142">
        <v>1</v>
      </c>
      <c r="Z32" s="142">
        <v>1</v>
      </c>
      <c r="AA32" s="100">
        <v>1</v>
      </c>
      <c r="AB32" s="96"/>
      <c r="AC32" s="109"/>
      <c r="AD32" s="108"/>
      <c r="AE32" s="109"/>
      <c r="AF32" s="109">
        <v>1</v>
      </c>
      <c r="AG32" s="108"/>
      <c r="AH32" s="111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50"/>
      <c r="AU32" s="477"/>
      <c r="AV32" s="477"/>
    </row>
    <row r="33" spans="1:48" ht="16.3">
      <c r="A33" s="246" t="s">
        <v>2</v>
      </c>
      <c r="B33" s="292">
        <f>SUM(J33+K33+L33+M33+N33+S33+V33+W33+X33+AA33+AI33+AJ33+AI33+AM33+AP33+AQ33+AS33+AT33+AU33+AV33)+1</f>
        <v>1</v>
      </c>
      <c r="C33" s="288">
        <f>SUM(K33+L33+M33+N33+J33+S33+W33+X33+V33+AA33+AJ33+AI33+AJ33+AN33+AQ33+AP33+AT33+AU33+AV33+AS33+AM33)+14</f>
        <v>14</v>
      </c>
      <c r="D33" s="133"/>
      <c r="E33" s="134"/>
      <c r="F33" s="135"/>
      <c r="G33" s="136"/>
      <c r="H33" s="481"/>
      <c r="I33" s="105"/>
      <c r="J33" s="75"/>
      <c r="K33" s="75"/>
      <c r="L33" s="75"/>
      <c r="M33" s="75"/>
      <c r="N33" s="75"/>
      <c r="O33" s="96"/>
      <c r="P33" s="105"/>
      <c r="Q33" s="96"/>
      <c r="R33" s="96"/>
      <c r="S33" s="75"/>
      <c r="T33" s="141"/>
      <c r="U33" s="141"/>
      <c r="V33" s="75"/>
      <c r="W33" s="100"/>
      <c r="X33" s="100"/>
      <c r="Y33" s="142"/>
      <c r="Z33" s="142"/>
      <c r="AA33" s="100"/>
      <c r="AB33" s="96"/>
      <c r="AC33" s="109"/>
      <c r="AD33" s="108"/>
      <c r="AE33" s="109"/>
      <c r="AF33" s="109"/>
      <c r="AG33" s="108"/>
      <c r="AH33" s="111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50"/>
      <c r="AU33" s="477"/>
      <c r="AV33" s="477"/>
    </row>
    <row r="34" spans="1:48" ht="16.3">
      <c r="A34" s="87" t="s">
        <v>363</v>
      </c>
      <c r="B34" s="289">
        <f>SUM(B32+B33)</f>
        <v>24</v>
      </c>
      <c r="C34" s="132">
        <f>SUM(C32+C33)</f>
        <v>57</v>
      </c>
      <c r="D34" s="133"/>
      <c r="E34" s="134"/>
      <c r="F34" s="135"/>
      <c r="G34" s="136"/>
      <c r="H34" s="481"/>
      <c r="I34" s="105"/>
      <c r="J34" s="75"/>
      <c r="K34" s="75"/>
      <c r="L34" s="75"/>
      <c r="M34" s="75"/>
      <c r="N34" s="75"/>
      <c r="O34" s="96"/>
      <c r="P34" s="105"/>
      <c r="Q34" s="96"/>
      <c r="R34" s="96"/>
      <c r="S34" s="75"/>
      <c r="T34" s="141"/>
      <c r="U34" s="141"/>
      <c r="V34" s="75"/>
      <c r="W34" s="100"/>
      <c r="X34" s="100"/>
      <c r="Y34" s="142"/>
      <c r="Z34" s="142"/>
      <c r="AA34" s="100"/>
      <c r="AB34" s="96"/>
      <c r="AC34" s="109"/>
      <c r="AD34" s="108"/>
      <c r="AE34" s="109"/>
      <c r="AF34" s="109"/>
      <c r="AG34" s="108"/>
      <c r="AH34" s="111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50"/>
      <c r="AU34" s="477"/>
      <c r="AV34" s="477"/>
    </row>
    <row r="35" spans="1:48" ht="16.3">
      <c r="A35" s="246" t="s">
        <v>362</v>
      </c>
      <c r="B35" s="292">
        <f>SUM(J35+K35+L35+M35+N35+S35+V35+W35+X35+AA35+AI35+AJ35+AI35+AM35+AP35+AQ35+AS35+AT35+AU35+AV35)+1</f>
        <v>1</v>
      </c>
      <c r="C35" s="288">
        <f>SUM(K35+L35+M35+N35+J35+S35+W35+X35+V35+AA35+AJ35+AI35+AJ35+AN35+AQ35+AP35+AT35+AU35+AV35+AS35+AM35)+1</f>
        <v>1</v>
      </c>
      <c r="D35" s="133"/>
      <c r="E35" s="134"/>
      <c r="F35" s="135"/>
      <c r="G35" s="136"/>
      <c r="H35" s="481"/>
      <c r="I35" s="105"/>
      <c r="J35" s="75"/>
      <c r="K35" s="75"/>
      <c r="L35" s="75"/>
      <c r="M35" s="75"/>
      <c r="N35" s="75"/>
      <c r="O35" s="96"/>
      <c r="P35" s="105"/>
      <c r="Q35" s="96"/>
      <c r="R35" s="96"/>
      <c r="S35" s="75"/>
      <c r="T35" s="141"/>
      <c r="U35" s="141"/>
      <c r="V35" s="75"/>
      <c r="W35" s="100"/>
      <c r="X35" s="100"/>
      <c r="Y35" s="142"/>
      <c r="Z35" s="142"/>
      <c r="AA35" s="100"/>
      <c r="AB35" s="96"/>
      <c r="AC35" s="109"/>
      <c r="AD35" s="108"/>
      <c r="AE35" s="109"/>
      <c r="AF35" s="109"/>
      <c r="AG35" s="108"/>
      <c r="AH35" s="111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50"/>
      <c r="AU35" s="477"/>
      <c r="AV35" s="477"/>
    </row>
    <row r="36" spans="1:48" ht="16.3">
      <c r="A36" s="87" t="s">
        <v>3</v>
      </c>
      <c r="B36" s="289">
        <f>SUM(J36+K36+L36+M36+N36+S36+V36+W36+X36+AA36+AI36+AJ36+AI36+AM36+AP36+AQ36+AS36+AT36+AU36+AV36)+2</f>
        <v>4</v>
      </c>
      <c r="C36" s="132">
        <f>SUM(K36+L36+M36+N36+J36+S36+W36+X36+V36+AA36+AJ36+AI36+AJ36+AN36+AQ36+AP36+AT36+AU36+AV36+AS36+AM36)+10</f>
        <v>12</v>
      </c>
      <c r="D36" s="133"/>
      <c r="E36" s="134"/>
      <c r="F36" s="135"/>
      <c r="G36" s="136"/>
      <c r="H36" s="481">
        <v>1</v>
      </c>
      <c r="I36" s="105"/>
      <c r="J36" s="75">
        <v>1</v>
      </c>
      <c r="K36" s="75">
        <v>1</v>
      </c>
      <c r="L36" s="75"/>
      <c r="M36" s="75"/>
      <c r="N36" s="75"/>
      <c r="O36" s="96"/>
      <c r="P36" s="105"/>
      <c r="Q36" s="96"/>
      <c r="R36" s="96"/>
      <c r="S36" s="75"/>
      <c r="T36" s="141"/>
      <c r="U36" s="141">
        <v>1</v>
      </c>
      <c r="V36" s="75"/>
      <c r="W36" s="100"/>
      <c r="X36" s="100"/>
      <c r="Y36" s="142"/>
      <c r="Z36" s="142"/>
      <c r="AA36" s="100"/>
      <c r="AB36" s="96"/>
      <c r="AC36" s="109"/>
      <c r="AD36" s="108"/>
      <c r="AE36" s="109"/>
      <c r="AF36" s="109"/>
      <c r="AG36" s="108"/>
      <c r="AH36" s="111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50"/>
      <c r="AU36" s="477"/>
      <c r="AV36" s="477"/>
    </row>
    <row r="37" spans="1:48" ht="17" thickBot="1">
      <c r="A37" s="88" t="s">
        <v>4</v>
      </c>
      <c r="B37" s="290">
        <f>SUM(J37+K37+L37+M37+N37+S37+V37+W37+X37+AA37+AI37+AJ37+AI37+AM37+AP37+AQ37+AS37+AT37+AU37+AV37)+10</f>
        <v>20</v>
      </c>
      <c r="C37" s="143">
        <f>SUM(K37+L37+M37+N37+J37+S37+W37+X37+V37+AA37+AJ37+AI37+AJ37+AN37+AQ37+AP37+AT37+AU37+AV37+AS37+AM37)+50</f>
        <v>60</v>
      </c>
      <c r="D37" s="144"/>
      <c r="E37" s="145"/>
      <c r="F37" s="146"/>
      <c r="G37" s="147"/>
      <c r="H37" s="482">
        <v>5</v>
      </c>
      <c r="I37" s="127"/>
      <c r="J37" s="112">
        <v>5</v>
      </c>
      <c r="K37" s="112">
        <v>5</v>
      </c>
      <c r="L37" s="112"/>
      <c r="M37" s="112"/>
      <c r="N37" s="112"/>
      <c r="O37" s="114"/>
      <c r="P37" s="127"/>
      <c r="Q37" s="114"/>
      <c r="R37" s="114"/>
      <c r="S37" s="112"/>
      <c r="T37" s="178"/>
      <c r="U37" s="178">
        <v>5</v>
      </c>
      <c r="V37" s="112"/>
      <c r="W37" s="116"/>
      <c r="X37" s="112"/>
      <c r="Y37" s="149"/>
      <c r="Z37" s="149"/>
      <c r="AA37" s="116"/>
      <c r="AB37" s="114"/>
      <c r="AC37" s="118"/>
      <c r="AD37" s="117"/>
      <c r="AE37" s="118"/>
      <c r="AF37" s="118"/>
      <c r="AG37" s="117"/>
      <c r="AH37" s="121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76"/>
      <c r="AU37" s="477"/>
      <c r="AV37" s="477"/>
    </row>
    <row r="38" spans="1:48" ht="21.1">
      <c r="A38" s="82" t="s">
        <v>288</v>
      </c>
      <c r="B38" s="289"/>
      <c r="C38" s="132"/>
      <c r="D38" s="133"/>
      <c r="E38" s="134"/>
      <c r="F38" s="135"/>
      <c r="G38" s="136"/>
      <c r="H38" s="481" t="s">
        <v>375</v>
      </c>
      <c r="I38" s="105"/>
      <c r="J38" s="75"/>
      <c r="K38" s="75"/>
      <c r="L38" s="75"/>
      <c r="M38" s="75"/>
      <c r="N38" s="75" t="s">
        <v>375</v>
      </c>
      <c r="O38" s="96">
        <v>12</v>
      </c>
      <c r="P38" s="105"/>
      <c r="Q38" s="96"/>
      <c r="R38" s="96">
        <v>11</v>
      </c>
      <c r="S38" s="75"/>
      <c r="T38" s="141"/>
      <c r="U38" s="141"/>
      <c r="V38" s="75"/>
      <c r="W38" s="100"/>
      <c r="X38" s="100"/>
      <c r="Y38" s="142" t="s">
        <v>375</v>
      </c>
      <c r="Z38" s="142" t="s">
        <v>375</v>
      </c>
      <c r="AA38" s="100"/>
      <c r="AB38" s="96" t="s">
        <v>836</v>
      </c>
      <c r="AC38" s="109" t="s">
        <v>383</v>
      </c>
      <c r="AD38" s="108"/>
      <c r="AE38" s="109"/>
      <c r="AF38" s="109"/>
      <c r="AG38" s="108"/>
      <c r="AH38" s="111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50"/>
      <c r="AU38" s="477"/>
      <c r="AV38" s="477"/>
    </row>
    <row r="39" spans="1:48" ht="16.3">
      <c r="A39" s="246" t="s">
        <v>1</v>
      </c>
      <c r="B39" s="292">
        <f>SUM(J39+K39+L39+M39+N39+S39+V39+W39+X39+AA39+AI39+AJ39+AI39+AM39+AP39+AQ39+AS39+AT39+AU39+AV39+AN39)</f>
        <v>0</v>
      </c>
      <c r="C39" s="288">
        <f>B39</f>
        <v>0</v>
      </c>
      <c r="D39" s="133"/>
      <c r="E39" s="134"/>
      <c r="F39" s="135"/>
      <c r="G39" s="136"/>
      <c r="H39" s="481"/>
      <c r="I39" s="105"/>
      <c r="J39" s="75"/>
      <c r="K39" s="75"/>
      <c r="L39" s="75"/>
      <c r="M39" s="75"/>
      <c r="N39" s="75"/>
      <c r="O39" s="96">
        <v>1</v>
      </c>
      <c r="P39" s="105"/>
      <c r="Q39" s="96"/>
      <c r="R39" s="96">
        <v>1</v>
      </c>
      <c r="S39" s="75"/>
      <c r="T39" s="141"/>
      <c r="U39" s="141"/>
      <c r="V39" s="75"/>
      <c r="W39" s="100"/>
      <c r="X39" s="100"/>
      <c r="Y39" s="142"/>
      <c r="Z39" s="142"/>
      <c r="AA39" s="100"/>
      <c r="AB39" s="96">
        <v>1</v>
      </c>
      <c r="AC39" s="109">
        <v>1</v>
      </c>
      <c r="AD39" s="108"/>
      <c r="AE39" s="109"/>
      <c r="AF39" s="109"/>
      <c r="AG39" s="108"/>
      <c r="AH39" s="111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50"/>
      <c r="AU39" s="477"/>
      <c r="AV39" s="477"/>
    </row>
    <row r="40" spans="1:48" ht="16.3">
      <c r="A40" s="246" t="s">
        <v>2</v>
      </c>
      <c r="B40" s="292">
        <f>SUM(J40+K40+L40+M40+N40+S40+V40+W40+X40+AA40+AI40+AJ40+AI40+AM40+AP40+AQ40+AS40+AT40+AU40+AV40)</f>
        <v>1</v>
      </c>
      <c r="C40" s="288">
        <f t="shared" ref="C40:C44" si="2">B40</f>
        <v>1</v>
      </c>
      <c r="D40" s="133"/>
      <c r="E40" s="134"/>
      <c r="F40" s="135"/>
      <c r="G40" s="136"/>
      <c r="H40" s="481">
        <v>1</v>
      </c>
      <c r="I40" s="105"/>
      <c r="J40" s="75"/>
      <c r="K40" s="75"/>
      <c r="L40" s="75"/>
      <c r="M40" s="75"/>
      <c r="N40" s="75">
        <v>1</v>
      </c>
      <c r="O40" s="96"/>
      <c r="P40" s="105"/>
      <c r="Q40" s="96"/>
      <c r="R40" s="96"/>
      <c r="S40" s="75"/>
      <c r="T40" s="141"/>
      <c r="U40" s="141"/>
      <c r="V40" s="75"/>
      <c r="W40" s="100"/>
      <c r="X40" s="100"/>
      <c r="Y40" s="142">
        <v>1</v>
      </c>
      <c r="Z40" s="142">
        <v>1</v>
      </c>
      <c r="AA40" s="100"/>
      <c r="AB40" s="96"/>
      <c r="AC40" s="109"/>
      <c r="AD40" s="108"/>
      <c r="AE40" s="109"/>
      <c r="AF40" s="109"/>
      <c r="AG40" s="108"/>
      <c r="AH40" s="111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50"/>
      <c r="AU40" s="477"/>
      <c r="AV40" s="477"/>
    </row>
    <row r="41" spans="1:48" ht="16.3">
      <c r="A41" s="87" t="s">
        <v>363</v>
      </c>
      <c r="B41" s="289">
        <f>SUM(B39+B40)</f>
        <v>1</v>
      </c>
      <c r="C41" s="132">
        <f t="shared" si="2"/>
        <v>1</v>
      </c>
      <c r="D41" s="133"/>
      <c r="E41" s="134"/>
      <c r="F41" s="135"/>
      <c r="G41" s="136"/>
      <c r="H41" s="481"/>
      <c r="I41" s="105"/>
      <c r="J41" s="75"/>
      <c r="K41" s="75"/>
      <c r="L41" s="75"/>
      <c r="M41" s="75"/>
      <c r="N41" s="75"/>
      <c r="O41" s="96"/>
      <c r="P41" s="105"/>
      <c r="Q41" s="96"/>
      <c r="R41" s="96"/>
      <c r="S41" s="75"/>
      <c r="T41" s="141"/>
      <c r="U41" s="141"/>
      <c r="V41" s="75"/>
      <c r="W41" s="100"/>
      <c r="X41" s="100"/>
      <c r="Y41" s="142"/>
      <c r="Z41" s="142"/>
      <c r="AA41" s="100"/>
      <c r="AB41" s="96"/>
      <c r="AC41" s="109"/>
      <c r="AD41" s="108"/>
      <c r="AE41" s="109"/>
      <c r="AF41" s="109"/>
      <c r="AG41" s="108"/>
      <c r="AH41" s="111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50"/>
      <c r="AU41" s="477"/>
      <c r="AV41" s="477"/>
    </row>
    <row r="42" spans="1:48" ht="16.3">
      <c r="A42" s="234" t="s">
        <v>362</v>
      </c>
      <c r="B42" s="292">
        <f>SUM(J42+K42+L42+M42+N42+S42+V42+W42+X42+AA42+AI42+AJ42+AI42+AM42+AP42+AQ42+AS42+AT42+AU42+AV42)</f>
        <v>0</v>
      </c>
      <c r="C42" s="288">
        <f t="shared" ref="C42" si="3">B42</f>
        <v>0</v>
      </c>
      <c r="D42" s="133"/>
      <c r="E42" s="134"/>
      <c r="F42" s="135"/>
      <c r="G42" s="136"/>
      <c r="H42" s="481"/>
      <c r="I42" s="105"/>
      <c r="J42" s="75"/>
      <c r="K42" s="75"/>
      <c r="L42" s="75"/>
      <c r="M42" s="75"/>
      <c r="N42" s="75"/>
      <c r="O42" s="96"/>
      <c r="P42" s="105"/>
      <c r="Q42" s="96"/>
      <c r="R42" s="96"/>
      <c r="S42" s="75"/>
      <c r="T42" s="141"/>
      <c r="U42" s="141"/>
      <c r="V42" s="75"/>
      <c r="W42" s="100"/>
      <c r="X42" s="100"/>
      <c r="Y42" s="142"/>
      <c r="Z42" s="142"/>
      <c r="AA42" s="100"/>
      <c r="AB42" s="96">
        <v>1</v>
      </c>
      <c r="AC42" s="109"/>
      <c r="AD42" s="108"/>
      <c r="AE42" s="109"/>
      <c r="AF42" s="109"/>
      <c r="AG42" s="108"/>
      <c r="AH42" s="111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50"/>
      <c r="AU42" s="477"/>
      <c r="AV42" s="477"/>
    </row>
    <row r="43" spans="1:48" ht="16.3">
      <c r="A43" s="87" t="s">
        <v>3</v>
      </c>
      <c r="B43" s="289">
        <f>SUM(J43+K43+L43+M43+N43+S43+V43+W43+X43+AA43+AI43+AJ43+AI43+AM43+AP43+AQ43+AS43+AT43+AU43+AV43)</f>
        <v>0</v>
      </c>
      <c r="C43" s="132">
        <f t="shared" si="2"/>
        <v>0</v>
      </c>
      <c r="D43" s="133"/>
      <c r="E43" s="134"/>
      <c r="F43" s="135"/>
      <c r="G43" s="136"/>
      <c r="H43" s="481"/>
      <c r="I43" s="105"/>
      <c r="J43" s="75"/>
      <c r="K43" s="75"/>
      <c r="L43" s="75"/>
      <c r="M43" s="75"/>
      <c r="N43" s="75"/>
      <c r="O43" s="96"/>
      <c r="P43" s="105"/>
      <c r="Q43" s="96"/>
      <c r="R43" s="96"/>
      <c r="S43" s="75"/>
      <c r="T43" s="141"/>
      <c r="U43" s="141"/>
      <c r="V43" s="75"/>
      <c r="W43" s="100"/>
      <c r="X43" s="100"/>
      <c r="Y43" s="142"/>
      <c r="Z43" s="142"/>
      <c r="AA43" s="100"/>
      <c r="AB43" s="96">
        <v>1</v>
      </c>
      <c r="AC43" s="109"/>
      <c r="AD43" s="108"/>
      <c r="AE43" s="109"/>
      <c r="AF43" s="109"/>
      <c r="AG43" s="108"/>
      <c r="AH43" s="111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50"/>
      <c r="AU43" s="477"/>
      <c r="AV43" s="477"/>
    </row>
    <row r="44" spans="1:48" ht="17" thickBot="1">
      <c r="A44" s="88" t="s">
        <v>4</v>
      </c>
      <c r="B44" s="290">
        <f>SUM(J44+K44+L44+M44+N44+S44+V44+W44+X44+AA44+AI44+AJ44+AI44+AM44+AP44+AQ44+AS44+AT44+AU44+AV44)</f>
        <v>0</v>
      </c>
      <c r="C44" s="143">
        <f t="shared" si="2"/>
        <v>0</v>
      </c>
      <c r="D44" s="144"/>
      <c r="E44" s="145"/>
      <c r="F44" s="146"/>
      <c r="G44" s="147"/>
      <c r="H44" s="482"/>
      <c r="I44" s="127"/>
      <c r="J44" s="112"/>
      <c r="K44" s="112"/>
      <c r="L44" s="112"/>
      <c r="M44" s="112"/>
      <c r="N44" s="112"/>
      <c r="O44" s="114"/>
      <c r="P44" s="127"/>
      <c r="Q44" s="114"/>
      <c r="R44" s="114"/>
      <c r="S44" s="112"/>
      <c r="T44" s="178"/>
      <c r="U44" s="178"/>
      <c r="V44" s="112"/>
      <c r="W44" s="116"/>
      <c r="X44" s="116"/>
      <c r="Y44" s="178"/>
      <c r="Z44" s="142"/>
      <c r="AA44" s="100"/>
      <c r="AB44" s="114">
        <v>5</v>
      </c>
      <c r="AC44" s="109"/>
      <c r="AD44" s="108"/>
      <c r="AE44" s="109"/>
      <c r="AF44" s="109"/>
      <c r="AG44" s="108"/>
      <c r="AH44" s="111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50"/>
      <c r="AU44" s="477"/>
      <c r="AV44" s="477"/>
    </row>
    <row r="45" spans="1:48" ht="21.1">
      <c r="A45" s="82" t="s">
        <v>591</v>
      </c>
      <c r="B45" s="289"/>
      <c r="C45" s="132"/>
      <c r="D45" s="133"/>
      <c r="E45" s="134"/>
      <c r="F45" s="135"/>
      <c r="G45" s="136"/>
      <c r="H45" s="481" t="s">
        <v>438</v>
      </c>
      <c r="I45" s="105"/>
      <c r="J45" s="75"/>
      <c r="K45" s="75"/>
      <c r="L45" s="75"/>
      <c r="M45" s="75"/>
      <c r="N45" s="75"/>
      <c r="O45" s="96"/>
      <c r="P45" s="105"/>
      <c r="Q45" s="96"/>
      <c r="R45" s="96"/>
      <c r="S45" s="75"/>
      <c r="T45" s="141"/>
      <c r="U45" s="141"/>
      <c r="V45" s="75" t="s">
        <v>339</v>
      </c>
      <c r="W45" s="100" t="s">
        <v>339</v>
      </c>
      <c r="X45" s="100" t="s">
        <v>339</v>
      </c>
      <c r="Y45" s="142" t="s">
        <v>339</v>
      </c>
      <c r="Z45" s="138" t="s">
        <v>339</v>
      </c>
      <c r="AA45" s="102" t="s">
        <v>339</v>
      </c>
      <c r="AB45" s="96" t="s">
        <v>339</v>
      </c>
      <c r="AC45" s="99"/>
      <c r="AD45" s="98"/>
      <c r="AE45" s="99"/>
      <c r="AF45" s="99"/>
      <c r="AG45" s="98"/>
      <c r="AH45" s="103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478"/>
      <c r="AU45" s="477"/>
      <c r="AV45" s="477"/>
    </row>
    <row r="46" spans="1:48" ht="16.3">
      <c r="A46" s="246" t="s">
        <v>1</v>
      </c>
      <c r="B46" s="292">
        <f>SUM(J46+K46+L46+M46+N46+S46+V46+W46+X46+AA46+AI46+AJ46+AI46+AM46+AP46+AQ46+AS46+AT46+AU46+AV46+AN46)</f>
        <v>0</v>
      </c>
      <c r="C46" s="288">
        <f>B46</f>
        <v>0</v>
      </c>
      <c r="D46" s="133"/>
      <c r="E46" s="134"/>
      <c r="F46" s="135"/>
      <c r="G46" s="136"/>
      <c r="H46" s="481">
        <v>1</v>
      </c>
      <c r="I46" s="105"/>
      <c r="J46" s="75"/>
      <c r="K46" s="75"/>
      <c r="L46" s="75"/>
      <c r="M46" s="75"/>
      <c r="N46" s="75"/>
      <c r="O46" s="96"/>
      <c r="P46" s="105"/>
      <c r="Q46" s="96"/>
      <c r="R46" s="96"/>
      <c r="S46" s="75"/>
      <c r="T46" s="141"/>
      <c r="U46" s="141"/>
      <c r="V46" s="75"/>
      <c r="W46" s="75"/>
      <c r="X46" s="75"/>
      <c r="Y46" s="141"/>
      <c r="Z46" s="141"/>
      <c r="AA46" s="75"/>
      <c r="AB46" s="96"/>
      <c r="AC46" s="96"/>
      <c r="AD46" s="105"/>
      <c r="AE46" s="96"/>
      <c r="AF46" s="96"/>
      <c r="AG46" s="105"/>
      <c r="AH46" s="107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168"/>
      <c r="AU46" s="477"/>
      <c r="AV46" s="477"/>
    </row>
    <row r="47" spans="1:48" ht="16.3">
      <c r="A47" s="246" t="s">
        <v>2</v>
      </c>
      <c r="B47" s="292">
        <f>SUM(J47+K47+L47+M47+N47+S47+V47+W47+X47+AA47+AI47+AJ47+AI47+AM47+AP47+AQ47+AS47+AT47+AU47+AV47)</f>
        <v>0</v>
      </c>
      <c r="C47" s="288">
        <f t="shared" ref="C47:C50" si="4">B47</f>
        <v>0</v>
      </c>
      <c r="D47" s="133"/>
      <c r="E47" s="134"/>
      <c r="F47" s="135"/>
      <c r="G47" s="136"/>
      <c r="H47" s="481"/>
      <c r="I47" s="105"/>
      <c r="J47" s="75"/>
      <c r="K47" s="75"/>
      <c r="L47" s="75"/>
      <c r="M47" s="75"/>
      <c r="N47" s="75"/>
      <c r="O47" s="96"/>
      <c r="P47" s="105"/>
      <c r="Q47" s="96"/>
      <c r="R47" s="96"/>
      <c r="S47" s="75"/>
      <c r="T47" s="141"/>
      <c r="U47" s="141"/>
      <c r="V47" s="75"/>
      <c r="W47" s="100"/>
      <c r="X47" s="100"/>
      <c r="Y47" s="142"/>
      <c r="Z47" s="142"/>
      <c r="AA47" s="100"/>
      <c r="AB47" s="96"/>
      <c r="AC47" s="109"/>
      <c r="AD47" s="108"/>
      <c r="AE47" s="109"/>
      <c r="AF47" s="109"/>
      <c r="AG47" s="108"/>
      <c r="AH47" s="111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50"/>
      <c r="AU47" s="477"/>
      <c r="AV47" s="477"/>
    </row>
    <row r="48" spans="1:48" ht="16.3">
      <c r="A48" s="87" t="s">
        <v>363</v>
      </c>
      <c r="B48" s="289">
        <f>SUM(B46+B47)</f>
        <v>0</v>
      </c>
      <c r="C48" s="132">
        <f t="shared" si="4"/>
        <v>0</v>
      </c>
      <c r="D48" s="133"/>
      <c r="E48" s="134"/>
      <c r="F48" s="135"/>
      <c r="G48" s="136"/>
      <c r="H48" s="481"/>
      <c r="I48" s="105"/>
      <c r="J48" s="75"/>
      <c r="K48" s="75"/>
      <c r="L48" s="75"/>
      <c r="M48" s="75"/>
      <c r="N48" s="75"/>
      <c r="O48" s="96"/>
      <c r="P48" s="105"/>
      <c r="Q48" s="96"/>
      <c r="R48" s="96"/>
      <c r="S48" s="75"/>
      <c r="T48" s="141"/>
      <c r="U48" s="141"/>
      <c r="V48" s="75"/>
      <c r="W48" s="100"/>
      <c r="X48" s="100"/>
      <c r="Y48" s="142"/>
      <c r="Z48" s="142"/>
      <c r="AA48" s="100"/>
      <c r="AB48" s="96"/>
      <c r="AC48" s="109"/>
      <c r="AD48" s="108"/>
      <c r="AE48" s="109"/>
      <c r="AF48" s="109"/>
      <c r="AG48" s="108"/>
      <c r="AH48" s="111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50"/>
      <c r="AU48" s="477"/>
      <c r="AV48" s="477"/>
    </row>
    <row r="49" spans="1:48" ht="16.3">
      <c r="A49" s="87" t="s">
        <v>3</v>
      </c>
      <c r="B49" s="289">
        <f>SUM(J49+K49+L49+M49+N49+S49+V49+W49+X49+AA49+AI49+AJ49+AI49+AM49+AP49+AQ49+AS49+AT49+AU49+AV49)</f>
        <v>0</v>
      </c>
      <c r="C49" s="132">
        <f t="shared" si="4"/>
        <v>0</v>
      </c>
      <c r="D49" s="133"/>
      <c r="E49" s="134"/>
      <c r="F49" s="135"/>
      <c r="G49" s="136"/>
      <c r="H49" s="481"/>
      <c r="I49" s="105"/>
      <c r="J49" s="75"/>
      <c r="K49" s="75"/>
      <c r="L49" s="75"/>
      <c r="M49" s="75"/>
      <c r="N49" s="75"/>
      <c r="O49" s="96"/>
      <c r="P49" s="105"/>
      <c r="Q49" s="96"/>
      <c r="R49" s="96"/>
      <c r="S49" s="75"/>
      <c r="T49" s="141"/>
      <c r="U49" s="141"/>
      <c r="V49" s="75"/>
      <c r="W49" s="100"/>
      <c r="X49" s="100"/>
      <c r="Y49" s="142"/>
      <c r="Z49" s="142"/>
      <c r="AA49" s="100"/>
      <c r="AB49" s="96"/>
      <c r="AC49" s="109"/>
      <c r="AD49" s="108"/>
      <c r="AE49" s="109"/>
      <c r="AF49" s="109"/>
      <c r="AG49" s="108"/>
      <c r="AH49" s="111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50"/>
      <c r="AU49" s="477"/>
      <c r="AV49" s="477"/>
    </row>
    <row r="50" spans="1:48" ht="17" thickBot="1">
      <c r="A50" s="88" t="s">
        <v>4</v>
      </c>
      <c r="B50" s="290">
        <f>SUM(J50+K50+L50+M50+N50+S50+V50+W50+X50+AA50+AI50+AJ50+AI50+AM50+AP50+AQ50+AS50+AT50+AU50+AV50)</f>
        <v>0</v>
      </c>
      <c r="C50" s="143">
        <f t="shared" si="4"/>
        <v>0</v>
      </c>
      <c r="D50" s="144"/>
      <c r="E50" s="145"/>
      <c r="F50" s="146"/>
      <c r="G50" s="147"/>
      <c r="H50" s="482"/>
      <c r="I50" s="127"/>
      <c r="J50" s="112"/>
      <c r="K50" s="112"/>
      <c r="L50" s="112"/>
      <c r="M50" s="112"/>
      <c r="N50" s="112"/>
      <c r="O50" s="114"/>
      <c r="P50" s="127"/>
      <c r="Q50" s="114"/>
      <c r="R50" s="114"/>
      <c r="S50" s="112"/>
      <c r="T50" s="178"/>
      <c r="U50" s="178"/>
      <c r="V50" s="112"/>
      <c r="W50" s="116"/>
      <c r="X50" s="112"/>
      <c r="Y50" s="149"/>
      <c r="Z50" s="149"/>
      <c r="AA50" s="116"/>
      <c r="AB50" s="114"/>
      <c r="AC50" s="118"/>
      <c r="AD50" s="117"/>
      <c r="AE50" s="118"/>
      <c r="AF50" s="118"/>
      <c r="AG50" s="117"/>
      <c r="AH50" s="121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76"/>
      <c r="AU50" s="477"/>
      <c r="AV50" s="477"/>
    </row>
    <row r="51" spans="1:48" ht="21.1">
      <c r="A51" s="82" t="s">
        <v>317</v>
      </c>
      <c r="B51" s="289"/>
      <c r="C51" s="132"/>
      <c r="D51" s="133"/>
      <c r="E51" s="134"/>
      <c r="F51" s="135"/>
      <c r="G51" s="136"/>
      <c r="H51" s="481">
        <v>13</v>
      </c>
      <c r="I51" s="105"/>
      <c r="J51" s="75">
        <v>13</v>
      </c>
      <c r="K51" s="75" t="s">
        <v>339</v>
      </c>
      <c r="L51" s="75" t="s">
        <v>339</v>
      </c>
      <c r="M51" s="75" t="s">
        <v>339</v>
      </c>
      <c r="N51" s="75" t="s">
        <v>339</v>
      </c>
      <c r="O51" s="96" t="s">
        <v>451</v>
      </c>
      <c r="P51" s="105"/>
      <c r="Q51" s="96" t="s">
        <v>339</v>
      </c>
      <c r="R51" s="96" t="s">
        <v>339</v>
      </c>
      <c r="S51" s="75" t="s">
        <v>339</v>
      </c>
      <c r="T51" s="141" t="s">
        <v>339</v>
      </c>
      <c r="U51" s="141" t="s">
        <v>339</v>
      </c>
      <c r="V51" s="75" t="s">
        <v>902</v>
      </c>
      <c r="W51" s="100" t="s">
        <v>381</v>
      </c>
      <c r="X51" s="100">
        <v>12</v>
      </c>
      <c r="Y51" s="142" t="s">
        <v>381</v>
      </c>
      <c r="Z51" s="142">
        <v>13</v>
      </c>
      <c r="AA51" s="100" t="s">
        <v>381</v>
      </c>
      <c r="AB51" s="96"/>
      <c r="AC51" s="99"/>
      <c r="AD51" s="108"/>
      <c r="AE51" s="109"/>
      <c r="AF51" s="109">
        <v>12</v>
      </c>
      <c r="AG51" s="108"/>
      <c r="AH51" s="111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50"/>
      <c r="AU51" s="477"/>
      <c r="AV51" s="477"/>
    </row>
    <row r="52" spans="1:48" ht="16.3">
      <c r="A52" s="246" t="s">
        <v>1</v>
      </c>
      <c r="B52" s="292">
        <f>SUM(J52+K52+L52+M52+N52+S52+V52+W52+X52+AA52+AI52+AJ52+AI52+AM52+AP52+AQ52+AS52+AT52+AU52+AV52+AN52)+10</f>
        <v>15</v>
      </c>
      <c r="C52" s="288">
        <f>B52</f>
        <v>15</v>
      </c>
      <c r="D52" s="133"/>
      <c r="E52" s="134"/>
      <c r="F52" s="135"/>
      <c r="G52" s="136"/>
      <c r="H52" s="481">
        <v>1</v>
      </c>
      <c r="I52" s="105"/>
      <c r="J52" s="75">
        <v>1</v>
      </c>
      <c r="K52" s="75"/>
      <c r="L52" s="75"/>
      <c r="M52" s="75"/>
      <c r="N52" s="75"/>
      <c r="O52" s="96">
        <v>1</v>
      </c>
      <c r="P52" s="105"/>
      <c r="Q52" s="96"/>
      <c r="R52" s="96"/>
      <c r="S52" s="75"/>
      <c r="T52" s="141"/>
      <c r="U52" s="141"/>
      <c r="V52" s="75">
        <v>1</v>
      </c>
      <c r="W52" s="100">
        <v>1</v>
      </c>
      <c r="X52" s="100">
        <v>1</v>
      </c>
      <c r="Y52" s="142">
        <v>1</v>
      </c>
      <c r="Z52" s="142">
        <v>1</v>
      </c>
      <c r="AA52" s="100">
        <v>1</v>
      </c>
      <c r="AB52" s="96"/>
      <c r="AC52" s="109"/>
      <c r="AD52" s="108"/>
      <c r="AE52" s="109"/>
      <c r="AF52" s="109">
        <v>1</v>
      </c>
      <c r="AG52" s="108"/>
      <c r="AH52" s="111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50"/>
      <c r="AU52" s="477"/>
      <c r="AV52" s="477"/>
    </row>
    <row r="53" spans="1:48" ht="16.3">
      <c r="A53" s="246" t="s">
        <v>2</v>
      </c>
      <c r="B53" s="292">
        <f>SUM(J53+K53+L53+M53+N53+S53+V53+W53+X53+AA53+AI53+AJ53+AI53+AM53+AP53+AQ53+AS53+AT53+AU53+AV53)+2</f>
        <v>2</v>
      </c>
      <c r="C53" s="288">
        <f t="shared" ref="C53:C57" si="5">B53</f>
        <v>2</v>
      </c>
      <c r="D53" s="133"/>
      <c r="E53" s="134"/>
      <c r="F53" s="135"/>
      <c r="G53" s="136"/>
      <c r="H53" s="481"/>
      <c r="I53" s="105"/>
      <c r="J53" s="75"/>
      <c r="K53" s="75"/>
      <c r="L53" s="75"/>
      <c r="M53" s="75"/>
      <c r="N53" s="75"/>
      <c r="O53" s="96"/>
      <c r="P53" s="105"/>
      <c r="Q53" s="96"/>
      <c r="R53" s="96"/>
      <c r="S53" s="75"/>
      <c r="T53" s="141"/>
      <c r="U53" s="141"/>
      <c r="V53" s="75"/>
      <c r="W53" s="100"/>
      <c r="X53" s="100"/>
      <c r="Y53" s="142"/>
      <c r="Z53" s="142"/>
      <c r="AA53" s="100"/>
      <c r="AB53" s="96"/>
      <c r="AC53" s="109"/>
      <c r="AD53" s="108"/>
      <c r="AE53" s="109"/>
      <c r="AF53" s="109"/>
      <c r="AG53" s="108"/>
      <c r="AH53" s="111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50"/>
      <c r="AU53" s="477"/>
      <c r="AV53" s="477"/>
    </row>
    <row r="54" spans="1:48" ht="16.3">
      <c r="A54" s="87" t="s">
        <v>363</v>
      </c>
      <c r="B54" s="289">
        <f>SUM(B52+B53)</f>
        <v>17</v>
      </c>
      <c r="C54" s="132">
        <f t="shared" si="5"/>
        <v>17</v>
      </c>
      <c r="D54" s="133"/>
      <c r="E54" s="134"/>
      <c r="F54" s="135"/>
      <c r="G54" s="136"/>
      <c r="H54" s="481"/>
      <c r="I54" s="105"/>
      <c r="J54" s="75"/>
      <c r="K54" s="75"/>
      <c r="L54" s="75"/>
      <c r="M54" s="75"/>
      <c r="N54" s="75"/>
      <c r="O54" s="96"/>
      <c r="P54" s="105"/>
      <c r="Q54" s="96"/>
      <c r="R54" s="96"/>
      <c r="S54" s="75"/>
      <c r="T54" s="141"/>
      <c r="U54" s="141"/>
      <c r="V54" s="75"/>
      <c r="W54" s="100"/>
      <c r="X54" s="100"/>
      <c r="Y54" s="142"/>
      <c r="Z54" s="142"/>
      <c r="AA54" s="100"/>
      <c r="AB54" s="96"/>
      <c r="AC54" s="109"/>
      <c r="AD54" s="108"/>
      <c r="AE54" s="109"/>
      <c r="AF54" s="109"/>
      <c r="AG54" s="108"/>
      <c r="AH54" s="111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50"/>
      <c r="AU54" s="477"/>
      <c r="AV54" s="477"/>
    </row>
    <row r="55" spans="1:48" ht="16.3">
      <c r="A55" s="246" t="s">
        <v>362</v>
      </c>
      <c r="B55" s="292">
        <f>SUM(J55+K55+L55+M55+N55+S55+V55+W55+X55+AA55+AI55+AJ55+AI55+AM55+AP55+AQ55+AS55+AT55+AU55+AV55)+1</f>
        <v>1</v>
      </c>
      <c r="C55" s="288">
        <f t="shared" si="5"/>
        <v>1</v>
      </c>
      <c r="D55" s="133"/>
      <c r="E55" s="134"/>
      <c r="F55" s="135"/>
      <c r="G55" s="136"/>
      <c r="H55" s="481"/>
      <c r="I55" s="105"/>
      <c r="J55" s="75"/>
      <c r="K55" s="75"/>
      <c r="L55" s="75"/>
      <c r="M55" s="75"/>
      <c r="N55" s="75"/>
      <c r="O55" s="96">
        <v>1</v>
      </c>
      <c r="P55" s="105"/>
      <c r="Q55" s="96"/>
      <c r="R55" s="96"/>
      <c r="S55" s="75"/>
      <c r="T55" s="141"/>
      <c r="U55" s="141"/>
      <c r="V55" s="75"/>
      <c r="W55" s="100"/>
      <c r="X55" s="100"/>
      <c r="Y55" s="142"/>
      <c r="Z55" s="142"/>
      <c r="AA55" s="100"/>
      <c r="AB55" s="96"/>
      <c r="AC55" s="109"/>
      <c r="AD55" s="108"/>
      <c r="AE55" s="109"/>
      <c r="AF55" s="109"/>
      <c r="AG55" s="108"/>
      <c r="AH55" s="111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50"/>
      <c r="AU55" s="477"/>
      <c r="AV55" s="477"/>
    </row>
    <row r="56" spans="1:48" ht="16.3">
      <c r="A56" s="87" t="s">
        <v>3</v>
      </c>
      <c r="B56" s="289">
        <f>SUM(J56+K56+L56+M56+N56+S56+V56+W56+X56+AA56+AI56+AJ56+AI56+AM56+AP56+AQ56+AS56+AT56+AU56+AV56)+1</f>
        <v>1</v>
      </c>
      <c r="C56" s="132">
        <f t="shared" si="5"/>
        <v>1</v>
      </c>
      <c r="D56" s="133"/>
      <c r="E56" s="134"/>
      <c r="F56" s="135"/>
      <c r="G56" s="136"/>
      <c r="H56" s="481"/>
      <c r="I56" s="105"/>
      <c r="J56" s="75"/>
      <c r="K56" s="75"/>
      <c r="L56" s="75"/>
      <c r="M56" s="75"/>
      <c r="N56" s="75"/>
      <c r="O56" s="96"/>
      <c r="P56" s="105"/>
      <c r="Q56" s="96"/>
      <c r="R56" s="96"/>
      <c r="S56" s="75"/>
      <c r="T56" s="141"/>
      <c r="U56" s="141"/>
      <c r="V56" s="75"/>
      <c r="W56" s="100"/>
      <c r="X56" s="100"/>
      <c r="Y56" s="142">
        <v>1</v>
      </c>
      <c r="Z56" s="142"/>
      <c r="AA56" s="100"/>
      <c r="AB56" s="96"/>
      <c r="AC56" s="109"/>
      <c r="AD56" s="108"/>
      <c r="AE56" s="109"/>
      <c r="AF56" s="109"/>
      <c r="AG56" s="108"/>
      <c r="AH56" s="111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50"/>
      <c r="AU56" s="477"/>
      <c r="AV56" s="477"/>
    </row>
    <row r="57" spans="1:48" ht="17" thickBot="1">
      <c r="A57" s="88" t="s">
        <v>4</v>
      </c>
      <c r="B57" s="290">
        <f>SUM(J57+K57+L57+M57+N57+S57+V57+W57+X57+AA57+AI57+AJ57+AI57+AM57+AP57+AQ57+AS57+AT57+AU57+AV57)+5</f>
        <v>5</v>
      </c>
      <c r="C57" s="143">
        <f t="shared" si="5"/>
        <v>5</v>
      </c>
      <c r="D57" s="144"/>
      <c r="E57" s="145"/>
      <c r="F57" s="146"/>
      <c r="G57" s="147"/>
      <c r="H57" s="482"/>
      <c r="I57" s="127"/>
      <c r="J57" s="112"/>
      <c r="K57" s="112"/>
      <c r="L57" s="112"/>
      <c r="M57" s="112"/>
      <c r="N57" s="112"/>
      <c r="O57" s="114"/>
      <c r="P57" s="127"/>
      <c r="Q57" s="114"/>
      <c r="R57" s="114"/>
      <c r="S57" s="112"/>
      <c r="T57" s="178"/>
      <c r="U57" s="178"/>
      <c r="V57" s="112"/>
      <c r="W57" s="116"/>
      <c r="X57" s="116"/>
      <c r="Y57" s="149">
        <v>5</v>
      </c>
      <c r="Z57" s="149"/>
      <c r="AA57" s="116"/>
      <c r="AB57" s="114"/>
      <c r="AC57" s="118"/>
      <c r="AD57" s="117"/>
      <c r="AE57" s="118"/>
      <c r="AF57" s="118"/>
      <c r="AG57" s="117"/>
      <c r="AH57" s="121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76"/>
      <c r="AU57" s="477"/>
      <c r="AV57" s="477"/>
    </row>
    <row r="58" spans="1:48" ht="21.1">
      <c r="A58" s="82" t="s">
        <v>812</v>
      </c>
      <c r="B58" s="289"/>
      <c r="C58" s="132"/>
      <c r="D58" s="133"/>
      <c r="E58" s="134"/>
      <c r="F58" s="135"/>
      <c r="G58" s="136"/>
      <c r="H58" s="481" t="s">
        <v>813</v>
      </c>
      <c r="I58" s="105"/>
      <c r="J58" s="75" t="s">
        <v>813</v>
      </c>
      <c r="K58" s="75" t="s">
        <v>813</v>
      </c>
      <c r="L58" s="75" t="s">
        <v>813</v>
      </c>
      <c r="M58" s="75" t="s">
        <v>813</v>
      </c>
      <c r="N58" s="75" t="s">
        <v>813</v>
      </c>
      <c r="O58" s="96" t="s">
        <v>813</v>
      </c>
      <c r="P58" s="105" t="s">
        <v>719</v>
      </c>
      <c r="Q58" s="96" t="s">
        <v>626</v>
      </c>
      <c r="R58" s="96"/>
      <c r="S58" s="75"/>
      <c r="T58" s="141"/>
      <c r="U58" s="141"/>
      <c r="V58" s="75"/>
      <c r="W58" s="100"/>
      <c r="X58" s="100"/>
      <c r="Y58" s="142"/>
      <c r="Z58" s="142"/>
      <c r="AA58" s="100"/>
      <c r="AB58" s="96"/>
      <c r="AC58" s="109"/>
      <c r="AD58" s="108"/>
      <c r="AE58" s="109"/>
      <c r="AF58" s="109"/>
      <c r="AG58" s="108"/>
      <c r="AH58" s="111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50"/>
      <c r="AU58" s="477"/>
      <c r="AV58" s="477"/>
    </row>
    <row r="59" spans="1:48" ht="16.3">
      <c r="A59" s="246" t="s">
        <v>1</v>
      </c>
      <c r="B59" s="292">
        <f>SUM(J59+K59+L59+M59+N59+S59+V59+W59+X59+AA59+AI59+AJ59+AI59+AM59+AP59+AQ59+AS59+AT59+AU59+AV59+AN59)</f>
        <v>0</v>
      </c>
      <c r="C59" s="288">
        <f>B59</f>
        <v>0</v>
      </c>
      <c r="D59" s="133"/>
      <c r="E59" s="134"/>
      <c r="F59" s="135"/>
      <c r="G59" s="136"/>
      <c r="H59" s="481"/>
      <c r="I59" s="105"/>
      <c r="J59" s="75"/>
      <c r="K59" s="75"/>
      <c r="L59" s="75"/>
      <c r="M59" s="75"/>
      <c r="N59" s="75"/>
      <c r="O59" s="96"/>
      <c r="P59" s="105"/>
      <c r="Q59" s="96">
        <v>1</v>
      </c>
      <c r="R59" s="96"/>
      <c r="S59" s="75"/>
      <c r="T59" s="141"/>
      <c r="U59" s="141"/>
      <c r="V59" s="75"/>
      <c r="W59" s="100"/>
      <c r="X59" s="100"/>
      <c r="Y59" s="142"/>
      <c r="Z59" s="142"/>
      <c r="AA59" s="100"/>
      <c r="AB59" s="96"/>
      <c r="AC59" s="109"/>
      <c r="AD59" s="108"/>
      <c r="AE59" s="109"/>
      <c r="AF59" s="109"/>
      <c r="AG59" s="108"/>
      <c r="AH59" s="111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50"/>
      <c r="AU59" s="477"/>
      <c r="AV59" s="477"/>
    </row>
    <row r="60" spans="1:48" ht="16.3">
      <c r="A60" s="246" t="s">
        <v>2</v>
      </c>
      <c r="B60" s="292">
        <f>SUM(J60+K60+L60+M60+N60+S60+V60+W60+X60+AA60+AI60+AJ60+AI60+AM60+AP60+AQ60+AS60+AT60+AU60+AV60)</f>
        <v>0</v>
      </c>
      <c r="C60" s="288">
        <f t="shared" ref="C60:C63" si="6">B60</f>
        <v>0</v>
      </c>
      <c r="D60" s="133"/>
      <c r="E60" s="134"/>
      <c r="F60" s="135"/>
      <c r="G60" s="136"/>
      <c r="H60" s="481"/>
      <c r="I60" s="105"/>
      <c r="J60" s="75"/>
      <c r="K60" s="75"/>
      <c r="L60" s="75"/>
      <c r="M60" s="75"/>
      <c r="N60" s="75"/>
      <c r="O60" s="96"/>
      <c r="P60" s="105"/>
      <c r="Q60" s="96"/>
      <c r="R60" s="96"/>
      <c r="S60" s="75"/>
      <c r="T60" s="141"/>
      <c r="U60" s="141"/>
      <c r="V60" s="75"/>
      <c r="W60" s="100"/>
      <c r="X60" s="100"/>
      <c r="Y60" s="142"/>
      <c r="Z60" s="142"/>
      <c r="AA60" s="100"/>
      <c r="AB60" s="96"/>
      <c r="AC60" s="109"/>
      <c r="AD60" s="108"/>
      <c r="AE60" s="109"/>
      <c r="AF60" s="109"/>
      <c r="AG60" s="108"/>
      <c r="AH60" s="111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50"/>
      <c r="AU60" s="477"/>
      <c r="AV60" s="477"/>
    </row>
    <row r="61" spans="1:48" ht="16.3">
      <c r="A61" s="87" t="s">
        <v>363</v>
      </c>
      <c r="B61" s="289">
        <f>SUM(B59+B60)</f>
        <v>0</v>
      </c>
      <c r="C61" s="132">
        <f t="shared" si="6"/>
        <v>0</v>
      </c>
      <c r="D61" s="133"/>
      <c r="E61" s="134"/>
      <c r="F61" s="135"/>
      <c r="G61" s="136"/>
      <c r="H61" s="481"/>
      <c r="I61" s="105"/>
      <c r="J61" s="75"/>
      <c r="K61" s="75"/>
      <c r="L61" s="75"/>
      <c r="M61" s="75"/>
      <c r="N61" s="75"/>
      <c r="O61" s="96"/>
      <c r="P61" s="105"/>
      <c r="Q61" s="96"/>
      <c r="R61" s="96"/>
      <c r="S61" s="75"/>
      <c r="T61" s="141"/>
      <c r="U61" s="141"/>
      <c r="V61" s="75"/>
      <c r="W61" s="100"/>
      <c r="X61" s="100"/>
      <c r="Y61" s="142"/>
      <c r="Z61" s="142"/>
      <c r="AA61" s="100"/>
      <c r="AB61" s="96"/>
      <c r="AC61" s="109"/>
      <c r="AD61" s="108"/>
      <c r="AE61" s="109"/>
      <c r="AF61" s="109"/>
      <c r="AG61" s="108"/>
      <c r="AH61" s="111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50"/>
      <c r="AU61" s="477"/>
      <c r="AV61" s="477"/>
    </row>
    <row r="62" spans="1:48" ht="16.3">
      <c r="A62" s="87" t="s">
        <v>3</v>
      </c>
      <c r="B62" s="289">
        <f>SUM(J62+K62+L62+M62+N62+S62+V62+W62+X62+AA62+AI62+AJ62+AI62+AM62+AP62+AQ62+AS62+AT62+AU62+AV62)</f>
        <v>0</v>
      </c>
      <c r="C62" s="132">
        <f t="shared" si="6"/>
        <v>0</v>
      </c>
      <c r="D62" s="133"/>
      <c r="E62" s="134"/>
      <c r="F62" s="135"/>
      <c r="G62" s="136"/>
      <c r="H62" s="481"/>
      <c r="I62" s="105"/>
      <c r="J62" s="75"/>
      <c r="K62" s="75"/>
      <c r="L62" s="75"/>
      <c r="M62" s="75"/>
      <c r="N62" s="75"/>
      <c r="O62" s="96"/>
      <c r="P62" s="105"/>
      <c r="Q62" s="168">
        <v>3</v>
      </c>
      <c r="R62" s="96"/>
      <c r="S62" s="75"/>
      <c r="T62" s="141"/>
      <c r="U62" s="141"/>
      <c r="V62" s="75"/>
      <c r="W62" s="100"/>
      <c r="X62" s="100"/>
      <c r="Y62" s="142"/>
      <c r="Z62" s="142"/>
      <c r="AA62" s="100"/>
      <c r="AB62" s="96"/>
      <c r="AC62" s="109"/>
      <c r="AD62" s="108"/>
      <c r="AE62" s="109"/>
      <c r="AF62" s="109"/>
      <c r="AG62" s="108"/>
      <c r="AH62" s="111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50"/>
      <c r="AU62" s="477"/>
      <c r="AV62" s="477"/>
    </row>
    <row r="63" spans="1:48" ht="17" thickBot="1">
      <c r="A63" s="88" t="s">
        <v>4</v>
      </c>
      <c r="B63" s="290">
        <f>SUM(J63+K63+L63+M63+N63+S63+V63+W63+X63+AA63+AI63+AJ63+AI63+AM63+AP63+AQ63+AS63+AT63+AU63+AV63)</f>
        <v>0</v>
      </c>
      <c r="C63" s="143">
        <f t="shared" si="6"/>
        <v>0</v>
      </c>
      <c r="D63" s="144"/>
      <c r="E63" s="145"/>
      <c r="F63" s="146"/>
      <c r="G63" s="147"/>
      <c r="H63" s="482"/>
      <c r="I63" s="127"/>
      <c r="J63" s="112"/>
      <c r="K63" s="112"/>
      <c r="L63" s="112"/>
      <c r="M63" s="112"/>
      <c r="N63" s="112"/>
      <c r="O63" s="114"/>
      <c r="P63" s="127"/>
      <c r="Q63" s="114">
        <v>15</v>
      </c>
      <c r="R63" s="114"/>
      <c r="S63" s="112"/>
      <c r="T63" s="178"/>
      <c r="U63" s="178"/>
      <c r="V63" s="112"/>
      <c r="W63" s="116"/>
      <c r="X63" s="116"/>
      <c r="Y63" s="149"/>
      <c r="Z63" s="149"/>
      <c r="AA63" s="116"/>
      <c r="AB63" s="114"/>
      <c r="AC63" s="118"/>
      <c r="AD63" s="117"/>
      <c r="AE63" s="118"/>
      <c r="AF63" s="118"/>
      <c r="AG63" s="117"/>
      <c r="AH63" s="121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76"/>
      <c r="AU63" s="580"/>
      <c r="AV63" s="580"/>
    </row>
    <row r="64" spans="1:48" ht="21.1">
      <c r="A64" s="82" t="s">
        <v>262</v>
      </c>
      <c r="B64" s="289"/>
      <c r="C64" s="132"/>
      <c r="D64" s="133"/>
      <c r="E64" s="134"/>
      <c r="F64" s="135"/>
      <c r="G64" s="136"/>
      <c r="H64" s="481" t="s">
        <v>339</v>
      </c>
      <c r="I64" s="105"/>
      <c r="J64" s="75"/>
      <c r="K64" s="75">
        <v>13</v>
      </c>
      <c r="L64" s="75" t="s">
        <v>377</v>
      </c>
      <c r="M64" s="75" t="s">
        <v>339</v>
      </c>
      <c r="N64" s="75" t="s">
        <v>339</v>
      </c>
      <c r="O64" s="96" t="s">
        <v>339</v>
      </c>
      <c r="P64" s="105"/>
      <c r="Q64" s="96" t="s">
        <v>339</v>
      </c>
      <c r="R64" s="96" t="s">
        <v>339</v>
      </c>
      <c r="S64" s="75" t="s">
        <v>339</v>
      </c>
      <c r="T64" s="141" t="s">
        <v>339</v>
      </c>
      <c r="U64" s="141" t="s">
        <v>339</v>
      </c>
      <c r="V64" s="75" t="s">
        <v>339</v>
      </c>
      <c r="W64" s="100" t="s">
        <v>339</v>
      </c>
      <c r="X64" s="100" t="s">
        <v>339</v>
      </c>
      <c r="Y64" s="142" t="s">
        <v>339</v>
      </c>
      <c r="Z64" s="142" t="s">
        <v>339</v>
      </c>
      <c r="AA64" s="100" t="s">
        <v>339</v>
      </c>
      <c r="AB64" s="96" t="s">
        <v>339</v>
      </c>
      <c r="AC64" s="109"/>
      <c r="AD64" s="108"/>
      <c r="AE64" s="109"/>
      <c r="AF64" s="109"/>
      <c r="AG64" s="108"/>
      <c r="AH64" s="111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50"/>
      <c r="AU64" s="477"/>
      <c r="AV64" s="477"/>
    </row>
    <row r="65" spans="1:48" ht="16.3">
      <c r="A65" s="246" t="s">
        <v>1</v>
      </c>
      <c r="B65" s="292">
        <f>SUM(J65+K65+L65+M65+N65+S65+V65+W65+X65+AA65+AI65+AJ65+AI65+AM65+AP65+AQ65+AS65+AT65+AU65+AV65+AN65)+10</f>
        <v>12</v>
      </c>
      <c r="C65" s="288">
        <f>SUM(K65+L65+M65+N65+J65+S65+W65+X65+V65+AA65+AJ65+AI65+AJ65+AN65+AQ65+AP65+AT65+AU65+AV65+AS65+AM65)+16</f>
        <v>18</v>
      </c>
      <c r="D65" s="133"/>
      <c r="E65" s="134"/>
      <c r="F65" s="135"/>
      <c r="G65" s="136"/>
      <c r="H65" s="481"/>
      <c r="I65" s="105"/>
      <c r="J65" s="75"/>
      <c r="K65" s="75">
        <v>1</v>
      </c>
      <c r="L65" s="75">
        <v>1</v>
      </c>
      <c r="M65" s="75"/>
      <c r="N65" s="75"/>
      <c r="O65" s="96"/>
      <c r="P65" s="105"/>
      <c r="Q65" s="96"/>
      <c r="R65" s="96"/>
      <c r="S65" s="75"/>
      <c r="T65" s="141"/>
      <c r="U65" s="141"/>
      <c r="V65" s="75"/>
      <c r="W65" s="100"/>
      <c r="X65" s="100"/>
      <c r="Y65" s="142"/>
      <c r="Z65" s="142"/>
      <c r="AA65" s="100"/>
      <c r="AB65" s="96"/>
      <c r="AC65" s="109"/>
      <c r="AD65" s="108"/>
      <c r="AE65" s="109"/>
      <c r="AF65" s="109"/>
      <c r="AG65" s="108"/>
      <c r="AH65" s="111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50"/>
      <c r="AU65" s="477"/>
      <c r="AV65" s="477"/>
    </row>
    <row r="66" spans="1:48" ht="16.3">
      <c r="A66" s="246" t="s">
        <v>2</v>
      </c>
      <c r="B66" s="292">
        <f>SUM(J66+K66+L66+M66+N66+S66+V66+W66+X66+AA66+AI66+AJ66+AI66+AM66+AP66+AQ66+AS66+AT66+AU66+AV66)</f>
        <v>0</v>
      </c>
      <c r="C66" s="288">
        <f>SUM(K66+L66+M66+N66+J66+S66+W66+X66+V66+AA66+AJ66+AI66+AJ66+AN66+AQ66+AP66+AT66+AU66+AV66+AS66+AM66)+9</f>
        <v>9</v>
      </c>
      <c r="D66" s="133"/>
      <c r="E66" s="134"/>
      <c r="F66" s="135"/>
      <c r="G66" s="136"/>
      <c r="H66" s="481"/>
      <c r="I66" s="105"/>
      <c r="J66" s="75"/>
      <c r="K66" s="75"/>
      <c r="L66" s="75"/>
      <c r="M66" s="75"/>
      <c r="N66" s="75"/>
      <c r="O66" s="96"/>
      <c r="P66" s="105"/>
      <c r="Q66" s="96"/>
      <c r="R66" s="96"/>
      <c r="S66" s="75"/>
      <c r="T66" s="141"/>
      <c r="U66" s="141"/>
      <c r="V66" s="75"/>
      <c r="W66" s="100"/>
      <c r="X66" s="100"/>
      <c r="Y66" s="142"/>
      <c r="Z66" s="142"/>
      <c r="AA66" s="100"/>
      <c r="AB66" s="96"/>
      <c r="AC66" s="109"/>
      <c r="AD66" s="108"/>
      <c r="AE66" s="109"/>
      <c r="AF66" s="109"/>
      <c r="AG66" s="108"/>
      <c r="AH66" s="111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50"/>
      <c r="AU66" s="477"/>
      <c r="AV66" s="477"/>
    </row>
    <row r="67" spans="1:48" ht="16.3">
      <c r="A67" s="87" t="s">
        <v>363</v>
      </c>
      <c r="B67" s="289">
        <f>SUM(B65+B66)</f>
        <v>12</v>
      </c>
      <c r="C67" s="132">
        <f>SUM(C65+C66)</f>
        <v>27</v>
      </c>
      <c r="D67" s="133"/>
      <c r="E67" s="134"/>
      <c r="F67" s="135"/>
      <c r="G67" s="136"/>
      <c r="H67" s="481"/>
      <c r="I67" s="105"/>
      <c r="J67" s="75"/>
      <c r="K67" s="75"/>
      <c r="L67" s="75"/>
      <c r="M67" s="75"/>
      <c r="N67" s="75"/>
      <c r="O67" s="96"/>
      <c r="P67" s="105"/>
      <c r="Q67" s="96"/>
      <c r="R67" s="96"/>
      <c r="S67" s="75"/>
      <c r="T67" s="141"/>
      <c r="U67" s="141"/>
      <c r="V67" s="75"/>
      <c r="W67" s="100"/>
      <c r="X67" s="100"/>
      <c r="Y67" s="142"/>
      <c r="Z67" s="142"/>
      <c r="AA67" s="100"/>
      <c r="AB67" s="96"/>
      <c r="AC67" s="109"/>
      <c r="AD67" s="108"/>
      <c r="AE67" s="109"/>
      <c r="AF67" s="109"/>
      <c r="AG67" s="108"/>
      <c r="AH67" s="111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50"/>
      <c r="AU67" s="477"/>
      <c r="AV67" s="477"/>
    </row>
    <row r="68" spans="1:48" ht="16.3">
      <c r="A68" s="87" t="s">
        <v>3</v>
      </c>
      <c r="B68" s="289">
        <f>SUM(J68+K68+L68+M68+N68+S68+V68+W68+X68+AA68+AI68+AJ68+AI68+AM68+AP68+AQ68+AS68+AT68+AU68+AV68)+3</f>
        <v>3</v>
      </c>
      <c r="C68" s="132">
        <f>SUM(K68+L68+M68+N68+J68+S68+W68+X68+V68+AA68+AJ68+AI68+AJ68+AN68+AQ68+AP68+AT68+AU68+AV68+AS68+AM68)+4</f>
        <v>4</v>
      </c>
      <c r="D68" s="133"/>
      <c r="E68" s="134"/>
      <c r="F68" s="135"/>
      <c r="G68" s="136"/>
      <c r="H68" s="481"/>
      <c r="I68" s="105"/>
      <c r="J68" s="75"/>
      <c r="K68" s="75"/>
      <c r="L68" s="75"/>
      <c r="M68" s="75"/>
      <c r="N68" s="75"/>
      <c r="O68" s="96"/>
      <c r="P68" s="105"/>
      <c r="Q68" s="96"/>
      <c r="R68" s="96"/>
      <c r="S68" s="75"/>
      <c r="T68" s="141"/>
      <c r="U68" s="141"/>
      <c r="V68" s="75"/>
      <c r="W68" s="100"/>
      <c r="X68" s="100"/>
      <c r="Y68" s="142"/>
      <c r="Z68" s="142"/>
      <c r="AA68" s="100"/>
      <c r="AB68" s="96"/>
      <c r="AC68" s="109"/>
      <c r="AD68" s="108"/>
      <c r="AE68" s="109"/>
      <c r="AF68" s="109"/>
      <c r="AG68" s="108"/>
      <c r="AH68" s="111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50"/>
      <c r="AU68" s="477"/>
      <c r="AV68" s="477"/>
    </row>
    <row r="69" spans="1:48" ht="17" thickBot="1">
      <c r="A69" s="88" t="s">
        <v>4</v>
      </c>
      <c r="B69" s="290">
        <f>SUM(J69+K69+L69+M69+N69+S69+V69+W69+X69+AA69+AI69+AJ69+AI69+AM69+AP69+AQ69+AS69+AT69+AU69+AV69)+15</f>
        <v>15</v>
      </c>
      <c r="C69" s="143">
        <f>SUM(K69+L69+M69+N69+J69+S69+W69+X69+V69+AA69+AJ69+AI69+AJ69+AN69+AQ69+AP69+AT69+AU69+AV69+AS69+AM69)+20</f>
        <v>20</v>
      </c>
      <c r="D69" s="144"/>
      <c r="E69" s="145"/>
      <c r="F69" s="146"/>
      <c r="G69" s="147"/>
      <c r="H69" s="482"/>
      <c r="I69" s="127"/>
      <c r="J69" s="112"/>
      <c r="K69" s="112"/>
      <c r="L69" s="112"/>
      <c r="M69" s="112"/>
      <c r="N69" s="112"/>
      <c r="O69" s="114"/>
      <c r="P69" s="127"/>
      <c r="Q69" s="114"/>
      <c r="R69" s="114"/>
      <c r="S69" s="112"/>
      <c r="T69" s="178"/>
      <c r="U69" s="178"/>
      <c r="V69" s="112"/>
      <c r="W69" s="116"/>
      <c r="X69" s="112"/>
      <c r="Y69" s="149"/>
      <c r="Z69" s="149"/>
      <c r="AA69" s="116"/>
      <c r="AB69" s="114"/>
      <c r="AC69" s="118"/>
      <c r="AD69" s="117"/>
      <c r="AE69" s="118"/>
      <c r="AF69" s="118"/>
      <c r="AG69" s="117"/>
      <c r="AH69" s="121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76"/>
      <c r="AU69" s="477"/>
      <c r="AV69" s="477"/>
    </row>
    <row r="70" spans="1:48" ht="21.1">
      <c r="A70" s="82" t="s">
        <v>416</v>
      </c>
      <c r="B70" s="289"/>
      <c r="C70" s="132"/>
      <c r="D70" s="133"/>
      <c r="E70" s="134"/>
      <c r="F70" s="135"/>
      <c r="G70" s="136"/>
      <c r="H70" s="481">
        <v>14</v>
      </c>
      <c r="I70" s="105"/>
      <c r="J70" s="75">
        <v>14</v>
      </c>
      <c r="K70" s="75">
        <v>14</v>
      </c>
      <c r="L70" s="75" t="s">
        <v>375</v>
      </c>
      <c r="M70" s="75">
        <v>14</v>
      </c>
      <c r="N70" s="75">
        <v>13</v>
      </c>
      <c r="O70" s="96" t="s">
        <v>383</v>
      </c>
      <c r="P70" s="105"/>
      <c r="Q70" s="96"/>
      <c r="R70" s="96">
        <v>13</v>
      </c>
      <c r="S70" s="75">
        <v>11</v>
      </c>
      <c r="T70" s="141">
        <v>14</v>
      </c>
      <c r="U70" s="141"/>
      <c r="V70" s="75">
        <v>14</v>
      </c>
      <c r="W70" s="100">
        <v>14</v>
      </c>
      <c r="X70" s="100" t="s">
        <v>375</v>
      </c>
      <c r="Y70" s="138" t="s">
        <v>367</v>
      </c>
      <c r="Z70" s="138"/>
      <c r="AA70" s="102" t="s">
        <v>375</v>
      </c>
      <c r="AB70" s="96"/>
      <c r="AC70" s="99"/>
      <c r="AD70" s="98"/>
      <c r="AE70" s="99">
        <v>14</v>
      </c>
      <c r="AF70" s="99" t="s">
        <v>433</v>
      </c>
      <c r="AG70" s="98"/>
      <c r="AH70" s="103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478"/>
      <c r="AU70" s="477"/>
      <c r="AV70" s="477"/>
    </row>
    <row r="71" spans="1:48" ht="16.3">
      <c r="A71" s="246" t="s">
        <v>1</v>
      </c>
      <c r="B71" s="292">
        <f>SUM(J71+K71+L71+M71+N71+S71+V71+W71+X71+AA71+AI71+AJ71+AI71+AM71+AP71+AQ71+AS71+AT71+AU71+AV71+AN71)+4</f>
        <v>11</v>
      </c>
      <c r="C71" s="288">
        <f>B71</f>
        <v>11</v>
      </c>
      <c r="D71" s="133"/>
      <c r="E71" s="134"/>
      <c r="F71" s="135"/>
      <c r="G71" s="136"/>
      <c r="H71" s="481">
        <v>1</v>
      </c>
      <c r="I71" s="105"/>
      <c r="J71" s="75">
        <v>1</v>
      </c>
      <c r="K71" s="75">
        <v>1</v>
      </c>
      <c r="L71" s="75"/>
      <c r="M71" s="75">
        <v>1</v>
      </c>
      <c r="N71" s="75">
        <v>1</v>
      </c>
      <c r="O71" s="96">
        <v>1</v>
      </c>
      <c r="P71" s="105"/>
      <c r="Q71" s="96"/>
      <c r="R71" s="96">
        <v>1</v>
      </c>
      <c r="S71" s="75">
        <v>1</v>
      </c>
      <c r="T71" s="141">
        <v>1</v>
      </c>
      <c r="U71" s="141"/>
      <c r="V71" s="75">
        <v>1</v>
      </c>
      <c r="W71" s="100">
        <v>1</v>
      </c>
      <c r="X71" s="100"/>
      <c r="Y71" s="142">
        <v>1</v>
      </c>
      <c r="Z71" s="142"/>
      <c r="AA71" s="100"/>
      <c r="AB71" s="96"/>
      <c r="AC71" s="109"/>
      <c r="AD71" s="108"/>
      <c r="AE71" s="109">
        <v>1</v>
      </c>
      <c r="AF71" s="109">
        <v>1</v>
      </c>
      <c r="AG71" s="108"/>
      <c r="AH71" s="111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50"/>
      <c r="AU71" s="477"/>
      <c r="AV71" s="477"/>
    </row>
    <row r="72" spans="1:48" ht="16.3">
      <c r="A72" s="246" t="s">
        <v>2</v>
      </c>
      <c r="B72" s="292">
        <f>SUM(J72+K72+L72+M72+N72+S72+V72+W72+X72+AA72+AI72+AJ72+AI72+AM72+AP72+AQ72+AS72+AT72+AU72+AV72)+15</f>
        <v>18</v>
      </c>
      <c r="C72" s="288">
        <f t="shared" ref="C72:C76" si="7">B72</f>
        <v>18</v>
      </c>
      <c r="D72" s="133"/>
      <c r="E72" s="134"/>
      <c r="F72" s="135"/>
      <c r="G72" s="136"/>
      <c r="H72" s="481"/>
      <c r="I72" s="105"/>
      <c r="J72" s="75"/>
      <c r="K72" s="75"/>
      <c r="L72" s="75">
        <v>1</v>
      </c>
      <c r="M72" s="75"/>
      <c r="N72" s="75"/>
      <c r="O72" s="96"/>
      <c r="P72" s="105"/>
      <c r="Q72" s="96"/>
      <c r="R72" s="96"/>
      <c r="S72" s="75"/>
      <c r="T72" s="141"/>
      <c r="U72" s="141"/>
      <c r="V72" s="75"/>
      <c r="W72" s="100"/>
      <c r="X72" s="100">
        <v>1</v>
      </c>
      <c r="Y72" s="142"/>
      <c r="Z72" s="142"/>
      <c r="AA72" s="100">
        <v>1</v>
      </c>
      <c r="AB72" s="96"/>
      <c r="AC72" s="109"/>
      <c r="AD72" s="108"/>
      <c r="AE72" s="109"/>
      <c r="AF72" s="109"/>
      <c r="AG72" s="108"/>
      <c r="AH72" s="111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50"/>
      <c r="AU72" s="477"/>
      <c r="AV72" s="477"/>
    </row>
    <row r="73" spans="1:48" ht="16.3">
      <c r="A73" s="87" t="s">
        <v>363</v>
      </c>
      <c r="B73" s="289">
        <f>SUM(B71+B72)</f>
        <v>29</v>
      </c>
      <c r="C73" s="132">
        <f t="shared" si="7"/>
        <v>29</v>
      </c>
      <c r="D73" s="133"/>
      <c r="E73" s="134"/>
      <c r="F73" s="135"/>
      <c r="G73" s="136"/>
      <c r="H73" s="481"/>
      <c r="I73" s="105"/>
      <c r="J73" s="75"/>
      <c r="K73" s="75"/>
      <c r="L73" s="75"/>
      <c r="M73" s="75"/>
      <c r="N73" s="75"/>
      <c r="O73" s="96"/>
      <c r="P73" s="105"/>
      <c r="Q73" s="96"/>
      <c r="R73" s="96"/>
      <c r="S73" s="75"/>
      <c r="T73" s="141"/>
      <c r="U73" s="141"/>
      <c r="V73" s="75"/>
      <c r="W73" s="100"/>
      <c r="X73" s="100"/>
      <c r="Y73" s="142"/>
      <c r="Z73" s="142"/>
      <c r="AA73" s="100"/>
      <c r="AB73" s="96"/>
      <c r="AC73" s="109"/>
      <c r="AD73" s="108"/>
      <c r="AE73" s="109"/>
      <c r="AF73" s="109"/>
      <c r="AG73" s="108"/>
      <c r="AH73" s="111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50"/>
      <c r="AU73" s="477"/>
      <c r="AV73" s="477"/>
    </row>
    <row r="74" spans="1:48" ht="16.3">
      <c r="A74" s="246" t="s">
        <v>362</v>
      </c>
      <c r="B74" s="292">
        <f>SUM(J74+K74+L74+M74+N74+S74+V74+W74+X74+AA74+AI74+AJ74+AI74+AM74+AP74+AQ74+AS74+AT74+AU74+AV74)+1</f>
        <v>1</v>
      </c>
      <c r="C74" s="288">
        <f t="shared" si="7"/>
        <v>1</v>
      </c>
      <c r="D74" s="133"/>
      <c r="E74" s="134"/>
      <c r="F74" s="135"/>
      <c r="G74" s="136"/>
      <c r="H74" s="481"/>
      <c r="I74" s="105"/>
      <c r="J74" s="75"/>
      <c r="K74" s="75"/>
      <c r="L74" s="75"/>
      <c r="M74" s="75"/>
      <c r="N74" s="75"/>
      <c r="O74" s="96"/>
      <c r="P74" s="105"/>
      <c r="Q74" s="96"/>
      <c r="R74" s="96"/>
      <c r="S74" s="75"/>
      <c r="T74" s="141"/>
      <c r="U74" s="141"/>
      <c r="V74" s="75"/>
      <c r="W74" s="100"/>
      <c r="X74" s="100"/>
      <c r="Y74" s="142"/>
      <c r="Z74" s="142"/>
      <c r="AA74" s="100"/>
      <c r="AB74" s="96"/>
      <c r="AC74" s="109"/>
      <c r="AD74" s="108"/>
      <c r="AE74" s="109"/>
      <c r="AF74" s="109">
        <v>1</v>
      </c>
      <c r="AG74" s="108"/>
      <c r="AH74" s="111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50"/>
      <c r="AU74" s="477"/>
      <c r="AV74" s="477"/>
    </row>
    <row r="75" spans="1:48" ht="16.3">
      <c r="A75" s="87" t="s">
        <v>3</v>
      </c>
      <c r="B75" s="289">
        <f>SUM(J75+K75+L75+M75+N75+S75+V75+W75+X75+AA75+AI75+AJ75+AI75+AM75+AP75+AQ75+AS75+AT75+AU75+AV75)</f>
        <v>3</v>
      </c>
      <c r="C75" s="132">
        <f t="shared" si="7"/>
        <v>3</v>
      </c>
      <c r="D75" s="133"/>
      <c r="E75" s="134"/>
      <c r="F75" s="135"/>
      <c r="G75" s="136"/>
      <c r="H75" s="481">
        <v>1</v>
      </c>
      <c r="I75" s="105"/>
      <c r="J75" s="75"/>
      <c r="K75" s="75"/>
      <c r="L75" s="75"/>
      <c r="M75" s="75">
        <v>1</v>
      </c>
      <c r="N75" s="75"/>
      <c r="O75" s="96"/>
      <c r="P75" s="105"/>
      <c r="Q75" s="96"/>
      <c r="R75" s="96"/>
      <c r="S75" s="75"/>
      <c r="T75" s="141">
        <v>1</v>
      </c>
      <c r="U75" s="141"/>
      <c r="V75" s="75"/>
      <c r="W75" s="100">
        <v>2</v>
      </c>
      <c r="X75" s="100"/>
      <c r="Y75" s="142"/>
      <c r="Z75" s="142"/>
      <c r="AA75" s="100"/>
      <c r="AB75" s="96"/>
      <c r="AC75" s="109"/>
      <c r="AD75" s="108"/>
      <c r="AE75" s="109"/>
      <c r="AF75" s="109">
        <v>1</v>
      </c>
      <c r="AG75" s="108"/>
      <c r="AH75" s="111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50"/>
      <c r="AU75" s="477"/>
      <c r="AV75" s="477"/>
    </row>
    <row r="76" spans="1:48" ht="17" thickBot="1">
      <c r="A76" s="88" t="s">
        <v>4</v>
      </c>
      <c r="B76" s="290">
        <f>SUM(J76+K76+L76+M76+N76+S76+V76+W76+X76+AA76+AI76+AJ76+AI76+AM76+AP76+AQ76+AS76+AT76+AU76+AV76)</f>
        <v>15</v>
      </c>
      <c r="C76" s="143">
        <f t="shared" si="7"/>
        <v>15</v>
      </c>
      <c r="D76" s="144"/>
      <c r="E76" s="145"/>
      <c r="F76" s="146"/>
      <c r="G76" s="147"/>
      <c r="H76" s="482">
        <v>5</v>
      </c>
      <c r="I76" s="127"/>
      <c r="J76" s="112"/>
      <c r="K76" s="112"/>
      <c r="L76" s="112"/>
      <c r="M76" s="112">
        <v>5</v>
      </c>
      <c r="N76" s="112"/>
      <c r="O76" s="114"/>
      <c r="P76" s="127"/>
      <c r="Q76" s="114"/>
      <c r="R76" s="114"/>
      <c r="S76" s="112"/>
      <c r="T76" s="178">
        <v>5</v>
      </c>
      <c r="U76" s="178"/>
      <c r="V76" s="112"/>
      <c r="W76" s="116">
        <v>10</v>
      </c>
      <c r="X76" s="112"/>
      <c r="Y76" s="149"/>
      <c r="Z76" s="149"/>
      <c r="AA76" s="116"/>
      <c r="AB76" s="114"/>
      <c r="AC76" s="118"/>
      <c r="AD76" s="117"/>
      <c r="AE76" s="118"/>
      <c r="AF76" s="118">
        <v>5</v>
      </c>
      <c r="AG76" s="117"/>
      <c r="AH76" s="121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76"/>
      <c r="AU76" s="477"/>
      <c r="AV76" s="477"/>
    </row>
    <row r="77" spans="1:48" ht="21.1">
      <c r="A77" s="82" t="s">
        <v>778</v>
      </c>
      <c r="B77" s="289"/>
      <c r="C77" s="132"/>
      <c r="D77" s="133"/>
      <c r="E77" s="134"/>
      <c r="F77" s="135"/>
      <c r="G77" s="136"/>
      <c r="H77" s="481"/>
      <c r="I77" s="105"/>
      <c r="J77" s="75"/>
      <c r="K77" s="75"/>
      <c r="L77" s="75"/>
      <c r="M77" s="75"/>
      <c r="N77" s="75"/>
      <c r="O77" s="96" t="s">
        <v>367</v>
      </c>
      <c r="P77" s="105"/>
      <c r="Q77" s="96" t="s">
        <v>383</v>
      </c>
      <c r="R77" s="96" t="s">
        <v>375</v>
      </c>
      <c r="S77" s="75"/>
      <c r="T77" s="141" t="s">
        <v>367</v>
      </c>
      <c r="U77" s="141" t="s">
        <v>375</v>
      </c>
      <c r="V77" s="75"/>
      <c r="W77" s="100"/>
      <c r="X77" s="100"/>
      <c r="Y77" s="142"/>
      <c r="Z77" s="142"/>
      <c r="AA77" s="100"/>
      <c r="AB77" s="96" t="s">
        <v>375</v>
      </c>
      <c r="AC77" s="109">
        <v>11</v>
      </c>
      <c r="AD77" s="108"/>
      <c r="AE77" s="109" t="s">
        <v>367</v>
      </c>
      <c r="AF77" s="109"/>
      <c r="AG77" s="108"/>
      <c r="AH77" s="111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50"/>
      <c r="AU77" s="477"/>
      <c r="AV77" s="477"/>
    </row>
    <row r="78" spans="1:48" ht="16.3">
      <c r="A78" s="246" t="s">
        <v>1</v>
      </c>
      <c r="B78" s="292">
        <f>SUM(J78+K78+L78+M78+N78+S78+V78+W78+X78+AA78+AI78+AJ78+AI78+AM78+AP78+AQ78+AS78+AT78+AU78+AV78+AN78)</f>
        <v>0</v>
      </c>
      <c r="C78" s="288">
        <f>B78</f>
        <v>0</v>
      </c>
      <c r="D78" s="133"/>
      <c r="E78" s="134"/>
      <c r="F78" s="135"/>
      <c r="G78" s="136"/>
      <c r="H78" s="481"/>
      <c r="I78" s="105"/>
      <c r="J78" s="75"/>
      <c r="K78" s="75"/>
      <c r="L78" s="75"/>
      <c r="M78" s="75"/>
      <c r="N78" s="75"/>
      <c r="O78" s="96">
        <v>1</v>
      </c>
      <c r="P78" s="105"/>
      <c r="Q78" s="96">
        <v>1</v>
      </c>
      <c r="R78" s="96"/>
      <c r="S78" s="75"/>
      <c r="T78" s="141">
        <v>1</v>
      </c>
      <c r="U78" s="141"/>
      <c r="V78" s="75"/>
      <c r="W78" s="100"/>
      <c r="X78" s="100"/>
      <c r="Y78" s="142"/>
      <c r="Z78" s="142"/>
      <c r="AA78" s="100"/>
      <c r="AB78" s="96"/>
      <c r="AC78" s="109">
        <v>1</v>
      </c>
      <c r="AD78" s="108"/>
      <c r="AE78" s="109">
        <v>1</v>
      </c>
      <c r="AF78" s="109"/>
      <c r="AG78" s="108"/>
      <c r="AH78" s="111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50"/>
      <c r="AU78" s="477"/>
      <c r="AV78" s="477"/>
    </row>
    <row r="79" spans="1:48" ht="16.3">
      <c r="A79" s="246" t="s">
        <v>2</v>
      </c>
      <c r="B79" s="292">
        <f>SUM(J79+K79+L79+M79+N79+S79+V79+W79+X79+AA79+AI79+AJ79+AI79+AM79+AP79+AQ79+AS79+AT79+AU79+AV79)</f>
        <v>0</v>
      </c>
      <c r="C79" s="288">
        <f t="shared" ref="C79:C82" si="8">B79</f>
        <v>0</v>
      </c>
      <c r="D79" s="133"/>
      <c r="E79" s="134"/>
      <c r="F79" s="135"/>
      <c r="G79" s="136"/>
      <c r="H79" s="481"/>
      <c r="I79" s="105"/>
      <c r="J79" s="75"/>
      <c r="K79" s="75"/>
      <c r="L79" s="75"/>
      <c r="M79" s="75"/>
      <c r="N79" s="75"/>
      <c r="O79" s="96"/>
      <c r="P79" s="105"/>
      <c r="Q79" s="96"/>
      <c r="R79" s="96">
        <v>1</v>
      </c>
      <c r="S79" s="75"/>
      <c r="T79" s="141"/>
      <c r="U79" s="141">
        <v>1</v>
      </c>
      <c r="V79" s="75"/>
      <c r="W79" s="100"/>
      <c r="X79" s="100"/>
      <c r="Y79" s="142"/>
      <c r="Z79" s="142"/>
      <c r="AA79" s="100"/>
      <c r="AB79" s="96">
        <v>1</v>
      </c>
      <c r="AC79" s="109"/>
      <c r="AD79" s="108"/>
      <c r="AE79" s="109"/>
      <c r="AF79" s="109"/>
      <c r="AG79" s="108"/>
      <c r="AH79" s="111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50"/>
      <c r="AU79" s="477"/>
      <c r="AV79" s="477"/>
    </row>
    <row r="80" spans="1:48" ht="16.3">
      <c r="A80" s="87" t="s">
        <v>363</v>
      </c>
      <c r="B80" s="289">
        <f>SUM(B78+B79)</f>
        <v>0</v>
      </c>
      <c r="C80" s="132">
        <f t="shared" si="8"/>
        <v>0</v>
      </c>
      <c r="D80" s="133"/>
      <c r="E80" s="134"/>
      <c r="F80" s="135"/>
      <c r="G80" s="136"/>
      <c r="H80" s="481"/>
      <c r="I80" s="105"/>
      <c r="J80" s="75"/>
      <c r="K80" s="75"/>
      <c r="L80" s="75"/>
      <c r="M80" s="75"/>
      <c r="N80" s="75"/>
      <c r="O80" s="96"/>
      <c r="P80" s="105"/>
      <c r="Q80" s="96"/>
      <c r="R80" s="96"/>
      <c r="S80" s="75"/>
      <c r="T80" s="141"/>
      <c r="U80" s="141"/>
      <c r="V80" s="75"/>
      <c r="W80" s="100"/>
      <c r="X80" s="100"/>
      <c r="Y80" s="142"/>
      <c r="Z80" s="142"/>
      <c r="AA80" s="100"/>
      <c r="AB80" s="96"/>
      <c r="AC80" s="109"/>
      <c r="AD80" s="108"/>
      <c r="AE80" s="109"/>
      <c r="AF80" s="109"/>
      <c r="AG80" s="108"/>
      <c r="AH80" s="111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50"/>
      <c r="AU80" s="477"/>
      <c r="AV80" s="477"/>
    </row>
    <row r="81" spans="1:48" ht="16.3">
      <c r="A81" s="87" t="s">
        <v>3</v>
      </c>
      <c r="B81" s="289">
        <f>SUM(J81+K81+L81+M81+N81+S81+V81+W81+X81+AA81+AI81+AJ81+AI81+AM81+AP81+AQ81+AS81+AT81+AU81+AV81)</f>
        <v>0</v>
      </c>
      <c r="C81" s="132">
        <f t="shared" si="8"/>
        <v>0</v>
      </c>
      <c r="D81" s="133"/>
      <c r="E81" s="134"/>
      <c r="F81" s="135"/>
      <c r="G81" s="136"/>
      <c r="H81" s="481"/>
      <c r="I81" s="105"/>
      <c r="J81" s="75"/>
      <c r="K81" s="75"/>
      <c r="L81" s="75"/>
      <c r="M81" s="75"/>
      <c r="N81" s="75"/>
      <c r="O81" s="96"/>
      <c r="P81" s="105"/>
      <c r="Q81" s="96"/>
      <c r="R81" s="96"/>
      <c r="S81" s="75"/>
      <c r="T81" s="141">
        <v>1</v>
      </c>
      <c r="U81" s="141"/>
      <c r="V81" s="75"/>
      <c r="W81" s="100"/>
      <c r="X81" s="100"/>
      <c r="Y81" s="142"/>
      <c r="Z81" s="142"/>
      <c r="AA81" s="100"/>
      <c r="AB81" s="96"/>
      <c r="AC81" s="109">
        <v>1</v>
      </c>
      <c r="AD81" s="108"/>
      <c r="AE81" s="109">
        <v>1</v>
      </c>
      <c r="AF81" s="109"/>
      <c r="AG81" s="108"/>
      <c r="AH81" s="111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50"/>
      <c r="AU81" s="477"/>
      <c r="AV81" s="477"/>
    </row>
    <row r="82" spans="1:48" ht="17" thickBot="1">
      <c r="A82" s="88" t="s">
        <v>4</v>
      </c>
      <c r="B82" s="290">
        <f>SUM(J82+K82+L82+M82+N82+S82+V82+W82+X82+AA82+AI82+AJ82+AI82+AM82+AP82+AQ82+AS82+AT82+AU82+AV82)</f>
        <v>0</v>
      </c>
      <c r="C82" s="143">
        <f t="shared" si="8"/>
        <v>0</v>
      </c>
      <c r="D82" s="144"/>
      <c r="E82" s="145"/>
      <c r="F82" s="146"/>
      <c r="G82" s="147"/>
      <c r="H82" s="482"/>
      <c r="I82" s="127"/>
      <c r="J82" s="112"/>
      <c r="K82" s="112"/>
      <c r="L82" s="112"/>
      <c r="M82" s="112"/>
      <c r="N82" s="112"/>
      <c r="O82" s="114"/>
      <c r="P82" s="127"/>
      <c r="Q82" s="114"/>
      <c r="R82" s="114"/>
      <c r="S82" s="112"/>
      <c r="T82" s="178">
        <v>5</v>
      </c>
      <c r="U82" s="178"/>
      <c r="V82" s="112"/>
      <c r="W82" s="116"/>
      <c r="X82" s="116"/>
      <c r="Y82" s="149"/>
      <c r="Z82" s="149"/>
      <c r="AA82" s="116"/>
      <c r="AB82" s="114"/>
      <c r="AC82" s="118">
        <v>5</v>
      </c>
      <c r="AD82" s="117"/>
      <c r="AE82" s="118">
        <v>5</v>
      </c>
      <c r="AF82" s="118"/>
      <c r="AG82" s="117"/>
      <c r="AH82" s="121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76"/>
      <c r="AU82" s="580"/>
      <c r="AV82" s="580"/>
    </row>
    <row r="83" spans="1:48" ht="21.1">
      <c r="A83" s="82" t="s">
        <v>829</v>
      </c>
      <c r="B83" s="289"/>
      <c r="C83" s="132"/>
      <c r="D83" s="133"/>
      <c r="E83" s="134"/>
      <c r="F83" s="135"/>
      <c r="G83" s="136"/>
      <c r="H83" s="481"/>
      <c r="I83" s="105"/>
      <c r="J83" s="75"/>
      <c r="K83" s="75"/>
      <c r="L83" s="75"/>
      <c r="M83" s="75"/>
      <c r="N83" s="75"/>
      <c r="O83" s="96"/>
      <c r="P83" s="105"/>
      <c r="Q83" s="96"/>
      <c r="R83" s="96" t="s">
        <v>375</v>
      </c>
      <c r="S83" s="75"/>
      <c r="T83" s="141"/>
      <c r="U83" s="141"/>
      <c r="V83" s="75"/>
      <c r="W83" s="100"/>
      <c r="X83" s="100"/>
      <c r="Y83" s="142"/>
      <c r="Z83" s="142"/>
      <c r="AA83" s="100"/>
      <c r="AB83" s="96"/>
      <c r="AC83" s="109"/>
      <c r="AD83" s="108"/>
      <c r="AE83" s="109"/>
      <c r="AF83" s="109"/>
      <c r="AG83" s="108"/>
      <c r="AH83" s="111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50"/>
      <c r="AU83" s="477"/>
      <c r="AV83" s="477"/>
    </row>
    <row r="84" spans="1:48" ht="16.3">
      <c r="A84" s="246" t="s">
        <v>1</v>
      </c>
      <c r="B84" s="292">
        <f>SUM(J84+K84+L84+M84+N84+S84+V84+W84+X84+AA84+AI84+AJ84+AI84+AM84+AP84+AQ84+AS84+AT84+AU84+AV84+AN84)</f>
        <v>0</v>
      </c>
      <c r="C84" s="288">
        <f>B84</f>
        <v>0</v>
      </c>
      <c r="D84" s="133"/>
      <c r="E84" s="134"/>
      <c r="F84" s="135"/>
      <c r="G84" s="136"/>
      <c r="H84" s="481"/>
      <c r="I84" s="105"/>
      <c r="J84" s="75"/>
      <c r="K84" s="75"/>
      <c r="L84" s="75"/>
      <c r="M84" s="75"/>
      <c r="N84" s="75"/>
      <c r="O84" s="96"/>
      <c r="P84" s="105"/>
      <c r="Q84" s="96"/>
      <c r="R84" s="96"/>
      <c r="S84" s="75"/>
      <c r="T84" s="141"/>
      <c r="U84" s="141"/>
      <c r="V84" s="75"/>
      <c r="W84" s="100"/>
      <c r="X84" s="100"/>
      <c r="Y84" s="142"/>
      <c r="Z84" s="142"/>
      <c r="AA84" s="100"/>
      <c r="AB84" s="96"/>
      <c r="AC84" s="109"/>
      <c r="AD84" s="108"/>
      <c r="AE84" s="109"/>
      <c r="AF84" s="109"/>
      <c r="AG84" s="108"/>
      <c r="AH84" s="111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50"/>
      <c r="AU84" s="477"/>
      <c r="AV84" s="477"/>
    </row>
    <row r="85" spans="1:48" ht="16.3">
      <c r="A85" s="246" t="s">
        <v>2</v>
      </c>
      <c r="B85" s="292">
        <f>SUM(J85+K85+L85+M85+N85+S85+V85+W85+X85+AA85+AI85+AJ85+AI85+AM85+AP85+AQ85+AS85+AT85+AU85+AV85)</f>
        <v>0</v>
      </c>
      <c r="C85" s="288">
        <f t="shared" ref="C85:C88" si="9">B85</f>
        <v>0</v>
      </c>
      <c r="D85" s="133"/>
      <c r="E85" s="134"/>
      <c r="F85" s="135"/>
      <c r="G85" s="136"/>
      <c r="H85" s="481"/>
      <c r="I85" s="105"/>
      <c r="J85" s="75"/>
      <c r="K85" s="75"/>
      <c r="L85" s="75"/>
      <c r="M85" s="75"/>
      <c r="N85" s="75"/>
      <c r="O85" s="96"/>
      <c r="P85" s="105"/>
      <c r="Q85" s="96"/>
      <c r="R85" s="96">
        <v>1</v>
      </c>
      <c r="S85" s="75"/>
      <c r="T85" s="141"/>
      <c r="U85" s="141"/>
      <c r="V85" s="75"/>
      <c r="W85" s="100"/>
      <c r="X85" s="100"/>
      <c r="Y85" s="142"/>
      <c r="Z85" s="142"/>
      <c r="AA85" s="100"/>
      <c r="AB85" s="96"/>
      <c r="AC85" s="109"/>
      <c r="AD85" s="108"/>
      <c r="AE85" s="109"/>
      <c r="AF85" s="109"/>
      <c r="AG85" s="108"/>
      <c r="AH85" s="111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50"/>
      <c r="AU85" s="477"/>
      <c r="AV85" s="477"/>
    </row>
    <row r="86" spans="1:48" ht="16.3">
      <c r="A86" s="87" t="s">
        <v>363</v>
      </c>
      <c r="B86" s="289">
        <f>SUM(B84+B85)</f>
        <v>0</v>
      </c>
      <c r="C86" s="132">
        <f t="shared" si="9"/>
        <v>0</v>
      </c>
      <c r="D86" s="133"/>
      <c r="E86" s="134"/>
      <c r="F86" s="135"/>
      <c r="G86" s="136"/>
      <c r="H86" s="481"/>
      <c r="I86" s="105"/>
      <c r="J86" s="75"/>
      <c r="K86" s="75"/>
      <c r="L86" s="75"/>
      <c r="M86" s="75"/>
      <c r="N86" s="75"/>
      <c r="O86" s="96"/>
      <c r="P86" s="105"/>
      <c r="Q86" s="96"/>
      <c r="R86" s="96"/>
      <c r="S86" s="75"/>
      <c r="T86" s="141"/>
      <c r="U86" s="141"/>
      <c r="V86" s="75"/>
      <c r="W86" s="100"/>
      <c r="X86" s="100"/>
      <c r="Y86" s="142"/>
      <c r="Z86" s="142"/>
      <c r="AA86" s="100"/>
      <c r="AB86" s="96"/>
      <c r="AC86" s="109"/>
      <c r="AD86" s="108"/>
      <c r="AE86" s="109"/>
      <c r="AF86" s="109"/>
      <c r="AG86" s="108"/>
      <c r="AH86" s="111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50"/>
      <c r="AU86" s="477"/>
      <c r="AV86" s="477"/>
    </row>
    <row r="87" spans="1:48" ht="16.3">
      <c r="A87" s="87" t="s">
        <v>3</v>
      </c>
      <c r="B87" s="289">
        <f>SUM(J87+K87+L87+M87+N87+S87+V87+W87+X87+AA87+AI87+AJ87+AI87+AM87+AP87+AQ87+AS87+AT87+AU87+AV87)</f>
        <v>0</v>
      </c>
      <c r="C87" s="132">
        <f t="shared" si="9"/>
        <v>0</v>
      </c>
      <c r="D87" s="133"/>
      <c r="E87" s="134"/>
      <c r="F87" s="135"/>
      <c r="G87" s="136"/>
      <c r="H87" s="481"/>
      <c r="I87" s="105"/>
      <c r="J87" s="75"/>
      <c r="K87" s="75"/>
      <c r="L87" s="75"/>
      <c r="M87" s="75"/>
      <c r="N87" s="75"/>
      <c r="O87" s="96"/>
      <c r="P87" s="105"/>
      <c r="Q87" s="96"/>
      <c r="R87" s="96"/>
      <c r="S87" s="75"/>
      <c r="T87" s="141"/>
      <c r="U87" s="141"/>
      <c r="V87" s="75"/>
      <c r="W87" s="100"/>
      <c r="X87" s="100"/>
      <c r="Y87" s="142"/>
      <c r="Z87" s="142"/>
      <c r="AA87" s="100"/>
      <c r="AB87" s="96"/>
      <c r="AC87" s="109"/>
      <c r="AD87" s="108"/>
      <c r="AE87" s="109"/>
      <c r="AF87" s="109"/>
      <c r="AG87" s="108"/>
      <c r="AH87" s="111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50"/>
      <c r="AU87" s="477"/>
      <c r="AV87" s="477"/>
    </row>
    <row r="88" spans="1:48" ht="17" thickBot="1">
      <c r="A88" s="88" t="s">
        <v>4</v>
      </c>
      <c r="B88" s="290">
        <f>SUM(J88+K88+L88+M88+N88+S88+V88+W88+X88+AA88+AI88+AJ88+AI88+AM88+AP88+AQ88+AS88+AT88+AU88+AV88)</f>
        <v>0</v>
      </c>
      <c r="C88" s="143">
        <f t="shared" si="9"/>
        <v>0</v>
      </c>
      <c r="D88" s="144"/>
      <c r="E88" s="145"/>
      <c r="F88" s="146"/>
      <c r="G88" s="147"/>
      <c r="H88" s="482"/>
      <c r="I88" s="127"/>
      <c r="J88" s="112"/>
      <c r="K88" s="112"/>
      <c r="L88" s="112"/>
      <c r="M88" s="112"/>
      <c r="N88" s="112"/>
      <c r="O88" s="114"/>
      <c r="P88" s="127"/>
      <c r="Q88" s="114"/>
      <c r="R88" s="114"/>
      <c r="S88" s="112"/>
      <c r="T88" s="178"/>
      <c r="U88" s="178"/>
      <c r="V88" s="112"/>
      <c r="W88" s="116"/>
      <c r="X88" s="116"/>
      <c r="Y88" s="149"/>
      <c r="Z88" s="149"/>
      <c r="AA88" s="116"/>
      <c r="AB88" s="114"/>
      <c r="AC88" s="118"/>
      <c r="AD88" s="117"/>
      <c r="AE88" s="118"/>
      <c r="AF88" s="118"/>
      <c r="AG88" s="117"/>
      <c r="AH88" s="121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76"/>
      <c r="AU88" s="580"/>
      <c r="AV88" s="580"/>
    </row>
    <row r="89" spans="1:48" ht="21.1">
      <c r="A89" s="82" t="s">
        <v>814</v>
      </c>
      <c r="B89" s="289"/>
      <c r="C89" s="132"/>
      <c r="D89" s="133"/>
      <c r="E89" s="134"/>
      <c r="F89" s="135"/>
      <c r="G89" s="136"/>
      <c r="H89" s="481" t="s">
        <v>361</v>
      </c>
      <c r="I89" s="105"/>
      <c r="J89" s="75" t="s">
        <v>361</v>
      </c>
      <c r="K89" s="75" t="s">
        <v>361</v>
      </c>
      <c r="L89" s="75" t="s">
        <v>361</v>
      </c>
      <c r="M89" s="75" t="s">
        <v>361</v>
      </c>
      <c r="N89" s="75" t="s">
        <v>361</v>
      </c>
      <c r="O89" s="96" t="s">
        <v>361</v>
      </c>
      <c r="P89" s="105" t="s">
        <v>828</v>
      </c>
      <c r="Q89" s="96" t="s">
        <v>381</v>
      </c>
      <c r="R89" s="96" t="s">
        <v>381</v>
      </c>
      <c r="S89" s="75"/>
      <c r="T89" s="141" t="s">
        <v>375</v>
      </c>
      <c r="U89" s="141">
        <v>12</v>
      </c>
      <c r="V89" s="75" t="s">
        <v>339</v>
      </c>
      <c r="W89" s="100" t="s">
        <v>375</v>
      </c>
      <c r="X89" s="100"/>
      <c r="Y89" s="142" t="s">
        <v>375</v>
      </c>
      <c r="Z89" s="142" t="s">
        <v>381</v>
      </c>
      <c r="AA89" s="100" t="s">
        <v>375</v>
      </c>
      <c r="AB89" s="96" t="s">
        <v>384</v>
      </c>
      <c r="AC89" s="109" t="s">
        <v>381</v>
      </c>
      <c r="AD89" s="108"/>
      <c r="AE89" s="109" t="s">
        <v>381</v>
      </c>
      <c r="AF89" s="109"/>
      <c r="AG89" s="108"/>
      <c r="AH89" s="111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50"/>
      <c r="AU89" s="477"/>
      <c r="AV89" s="477"/>
    </row>
    <row r="90" spans="1:48" ht="16.3">
      <c r="A90" s="246" t="s">
        <v>1</v>
      </c>
      <c r="B90" s="292">
        <f>SUM(J90+K90+L90+M90+N90+S90+V90+W90+X90+AA90+AI90+AJ90+AI90+AM90+AP90+AQ90+AS90+AT90+AU90+AV90+AN90)+9</f>
        <v>9</v>
      </c>
      <c r="C90" s="288">
        <f>B90</f>
        <v>9</v>
      </c>
      <c r="D90" s="133"/>
      <c r="E90" s="134"/>
      <c r="F90" s="135"/>
      <c r="G90" s="136"/>
      <c r="H90" s="481"/>
      <c r="I90" s="105"/>
      <c r="J90" s="75"/>
      <c r="K90" s="75"/>
      <c r="L90" s="75"/>
      <c r="M90" s="75"/>
      <c r="N90" s="75"/>
      <c r="O90" s="96"/>
      <c r="P90" s="105"/>
      <c r="Q90" s="96">
        <v>1</v>
      </c>
      <c r="R90" s="96">
        <v>1</v>
      </c>
      <c r="S90" s="75"/>
      <c r="T90" s="141"/>
      <c r="U90" s="141">
        <v>1</v>
      </c>
      <c r="V90" s="75"/>
      <c r="W90" s="100"/>
      <c r="X90" s="100"/>
      <c r="Y90" s="142"/>
      <c r="Z90" s="142">
        <v>1</v>
      </c>
      <c r="AA90" s="100"/>
      <c r="AB90" s="96">
        <v>1</v>
      </c>
      <c r="AC90" s="109">
        <v>1</v>
      </c>
      <c r="AD90" s="108"/>
      <c r="AE90" s="109">
        <v>1</v>
      </c>
      <c r="AF90" s="109"/>
      <c r="AG90" s="108"/>
      <c r="AH90" s="111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50"/>
      <c r="AU90" s="477"/>
      <c r="AV90" s="477"/>
    </row>
    <row r="91" spans="1:48" ht="16.3">
      <c r="A91" s="246" t="s">
        <v>2</v>
      </c>
      <c r="B91" s="292">
        <f>SUM(J91+K91+L91+M91+N91+S91+V91+W91+X91+AA91+AI91+AJ91+AI91+AM91+AP91+AQ91+AS91+AT91+AU91+AV91)+4</f>
        <v>6</v>
      </c>
      <c r="C91" s="288">
        <f t="shared" ref="C91:C94" si="10">B91</f>
        <v>6</v>
      </c>
      <c r="D91" s="133"/>
      <c r="E91" s="134"/>
      <c r="F91" s="135"/>
      <c r="G91" s="136"/>
      <c r="H91" s="481"/>
      <c r="I91" s="105"/>
      <c r="J91" s="75"/>
      <c r="K91" s="75"/>
      <c r="L91" s="75"/>
      <c r="M91" s="75"/>
      <c r="N91" s="75"/>
      <c r="O91" s="96"/>
      <c r="P91" s="105"/>
      <c r="Q91" s="96"/>
      <c r="R91" s="96"/>
      <c r="S91" s="75"/>
      <c r="T91" s="141">
        <v>1</v>
      </c>
      <c r="U91" s="141"/>
      <c r="V91" s="75"/>
      <c r="W91" s="100">
        <v>1</v>
      </c>
      <c r="X91" s="100"/>
      <c r="Y91" s="142">
        <v>1</v>
      </c>
      <c r="Z91" s="142"/>
      <c r="AA91" s="100">
        <v>1</v>
      </c>
      <c r="AB91" s="96"/>
      <c r="AC91" s="109"/>
      <c r="AD91" s="108"/>
      <c r="AE91" s="109"/>
      <c r="AF91" s="109"/>
      <c r="AG91" s="108"/>
      <c r="AH91" s="111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50"/>
      <c r="AU91" s="477"/>
      <c r="AV91" s="477"/>
    </row>
    <row r="92" spans="1:48" ht="16.3">
      <c r="A92" s="87" t="s">
        <v>363</v>
      </c>
      <c r="B92" s="289">
        <f>SUM(B90+B91)</f>
        <v>15</v>
      </c>
      <c r="C92" s="132">
        <f t="shared" si="10"/>
        <v>15</v>
      </c>
      <c r="D92" s="133"/>
      <c r="E92" s="134"/>
      <c r="F92" s="135"/>
      <c r="G92" s="136"/>
      <c r="H92" s="481"/>
      <c r="I92" s="105"/>
      <c r="J92" s="75"/>
      <c r="K92" s="75"/>
      <c r="L92" s="75"/>
      <c r="M92" s="75"/>
      <c r="N92" s="75"/>
      <c r="O92" s="96"/>
      <c r="P92" s="105"/>
      <c r="Q92" s="96"/>
      <c r="R92" s="96"/>
      <c r="S92" s="75"/>
      <c r="T92" s="141"/>
      <c r="U92" s="141"/>
      <c r="V92" s="75"/>
      <c r="W92" s="100"/>
      <c r="X92" s="100"/>
      <c r="Y92" s="142"/>
      <c r="Z92" s="142"/>
      <c r="AA92" s="100"/>
      <c r="AB92" s="96"/>
      <c r="AC92" s="109"/>
      <c r="AD92" s="108"/>
      <c r="AE92" s="109"/>
      <c r="AF92" s="109"/>
      <c r="AG92" s="108"/>
      <c r="AH92" s="111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50"/>
      <c r="AU92" s="477"/>
      <c r="AV92" s="477"/>
    </row>
    <row r="93" spans="1:48" ht="16.3">
      <c r="A93" s="87" t="s">
        <v>3</v>
      </c>
      <c r="B93" s="289">
        <f>SUM(J93+K93+L93+M93+N93+S93+V93+W93+X93+AA93+AI93+AJ93+AI93+AM93+AP93+AQ93+AS93+AT93+AU93+AV93)</f>
        <v>0</v>
      </c>
      <c r="C93" s="132">
        <f t="shared" si="10"/>
        <v>0</v>
      </c>
      <c r="D93" s="133"/>
      <c r="E93" s="134"/>
      <c r="F93" s="135"/>
      <c r="G93" s="136"/>
      <c r="H93" s="481"/>
      <c r="I93" s="105"/>
      <c r="J93" s="75"/>
      <c r="K93" s="75"/>
      <c r="L93" s="75"/>
      <c r="M93" s="75"/>
      <c r="N93" s="75"/>
      <c r="O93" s="96"/>
      <c r="P93" s="105"/>
      <c r="Q93" s="96">
        <v>1</v>
      </c>
      <c r="R93" s="96"/>
      <c r="S93" s="75"/>
      <c r="T93" s="141"/>
      <c r="U93" s="141"/>
      <c r="V93" s="75"/>
      <c r="W93" s="100"/>
      <c r="X93" s="100"/>
      <c r="Y93" s="142"/>
      <c r="Z93" s="142"/>
      <c r="AA93" s="100"/>
      <c r="AB93" s="96"/>
      <c r="AC93" s="109"/>
      <c r="AD93" s="108"/>
      <c r="AE93" s="109"/>
      <c r="AF93" s="109"/>
      <c r="AG93" s="108"/>
      <c r="AH93" s="111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50"/>
      <c r="AU93" s="477"/>
      <c r="AV93" s="477"/>
    </row>
    <row r="94" spans="1:48" ht="17" thickBot="1">
      <c r="A94" s="88" t="s">
        <v>4</v>
      </c>
      <c r="B94" s="290">
        <f>SUM(J94+K94+L94+M94+N94+S94+V94+W94+X94+AA94+AI94+AJ94+AI94+AM94+AP94+AQ94+AS94+AT94+AU94+AV94)</f>
        <v>0</v>
      </c>
      <c r="C94" s="143">
        <f t="shared" si="10"/>
        <v>0</v>
      </c>
      <c r="D94" s="144"/>
      <c r="E94" s="145"/>
      <c r="F94" s="146"/>
      <c r="G94" s="147"/>
      <c r="H94" s="482"/>
      <c r="I94" s="127"/>
      <c r="J94" s="112"/>
      <c r="K94" s="112"/>
      <c r="L94" s="112"/>
      <c r="M94" s="112"/>
      <c r="N94" s="112"/>
      <c r="O94" s="114"/>
      <c r="P94" s="127"/>
      <c r="Q94" s="114">
        <v>5</v>
      </c>
      <c r="R94" s="114"/>
      <c r="S94" s="112"/>
      <c r="T94" s="178"/>
      <c r="U94" s="178"/>
      <c r="V94" s="112"/>
      <c r="W94" s="116"/>
      <c r="X94" s="116"/>
      <c r="Y94" s="149"/>
      <c r="Z94" s="149"/>
      <c r="AA94" s="116"/>
      <c r="AB94" s="114"/>
      <c r="AC94" s="118"/>
      <c r="AD94" s="117"/>
      <c r="AE94" s="118"/>
      <c r="AF94" s="118"/>
      <c r="AG94" s="117"/>
      <c r="AH94" s="121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76"/>
      <c r="AU94" s="580"/>
      <c r="AV94" s="580"/>
    </row>
    <row r="95" spans="1:48" ht="21.1">
      <c r="A95" s="82" t="s">
        <v>430</v>
      </c>
      <c r="B95" s="289"/>
      <c r="C95" s="132"/>
      <c r="D95" s="133"/>
      <c r="E95" s="134"/>
      <c r="F95" s="135"/>
      <c r="G95" s="136"/>
      <c r="H95" s="481">
        <v>12</v>
      </c>
      <c r="I95" s="105"/>
      <c r="J95" s="75">
        <v>12</v>
      </c>
      <c r="K95" s="75" t="s">
        <v>339</v>
      </c>
      <c r="L95" s="75" t="s">
        <v>732</v>
      </c>
      <c r="M95" s="75" t="s">
        <v>381</v>
      </c>
      <c r="N95" s="75">
        <v>12</v>
      </c>
      <c r="O95" s="96"/>
      <c r="P95" s="105"/>
      <c r="Q95" s="96" t="s">
        <v>375</v>
      </c>
      <c r="R95" s="96"/>
      <c r="S95" s="75">
        <v>12</v>
      </c>
      <c r="T95" s="141"/>
      <c r="U95" s="141"/>
      <c r="V95" s="75" t="s">
        <v>375</v>
      </c>
      <c r="W95" s="100"/>
      <c r="X95" s="100"/>
      <c r="Y95" s="142"/>
      <c r="Z95" s="142"/>
      <c r="AA95" s="100"/>
      <c r="AB95" s="96">
        <v>13</v>
      </c>
      <c r="AC95" s="109" t="s">
        <v>375</v>
      </c>
      <c r="AD95" s="108"/>
      <c r="AE95" s="109" t="s">
        <v>375</v>
      </c>
      <c r="AF95" s="109"/>
      <c r="AG95" s="108"/>
      <c r="AH95" s="111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50"/>
      <c r="AU95" s="477"/>
      <c r="AV95" s="477"/>
    </row>
    <row r="96" spans="1:48" ht="16.3">
      <c r="A96" s="246" t="s">
        <v>1</v>
      </c>
      <c r="B96" s="292">
        <f>SUM(J96+K96+L96+M96+N96+S96+V96+W96+X96+AA96+AI96+AJ96+AI96+AM96+AP96+AQ96+AS96+AT96+AU96+AV96+AN96)+6</f>
        <v>11</v>
      </c>
      <c r="C96" s="288">
        <f>SUM(K96+L96+M96+N96+J96+S96+W96+X96+V96+AA96+AJ96+AI96+AJ96+AN96+AQ96+AP96+AT96+AU96+AV96+AS96+AM96)+46</f>
        <v>51</v>
      </c>
      <c r="D96" s="133"/>
      <c r="E96" s="134"/>
      <c r="F96" s="135"/>
      <c r="G96" s="136"/>
      <c r="H96" s="481">
        <v>1</v>
      </c>
      <c r="I96" s="105"/>
      <c r="J96" s="75">
        <v>1</v>
      </c>
      <c r="K96" s="75"/>
      <c r="L96" s="75">
        <v>1</v>
      </c>
      <c r="M96" s="75">
        <v>1</v>
      </c>
      <c r="N96" s="75">
        <v>1</v>
      </c>
      <c r="O96" s="96"/>
      <c r="P96" s="105"/>
      <c r="Q96" s="96"/>
      <c r="R96" s="96"/>
      <c r="S96" s="75">
        <v>1</v>
      </c>
      <c r="T96" s="141"/>
      <c r="U96" s="141"/>
      <c r="V96" s="75"/>
      <c r="W96" s="100"/>
      <c r="X96" s="100"/>
      <c r="Y96" s="142"/>
      <c r="Z96" s="142"/>
      <c r="AA96" s="100"/>
      <c r="AB96" s="96">
        <v>1</v>
      </c>
      <c r="AC96" s="109"/>
      <c r="AD96" s="108"/>
      <c r="AE96" s="109"/>
      <c r="AF96" s="109"/>
      <c r="AG96" s="108"/>
      <c r="AH96" s="111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50"/>
      <c r="AU96" s="477"/>
      <c r="AV96" s="477"/>
    </row>
    <row r="97" spans="1:48" ht="16.3">
      <c r="A97" s="246" t="s">
        <v>2</v>
      </c>
      <c r="B97" s="292">
        <f>SUM(J97+K97+L97+M97+N97+S97+V97+W97+X97+AA97+AI97+AJ97+AI97+AM97+AP97+AQ97+AS97+AT97+AU97+AV97)</f>
        <v>1</v>
      </c>
      <c r="C97" s="288">
        <f>SUM(K97+L97+M97+N97+J97+S97+W97+X97+V97+AA97+AJ97+AI97+AJ97+AN97+AQ97+AP97+AT97+AU97+AV97+AS97+AM97)+28</f>
        <v>29</v>
      </c>
      <c r="D97" s="133"/>
      <c r="E97" s="134"/>
      <c r="F97" s="135"/>
      <c r="G97" s="136"/>
      <c r="H97" s="481"/>
      <c r="I97" s="105"/>
      <c r="J97" s="75"/>
      <c r="K97" s="75"/>
      <c r="L97" s="75"/>
      <c r="M97" s="75"/>
      <c r="N97" s="75"/>
      <c r="O97" s="96"/>
      <c r="P97" s="105"/>
      <c r="Q97" s="96">
        <v>1</v>
      </c>
      <c r="R97" s="96"/>
      <c r="S97" s="75"/>
      <c r="T97" s="141"/>
      <c r="U97" s="141"/>
      <c r="V97" s="75">
        <v>1</v>
      </c>
      <c r="W97" s="100"/>
      <c r="X97" s="100"/>
      <c r="Y97" s="142"/>
      <c r="Z97" s="142"/>
      <c r="AA97" s="100"/>
      <c r="AB97" s="96"/>
      <c r="AC97" s="109">
        <v>1</v>
      </c>
      <c r="AD97" s="108"/>
      <c r="AE97" s="109">
        <v>1</v>
      </c>
      <c r="AF97" s="109"/>
      <c r="AG97" s="108"/>
      <c r="AH97" s="111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50"/>
      <c r="AU97" s="477"/>
      <c r="AV97" s="477"/>
    </row>
    <row r="98" spans="1:48" ht="16.3">
      <c r="A98" s="87" t="s">
        <v>363</v>
      </c>
      <c r="B98" s="289">
        <f>SUM(B96+B97)</f>
        <v>12</v>
      </c>
      <c r="C98" s="132">
        <f>SUM(C96+C97)</f>
        <v>80</v>
      </c>
      <c r="D98" s="133"/>
      <c r="E98" s="134"/>
      <c r="F98" s="135"/>
      <c r="G98" s="136"/>
      <c r="H98" s="481"/>
      <c r="I98" s="105"/>
      <c r="J98" s="75"/>
      <c r="K98" s="75"/>
      <c r="L98" s="75"/>
      <c r="M98" s="75"/>
      <c r="N98" s="75"/>
      <c r="O98" s="96"/>
      <c r="P98" s="105"/>
      <c r="Q98" s="96"/>
      <c r="R98" s="96"/>
      <c r="S98" s="75"/>
      <c r="T98" s="141"/>
      <c r="U98" s="141"/>
      <c r="V98" s="75"/>
      <c r="W98" s="100"/>
      <c r="X98" s="100"/>
      <c r="Y98" s="142"/>
      <c r="Z98" s="142"/>
      <c r="AA98" s="100"/>
      <c r="AB98" s="96"/>
      <c r="AC98" s="109"/>
      <c r="AD98" s="108"/>
      <c r="AE98" s="109"/>
      <c r="AF98" s="109"/>
      <c r="AG98" s="108"/>
      <c r="AH98" s="111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50"/>
      <c r="AU98" s="477"/>
      <c r="AV98" s="477"/>
    </row>
    <row r="99" spans="1:48" ht="16.3">
      <c r="A99" s="246" t="s">
        <v>362</v>
      </c>
      <c r="B99" s="292">
        <f>SUM(J99+K99+L99+M99+N99+S99+V99+W99+X99+AA99+AI99+AJ99+AI99+AM99+AP99+AQ99+AS99+AT99+AU99+AV99)</f>
        <v>1</v>
      </c>
      <c r="C99" s="288">
        <f>SUM(K99+L99+M99+N99+J99+S99+W99+X99+V99+AA99+AJ99+AI99+AJ99+AN99+AQ99+AP99+AT99+AU99+AV99+AS99+AM99)+2</f>
        <v>3</v>
      </c>
      <c r="D99" s="133"/>
      <c r="E99" s="134"/>
      <c r="F99" s="135"/>
      <c r="G99" s="136"/>
      <c r="H99" s="481"/>
      <c r="I99" s="105"/>
      <c r="J99" s="75"/>
      <c r="K99" s="75"/>
      <c r="L99" s="75">
        <v>1</v>
      </c>
      <c r="M99" s="75"/>
      <c r="N99" s="75"/>
      <c r="O99" s="96"/>
      <c r="P99" s="105"/>
      <c r="Q99" s="96"/>
      <c r="R99" s="96"/>
      <c r="S99" s="75"/>
      <c r="T99" s="141"/>
      <c r="U99" s="141"/>
      <c r="V99" s="75"/>
      <c r="W99" s="100"/>
      <c r="X99" s="100"/>
      <c r="Y99" s="142"/>
      <c r="Z99" s="142"/>
      <c r="AA99" s="100"/>
      <c r="AB99" s="96"/>
      <c r="AC99" s="109"/>
      <c r="AD99" s="108"/>
      <c r="AE99" s="109"/>
      <c r="AF99" s="109"/>
      <c r="AG99" s="108"/>
      <c r="AH99" s="111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50"/>
      <c r="AU99" s="477"/>
      <c r="AV99" s="477"/>
    </row>
    <row r="100" spans="1:48" ht="16.3">
      <c r="A100" s="87" t="s">
        <v>3</v>
      </c>
      <c r="B100" s="289">
        <f>SUM(J100+K100+L100+M100+N100+S100+V100+W100+X100+AA100+AI100+AJ100+AI100+AM100+AP100+AQ100+AS100+AT100+AU100+AV100)+2</f>
        <v>2</v>
      </c>
      <c r="C100" s="132">
        <f>SUM(K100+L100+M100+N100+J100+S100+W100+X100+V100+AA100+AJ100+AI100+AJ100+AN100+AQ100+AP100+AT100+AU100+AV100+AS100+AM100)+11</f>
        <v>11</v>
      </c>
      <c r="D100" s="133"/>
      <c r="E100" s="134"/>
      <c r="F100" s="135"/>
      <c r="G100" s="136"/>
      <c r="H100" s="481"/>
      <c r="I100" s="105"/>
      <c r="J100" s="75"/>
      <c r="K100" s="75"/>
      <c r="L100" s="75"/>
      <c r="M100" s="75"/>
      <c r="N100" s="75"/>
      <c r="O100" s="96"/>
      <c r="P100" s="105"/>
      <c r="Q100" s="96"/>
      <c r="R100" s="96"/>
      <c r="S100" s="75"/>
      <c r="T100" s="141"/>
      <c r="U100" s="141"/>
      <c r="V100" s="75"/>
      <c r="W100" s="100"/>
      <c r="X100" s="100"/>
      <c r="Y100" s="142"/>
      <c r="Z100" s="142"/>
      <c r="AA100" s="100"/>
      <c r="AB100" s="96">
        <v>1</v>
      </c>
      <c r="AC100" s="109"/>
      <c r="AD100" s="108"/>
      <c r="AE100" s="109"/>
      <c r="AF100" s="109"/>
      <c r="AG100" s="108"/>
      <c r="AH100" s="111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50"/>
      <c r="AU100" s="477"/>
      <c r="AV100" s="477"/>
    </row>
    <row r="101" spans="1:48" ht="17" thickBot="1">
      <c r="A101" s="88" t="s">
        <v>4</v>
      </c>
      <c r="B101" s="290">
        <f>SUM(J101+K101+L101+M101+N101+S101+V101+W101+X101+AA101+AI101+AJ101+AI101+AM101+AP101+AQ101+AS101+AT101+AU101+AV101)+10</f>
        <v>10</v>
      </c>
      <c r="C101" s="143">
        <f>SUM(K101+L101+M101+N101+J101+S101+W101+X101+V101+AA101+AJ101+AI101+AJ101+AN101+AQ101+AP101+AT101+AU101+AV101+AS101+AM101)+55</f>
        <v>55</v>
      </c>
      <c r="D101" s="144"/>
      <c r="E101" s="145"/>
      <c r="F101" s="146"/>
      <c r="G101" s="147"/>
      <c r="H101" s="482"/>
      <c r="I101" s="127"/>
      <c r="J101" s="112"/>
      <c r="K101" s="112"/>
      <c r="L101" s="112"/>
      <c r="M101" s="112"/>
      <c r="N101" s="112"/>
      <c r="O101" s="114"/>
      <c r="P101" s="127"/>
      <c r="Q101" s="114"/>
      <c r="R101" s="114"/>
      <c r="S101" s="112"/>
      <c r="T101" s="178"/>
      <c r="U101" s="178"/>
      <c r="V101" s="112"/>
      <c r="W101" s="116"/>
      <c r="X101" s="116"/>
      <c r="Y101" s="149"/>
      <c r="Z101" s="149"/>
      <c r="AA101" s="116"/>
      <c r="AB101" s="114">
        <v>5</v>
      </c>
      <c r="AC101" s="118"/>
      <c r="AD101" s="117"/>
      <c r="AE101" s="118"/>
      <c r="AF101" s="118"/>
      <c r="AG101" s="117"/>
      <c r="AH101" s="121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76"/>
      <c r="AU101" s="477"/>
      <c r="AV101" s="477"/>
    </row>
    <row r="102" spans="1:48" ht="21.1">
      <c r="A102" s="82" t="s">
        <v>343</v>
      </c>
      <c r="B102" s="289"/>
      <c r="C102" s="132"/>
      <c r="D102" s="133"/>
      <c r="E102" s="134"/>
      <c r="F102" s="135"/>
      <c r="G102" s="136"/>
      <c r="H102" s="481" t="s">
        <v>339</v>
      </c>
      <c r="I102" s="105"/>
      <c r="J102" s="75" t="s">
        <v>339</v>
      </c>
      <c r="K102" s="75">
        <v>12</v>
      </c>
      <c r="L102" s="75" t="s">
        <v>379</v>
      </c>
      <c r="M102" s="75"/>
      <c r="N102" s="75"/>
      <c r="O102" s="96" t="s">
        <v>375</v>
      </c>
      <c r="P102" s="105"/>
      <c r="Q102" s="96">
        <v>15</v>
      </c>
      <c r="R102" s="96"/>
      <c r="S102" s="75">
        <v>15</v>
      </c>
      <c r="T102" s="141" t="s">
        <v>381</v>
      </c>
      <c r="U102" s="141" t="s">
        <v>384</v>
      </c>
      <c r="V102" s="75" t="s">
        <v>379</v>
      </c>
      <c r="W102" s="100">
        <v>15</v>
      </c>
      <c r="X102" s="100" t="s">
        <v>379</v>
      </c>
      <c r="Y102" s="142" t="s">
        <v>901</v>
      </c>
      <c r="Z102" s="142">
        <v>10</v>
      </c>
      <c r="AA102" s="100">
        <v>15</v>
      </c>
      <c r="AB102" s="96"/>
      <c r="AC102" s="109">
        <v>10</v>
      </c>
      <c r="AD102" s="108"/>
      <c r="AE102" s="109" t="s">
        <v>375</v>
      </c>
      <c r="AF102" s="109"/>
      <c r="AG102" s="108"/>
      <c r="AH102" s="111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50"/>
      <c r="AU102" s="477"/>
      <c r="AV102" s="477"/>
    </row>
    <row r="103" spans="1:48" ht="16.3">
      <c r="A103" s="246" t="s">
        <v>1</v>
      </c>
      <c r="B103" s="292">
        <f>SUM(J103+K103+L103+M103+N103+S103+V103+W103+X103+AA103+AI103+AJ103+AI103+AM103+AP103+AQ103+AS103+AT103+AU103+AV103+AN103)+6</f>
        <v>13</v>
      </c>
      <c r="C103" s="288">
        <f>B103</f>
        <v>13</v>
      </c>
      <c r="D103" s="133"/>
      <c r="E103" s="134"/>
      <c r="F103" s="135"/>
      <c r="G103" s="136"/>
      <c r="H103" s="481"/>
      <c r="I103" s="105"/>
      <c r="J103" s="75"/>
      <c r="K103" s="75">
        <v>1</v>
      </c>
      <c r="L103" s="75">
        <v>1</v>
      </c>
      <c r="M103" s="75"/>
      <c r="N103" s="75"/>
      <c r="O103" s="96"/>
      <c r="P103" s="105"/>
      <c r="Q103" s="96">
        <v>1</v>
      </c>
      <c r="R103" s="96"/>
      <c r="S103" s="75">
        <v>1</v>
      </c>
      <c r="T103" s="141">
        <v>1</v>
      </c>
      <c r="U103" s="141">
        <v>1</v>
      </c>
      <c r="V103" s="75">
        <v>1</v>
      </c>
      <c r="W103" s="100">
        <v>1</v>
      </c>
      <c r="X103" s="100">
        <v>1</v>
      </c>
      <c r="Y103" s="142">
        <v>1</v>
      </c>
      <c r="Z103" s="142">
        <v>1</v>
      </c>
      <c r="AA103" s="100">
        <v>1</v>
      </c>
      <c r="AB103" s="96"/>
      <c r="AC103" s="109">
        <v>1</v>
      </c>
      <c r="AD103" s="108"/>
      <c r="AE103" s="109"/>
      <c r="AF103" s="109"/>
      <c r="AG103" s="108"/>
      <c r="AH103" s="111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50"/>
      <c r="AU103" s="477"/>
      <c r="AV103" s="477"/>
    </row>
    <row r="104" spans="1:48" ht="16.3">
      <c r="A104" s="246" t="s">
        <v>2</v>
      </c>
      <c r="B104" s="292">
        <f>SUM(J104+K104+L104+M104+N104+S104+V104+W104+X104+AA104+AI104+AJ104+AI104+AM104+AP104+AQ104+AS104+AT104+AU104+AV104)</f>
        <v>0</v>
      </c>
      <c r="C104" s="288">
        <f t="shared" ref="C104:C105" si="11">B104</f>
        <v>0</v>
      </c>
      <c r="D104" s="133"/>
      <c r="E104" s="134"/>
      <c r="F104" s="135"/>
      <c r="G104" s="136"/>
      <c r="H104" s="481"/>
      <c r="I104" s="105"/>
      <c r="J104" s="75"/>
      <c r="K104" s="75"/>
      <c r="L104" s="75"/>
      <c r="M104" s="75"/>
      <c r="N104" s="75"/>
      <c r="O104" s="96">
        <v>1</v>
      </c>
      <c r="P104" s="105"/>
      <c r="Q104" s="96"/>
      <c r="R104" s="96"/>
      <c r="S104" s="75"/>
      <c r="T104" s="141"/>
      <c r="U104" s="141"/>
      <c r="V104" s="75"/>
      <c r="W104" s="100"/>
      <c r="X104" s="100"/>
      <c r="Y104" s="142"/>
      <c r="Z104" s="142"/>
      <c r="AA104" s="100"/>
      <c r="AB104" s="96"/>
      <c r="AC104" s="109"/>
      <c r="AD104" s="108"/>
      <c r="AE104" s="109">
        <v>1</v>
      </c>
      <c r="AF104" s="109"/>
      <c r="AG104" s="108"/>
      <c r="AH104" s="111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50"/>
      <c r="AU104" s="477"/>
      <c r="AV104" s="477"/>
    </row>
    <row r="105" spans="1:48" ht="16.3">
      <c r="A105" s="87" t="s">
        <v>363</v>
      </c>
      <c r="B105" s="289">
        <f>SUM(B103+B104)</f>
        <v>13</v>
      </c>
      <c r="C105" s="132">
        <f t="shared" si="11"/>
        <v>13</v>
      </c>
      <c r="D105" s="133"/>
      <c r="E105" s="134"/>
      <c r="F105" s="135"/>
      <c r="G105" s="136"/>
      <c r="H105" s="481"/>
      <c r="I105" s="105"/>
      <c r="J105" s="75"/>
      <c r="K105" s="75"/>
      <c r="L105" s="75"/>
      <c r="M105" s="75"/>
      <c r="N105" s="75"/>
      <c r="O105" s="96"/>
      <c r="P105" s="105"/>
      <c r="Q105" s="96"/>
      <c r="R105" s="96"/>
      <c r="S105" s="75"/>
      <c r="T105" s="141"/>
      <c r="U105" s="141"/>
      <c r="V105" s="75"/>
      <c r="W105" s="100"/>
      <c r="X105" s="100"/>
      <c r="Y105" s="142"/>
      <c r="Z105" s="142"/>
      <c r="AA105" s="100"/>
      <c r="AB105" s="96"/>
      <c r="AC105" s="109"/>
      <c r="AD105" s="108"/>
      <c r="AE105" s="109"/>
      <c r="AF105" s="109"/>
      <c r="AG105" s="108"/>
      <c r="AH105" s="111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50"/>
      <c r="AU105" s="477"/>
      <c r="AV105" s="477"/>
    </row>
    <row r="106" spans="1:48" ht="16.3">
      <c r="A106" s="246" t="s">
        <v>6</v>
      </c>
      <c r="B106" s="292">
        <f>SUM(J106+K106+L106+M106+N106+S106+V106+W106+X106+AA106+AI106+AJ106+AI106+AM106+AP106+AQ106+AS106+AT106+AU106+AV106)+9</f>
        <v>9</v>
      </c>
      <c r="C106" s="288">
        <f t="shared" ref="C106:C107" si="12">B106</f>
        <v>9</v>
      </c>
      <c r="D106" s="133"/>
      <c r="E106" s="134"/>
      <c r="F106" s="135"/>
      <c r="G106" s="136"/>
      <c r="H106" s="481"/>
      <c r="I106" s="105"/>
      <c r="J106" s="75"/>
      <c r="K106" s="75"/>
      <c r="L106" s="75"/>
      <c r="M106" s="75"/>
      <c r="N106" s="75"/>
      <c r="O106" s="96"/>
      <c r="P106" s="105"/>
      <c r="Q106" s="96"/>
      <c r="R106" s="96"/>
      <c r="S106" s="75"/>
      <c r="T106" s="141"/>
      <c r="U106" s="141"/>
      <c r="V106" s="75"/>
      <c r="W106" s="100"/>
      <c r="X106" s="100"/>
      <c r="Y106" s="142">
        <v>3</v>
      </c>
      <c r="Z106" s="142">
        <v>1</v>
      </c>
      <c r="AA106" s="100"/>
      <c r="AB106" s="96"/>
      <c r="AC106" s="109">
        <v>2</v>
      </c>
      <c r="AD106" s="108"/>
      <c r="AE106" s="109"/>
      <c r="AF106" s="109"/>
      <c r="AG106" s="108"/>
      <c r="AH106" s="111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50"/>
      <c r="AU106" s="477"/>
      <c r="AV106" s="477"/>
    </row>
    <row r="107" spans="1:48" ht="16.3">
      <c r="A107" s="246" t="s">
        <v>5</v>
      </c>
      <c r="B107" s="292">
        <f>SUM(J107+K107+L107+M107+N107+S107+V107+W107+X107+AA107+AI107+AJ107+AI107+AM107+AP107+AQ107+AS107+AT107+AU107+AV107)+10</f>
        <v>10</v>
      </c>
      <c r="C107" s="288">
        <f t="shared" si="12"/>
        <v>10</v>
      </c>
      <c r="D107" s="133"/>
      <c r="E107" s="134"/>
      <c r="F107" s="135"/>
      <c r="G107" s="136"/>
      <c r="H107" s="481"/>
      <c r="I107" s="105"/>
      <c r="J107" s="75"/>
      <c r="K107" s="75"/>
      <c r="L107" s="75"/>
      <c r="M107" s="75"/>
      <c r="N107" s="75"/>
      <c r="O107" s="96"/>
      <c r="P107" s="105"/>
      <c r="Q107" s="96"/>
      <c r="R107" s="96"/>
      <c r="S107" s="75"/>
      <c r="T107" s="141"/>
      <c r="U107" s="141"/>
      <c r="V107" s="75"/>
      <c r="W107" s="100"/>
      <c r="X107" s="100"/>
      <c r="Y107" s="142">
        <v>4</v>
      </c>
      <c r="Z107" s="142">
        <v>2</v>
      </c>
      <c r="AA107" s="100"/>
      <c r="AB107" s="96"/>
      <c r="AC107" s="109">
        <v>4</v>
      </c>
      <c r="AD107" s="108"/>
      <c r="AE107" s="109"/>
      <c r="AF107" s="109"/>
      <c r="AG107" s="108"/>
      <c r="AH107" s="111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50"/>
      <c r="AU107" s="477"/>
      <c r="AV107" s="477"/>
    </row>
    <row r="108" spans="1:48" ht="16.3">
      <c r="A108" s="246" t="s">
        <v>368</v>
      </c>
      <c r="B108" s="293">
        <f>SUM(B106/B107)*100</f>
        <v>90</v>
      </c>
      <c r="C108" s="294">
        <f>SUM(C106/C107)*100</f>
        <v>90</v>
      </c>
      <c r="D108" s="133"/>
      <c r="E108" s="134"/>
      <c r="F108" s="135"/>
      <c r="G108" s="136"/>
      <c r="H108" s="481"/>
      <c r="I108" s="105"/>
      <c r="J108" s="75"/>
      <c r="K108" s="75"/>
      <c r="L108" s="75"/>
      <c r="M108" s="75"/>
      <c r="N108" s="75"/>
      <c r="O108" s="96"/>
      <c r="P108" s="105"/>
      <c r="Q108" s="96"/>
      <c r="R108" s="96"/>
      <c r="S108" s="75"/>
      <c r="T108" s="141"/>
      <c r="U108" s="141"/>
      <c r="V108" s="75"/>
      <c r="W108" s="100"/>
      <c r="X108" s="100"/>
      <c r="Y108" s="142">
        <v>75</v>
      </c>
      <c r="Z108" s="142">
        <v>50</v>
      </c>
      <c r="AA108" s="100"/>
      <c r="AB108" s="96"/>
      <c r="AC108" s="109">
        <v>50</v>
      </c>
      <c r="AD108" s="108"/>
      <c r="AE108" s="109"/>
      <c r="AF108" s="109"/>
      <c r="AG108" s="108"/>
      <c r="AH108" s="111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50"/>
      <c r="AU108" s="477"/>
      <c r="AV108" s="477"/>
    </row>
    <row r="109" spans="1:48" ht="16.3">
      <c r="A109" s="246" t="s">
        <v>386</v>
      </c>
      <c r="B109" s="293">
        <f>SUM(J109+K109+L109+M109+N109+S109+V109+W109+X109+AA109+AI109+AJ109+AI109+AM109+AP109+AQ109+AS109+AT109+AU109+AV109+AN109)+1</f>
        <v>1</v>
      </c>
      <c r="C109" s="294">
        <f t="shared" ref="C109:C111" si="13">B109</f>
        <v>1</v>
      </c>
      <c r="D109" s="133"/>
      <c r="E109" s="134"/>
      <c r="F109" s="135"/>
      <c r="G109" s="136"/>
      <c r="H109" s="481"/>
      <c r="I109" s="105"/>
      <c r="J109" s="75"/>
      <c r="K109" s="75"/>
      <c r="L109" s="75"/>
      <c r="M109" s="75"/>
      <c r="N109" s="75"/>
      <c r="O109" s="96"/>
      <c r="P109" s="105"/>
      <c r="Q109" s="96"/>
      <c r="R109" s="96"/>
      <c r="S109" s="75"/>
      <c r="T109" s="141"/>
      <c r="U109" s="141"/>
      <c r="V109" s="75"/>
      <c r="W109" s="100"/>
      <c r="X109" s="100"/>
      <c r="Y109" s="142"/>
      <c r="Z109" s="142"/>
      <c r="AA109" s="100"/>
      <c r="AB109" s="96"/>
      <c r="AC109" s="109"/>
      <c r="AD109" s="108"/>
      <c r="AE109" s="109"/>
      <c r="AF109" s="109"/>
      <c r="AG109" s="108"/>
      <c r="AH109" s="111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50"/>
      <c r="AU109" s="477"/>
      <c r="AV109" s="477"/>
    </row>
    <row r="110" spans="1:48" ht="16.3">
      <c r="A110" s="87" t="s">
        <v>3</v>
      </c>
      <c r="B110" s="289">
        <f>SUM(J110+K110+L110+M110+N110+S110+V110+W110+X110+AA110+AI110+AJ110+AI110+AM110+AP110+AQ110+AS110+AT110+AU110+AV110+AN110)</f>
        <v>1</v>
      </c>
      <c r="C110" s="132">
        <f t="shared" si="13"/>
        <v>1</v>
      </c>
      <c r="D110" s="133"/>
      <c r="E110" s="134"/>
      <c r="F110" s="135"/>
      <c r="G110" s="136"/>
      <c r="H110" s="481"/>
      <c r="I110" s="105"/>
      <c r="J110" s="75"/>
      <c r="K110" s="75"/>
      <c r="L110" s="75"/>
      <c r="M110" s="75"/>
      <c r="N110" s="75"/>
      <c r="O110" s="96"/>
      <c r="P110" s="105"/>
      <c r="Q110" s="96"/>
      <c r="R110" s="96"/>
      <c r="S110" s="75">
        <v>1</v>
      </c>
      <c r="T110" s="141"/>
      <c r="U110" s="141"/>
      <c r="V110" s="75"/>
      <c r="W110" s="100"/>
      <c r="X110" s="100"/>
      <c r="Y110" s="142"/>
      <c r="Z110" s="142"/>
      <c r="AA110" s="100"/>
      <c r="AB110" s="96"/>
      <c r="AC110" s="109"/>
      <c r="AD110" s="108"/>
      <c r="AE110" s="109"/>
      <c r="AF110" s="109"/>
      <c r="AG110" s="108"/>
      <c r="AH110" s="111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50"/>
      <c r="AU110" s="477"/>
      <c r="AV110" s="477"/>
    </row>
    <row r="111" spans="1:48" ht="17" thickBot="1">
      <c r="A111" s="88" t="s">
        <v>4</v>
      </c>
      <c r="B111" s="290">
        <f>SUM(J111+K111+L111+M111+N111+S111+V111+W111+X111+AA111+AI111+AJ111+AI111+AM111+AP111+AQ111+AS111+AT111+AU111+AV111+AN111)+23</f>
        <v>28</v>
      </c>
      <c r="C111" s="143">
        <f t="shared" si="13"/>
        <v>28</v>
      </c>
      <c r="D111" s="144"/>
      <c r="E111" s="145"/>
      <c r="F111" s="146"/>
      <c r="G111" s="147"/>
      <c r="H111" s="482"/>
      <c r="I111" s="127"/>
      <c r="J111" s="112"/>
      <c r="K111" s="112"/>
      <c r="L111" s="112"/>
      <c r="M111" s="112"/>
      <c r="N111" s="112"/>
      <c r="O111" s="114"/>
      <c r="P111" s="127"/>
      <c r="Q111" s="114"/>
      <c r="R111" s="114"/>
      <c r="S111" s="112">
        <v>5</v>
      </c>
      <c r="T111" s="178"/>
      <c r="U111" s="178"/>
      <c r="V111" s="112"/>
      <c r="W111" s="116"/>
      <c r="X111" s="116"/>
      <c r="Y111" s="149">
        <v>6</v>
      </c>
      <c r="Z111" s="149">
        <v>2</v>
      </c>
      <c r="AA111" s="116"/>
      <c r="AB111" s="114"/>
      <c r="AC111" s="118">
        <v>4</v>
      </c>
      <c r="AD111" s="117"/>
      <c r="AE111" s="118"/>
      <c r="AF111" s="118"/>
      <c r="AG111" s="117"/>
      <c r="AH111" s="121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76"/>
      <c r="AU111" s="477"/>
      <c r="AV111" s="477"/>
    </row>
    <row r="112" spans="1:48" ht="21.1">
      <c r="A112" s="82" t="s">
        <v>780</v>
      </c>
      <c r="B112" s="289"/>
      <c r="C112" s="132"/>
      <c r="D112" s="133"/>
      <c r="E112" s="134"/>
      <c r="F112" s="135"/>
      <c r="G112" s="136"/>
      <c r="H112" s="481"/>
      <c r="I112" s="105"/>
      <c r="J112" s="75"/>
      <c r="K112" s="75"/>
      <c r="L112" s="75"/>
      <c r="M112" s="75"/>
      <c r="N112" s="75"/>
      <c r="O112" s="96" t="s">
        <v>375</v>
      </c>
      <c r="P112" s="105"/>
      <c r="Q112" s="96" t="s">
        <v>375</v>
      </c>
      <c r="R112" s="96">
        <v>15</v>
      </c>
      <c r="S112" s="75"/>
      <c r="T112" s="141"/>
      <c r="U112" s="141"/>
      <c r="V112" s="75"/>
      <c r="W112" s="100"/>
      <c r="X112" s="100"/>
      <c r="Y112" s="142"/>
      <c r="Z112" s="142"/>
      <c r="AA112" s="100"/>
      <c r="AB112" s="96" t="s">
        <v>375</v>
      </c>
      <c r="AC112" s="109" t="s">
        <v>375</v>
      </c>
      <c r="AD112" s="108"/>
      <c r="AE112" s="109"/>
      <c r="AF112" s="109" t="s">
        <v>375</v>
      </c>
      <c r="AG112" s="108"/>
      <c r="AH112" s="111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50"/>
      <c r="AU112" s="477"/>
      <c r="AV112" s="477"/>
    </row>
    <row r="113" spans="1:48" ht="16.3">
      <c r="A113" s="246" t="s">
        <v>1</v>
      </c>
      <c r="B113" s="292">
        <f>SUM(J113+K113+L113+M113+N113+S113+V113+W113+X113+AA113+AI113+AJ113+AI113+AM113+AP113+AQ113+AS113+AT113+AU113+AV113+AN113)</f>
        <v>0</v>
      </c>
      <c r="C113" s="288">
        <f>B113</f>
        <v>0</v>
      </c>
      <c r="D113" s="133"/>
      <c r="E113" s="134"/>
      <c r="F113" s="135"/>
      <c r="G113" s="136"/>
      <c r="H113" s="481"/>
      <c r="I113" s="105"/>
      <c r="J113" s="75"/>
      <c r="K113" s="75"/>
      <c r="L113" s="75"/>
      <c r="M113" s="75"/>
      <c r="N113" s="75"/>
      <c r="O113" s="96"/>
      <c r="P113" s="105"/>
      <c r="Q113" s="96"/>
      <c r="R113" s="96">
        <v>1</v>
      </c>
      <c r="S113" s="75"/>
      <c r="T113" s="141"/>
      <c r="U113" s="141"/>
      <c r="V113" s="75"/>
      <c r="W113" s="100"/>
      <c r="X113" s="100"/>
      <c r="Y113" s="142"/>
      <c r="Z113" s="142"/>
      <c r="AA113" s="100"/>
      <c r="AB113" s="96"/>
      <c r="AC113" s="109"/>
      <c r="AD113" s="108"/>
      <c r="AE113" s="109"/>
      <c r="AF113" s="109"/>
      <c r="AG113" s="108"/>
      <c r="AH113" s="111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50"/>
      <c r="AU113" s="477"/>
      <c r="AV113" s="477"/>
    </row>
    <row r="114" spans="1:48" ht="16.3">
      <c r="A114" s="246" t="s">
        <v>2</v>
      </c>
      <c r="B114" s="292">
        <f>SUM(J114+K114+L114+M114+N114+S114+V114+W114+X114+AA114+AI114+AJ114+AI114+AM114+AP114+AQ114+AS114+AT114+AU114+AV114)</f>
        <v>0</v>
      </c>
      <c r="C114" s="288">
        <f t="shared" ref="C114:C117" si="14">B114</f>
        <v>0</v>
      </c>
      <c r="D114" s="133"/>
      <c r="E114" s="134"/>
      <c r="F114" s="135"/>
      <c r="G114" s="136"/>
      <c r="H114" s="481"/>
      <c r="I114" s="105"/>
      <c r="J114" s="75"/>
      <c r="K114" s="75"/>
      <c r="L114" s="75"/>
      <c r="M114" s="75"/>
      <c r="N114" s="75"/>
      <c r="O114" s="96">
        <v>1</v>
      </c>
      <c r="P114" s="105"/>
      <c r="Q114" s="96">
        <v>1</v>
      </c>
      <c r="R114" s="96"/>
      <c r="S114" s="75"/>
      <c r="T114" s="141"/>
      <c r="U114" s="141"/>
      <c r="V114" s="75"/>
      <c r="W114" s="100"/>
      <c r="X114" s="100"/>
      <c r="Y114" s="142"/>
      <c r="Z114" s="142"/>
      <c r="AA114" s="100"/>
      <c r="AB114" s="96">
        <v>1</v>
      </c>
      <c r="AC114" s="109">
        <v>1</v>
      </c>
      <c r="AD114" s="108"/>
      <c r="AE114" s="109"/>
      <c r="AF114" s="109">
        <v>1</v>
      </c>
      <c r="AG114" s="108"/>
      <c r="AH114" s="111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50"/>
      <c r="AU114" s="477"/>
      <c r="AV114" s="477"/>
    </row>
    <row r="115" spans="1:48" ht="16.3">
      <c r="A115" s="87" t="s">
        <v>363</v>
      </c>
      <c r="B115" s="289">
        <f>SUM(B113+B114)</f>
        <v>0</v>
      </c>
      <c r="C115" s="132">
        <f t="shared" si="14"/>
        <v>0</v>
      </c>
      <c r="D115" s="133"/>
      <c r="E115" s="134"/>
      <c r="F115" s="135"/>
      <c r="G115" s="136"/>
      <c r="H115" s="481"/>
      <c r="I115" s="105"/>
      <c r="J115" s="75"/>
      <c r="K115" s="75"/>
      <c r="L115" s="75"/>
      <c r="M115" s="75"/>
      <c r="N115" s="75"/>
      <c r="O115" s="96"/>
      <c r="P115" s="105"/>
      <c r="Q115" s="96"/>
      <c r="R115" s="96"/>
      <c r="S115" s="75"/>
      <c r="T115" s="141"/>
      <c r="U115" s="141"/>
      <c r="V115" s="75"/>
      <c r="W115" s="100"/>
      <c r="X115" s="100"/>
      <c r="Y115" s="142"/>
      <c r="Z115" s="142"/>
      <c r="AA115" s="100"/>
      <c r="AB115" s="96"/>
      <c r="AC115" s="109"/>
      <c r="AD115" s="108"/>
      <c r="AE115" s="109"/>
      <c r="AF115" s="109"/>
      <c r="AG115" s="108"/>
      <c r="AH115" s="111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50"/>
      <c r="AU115" s="477"/>
      <c r="AV115" s="477"/>
    </row>
    <row r="116" spans="1:48" ht="16.3">
      <c r="A116" s="87" t="s">
        <v>3</v>
      </c>
      <c r="B116" s="289">
        <f>SUM(J116+K116+L116+M116+N116+S116+V116+W116+X116+AA116+AI116+AJ116+AI116+AM116+AP116+AQ116+AS116+AT116+AU116+AV116)</f>
        <v>0</v>
      </c>
      <c r="C116" s="132">
        <f t="shared" si="14"/>
        <v>0</v>
      </c>
      <c r="D116" s="133"/>
      <c r="E116" s="134"/>
      <c r="F116" s="135"/>
      <c r="G116" s="136"/>
      <c r="H116" s="481"/>
      <c r="I116" s="105"/>
      <c r="J116" s="75"/>
      <c r="K116" s="75"/>
      <c r="L116" s="75"/>
      <c r="M116" s="75"/>
      <c r="N116" s="75"/>
      <c r="O116" s="96"/>
      <c r="P116" s="105"/>
      <c r="Q116" s="96"/>
      <c r="R116" s="96"/>
      <c r="S116" s="75"/>
      <c r="T116" s="141"/>
      <c r="U116" s="141"/>
      <c r="V116" s="75"/>
      <c r="W116" s="100"/>
      <c r="X116" s="100"/>
      <c r="Y116" s="142"/>
      <c r="Z116" s="142"/>
      <c r="AA116" s="100"/>
      <c r="AB116" s="96"/>
      <c r="AC116" s="109"/>
      <c r="AD116" s="108"/>
      <c r="AE116" s="109"/>
      <c r="AF116" s="109"/>
      <c r="AG116" s="108"/>
      <c r="AH116" s="111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50"/>
      <c r="AU116" s="477"/>
      <c r="AV116" s="477"/>
    </row>
    <row r="117" spans="1:48" ht="17" thickBot="1">
      <c r="A117" s="88" t="s">
        <v>4</v>
      </c>
      <c r="B117" s="460">
        <f>SUM(J117+K117+L117+M117+N117+S117+V117+W117+X117+AA117+AI117+AJ117+AI117+AM117+AP117+AQ117+AS117+AT117+AU117+AV117)</f>
        <v>0</v>
      </c>
      <c r="C117" s="143">
        <f t="shared" si="14"/>
        <v>0</v>
      </c>
      <c r="D117" s="144"/>
      <c r="E117" s="145"/>
      <c r="F117" s="146"/>
      <c r="G117" s="147"/>
      <c r="H117" s="482"/>
      <c r="I117" s="127"/>
      <c r="J117" s="112"/>
      <c r="K117" s="112"/>
      <c r="L117" s="112"/>
      <c r="M117" s="112"/>
      <c r="N117" s="112"/>
      <c r="O117" s="114"/>
      <c r="P117" s="127"/>
      <c r="Q117" s="114"/>
      <c r="R117" s="114"/>
      <c r="S117" s="112"/>
      <c r="T117" s="178"/>
      <c r="U117" s="178"/>
      <c r="V117" s="112"/>
      <c r="W117" s="116"/>
      <c r="X117" s="116"/>
      <c r="Y117" s="149"/>
      <c r="Z117" s="149"/>
      <c r="AA117" s="116"/>
      <c r="AB117" s="114"/>
      <c r="AC117" s="118"/>
      <c r="AD117" s="117"/>
      <c r="AE117" s="118"/>
      <c r="AF117" s="118"/>
      <c r="AG117" s="117"/>
      <c r="AH117" s="121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76"/>
      <c r="AU117" s="477"/>
      <c r="AV117" s="477"/>
    </row>
    <row r="118" spans="1:48" ht="21.1">
      <c r="A118" s="82" t="s">
        <v>321</v>
      </c>
      <c r="B118" s="289"/>
      <c r="C118" s="132"/>
      <c r="D118" s="133"/>
      <c r="E118" s="134"/>
      <c r="F118" s="135"/>
      <c r="G118" s="136"/>
      <c r="H118" s="481" t="s">
        <v>393</v>
      </c>
      <c r="I118" s="105"/>
      <c r="J118" s="75"/>
      <c r="K118" s="75"/>
      <c r="L118" s="75"/>
      <c r="M118" s="75" t="s">
        <v>375</v>
      </c>
      <c r="N118" s="75"/>
      <c r="O118" s="96"/>
      <c r="P118" s="105"/>
      <c r="Q118" s="96"/>
      <c r="R118" s="96"/>
      <c r="S118" s="75"/>
      <c r="T118" s="141"/>
      <c r="U118" s="141"/>
      <c r="V118" s="75" t="s">
        <v>339</v>
      </c>
      <c r="W118" s="100"/>
      <c r="X118" s="100"/>
      <c r="Y118" s="142"/>
      <c r="Z118" s="142" t="s">
        <v>375</v>
      </c>
      <c r="AA118" s="100"/>
      <c r="AB118" s="96">
        <v>12</v>
      </c>
      <c r="AC118" s="109">
        <v>13</v>
      </c>
      <c r="AD118" s="108"/>
      <c r="AE118" s="109">
        <v>13</v>
      </c>
      <c r="AF118" s="109">
        <v>13</v>
      </c>
      <c r="AG118" s="108"/>
      <c r="AH118" s="111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50"/>
      <c r="AU118" s="477"/>
      <c r="AV118" s="477"/>
    </row>
    <row r="119" spans="1:48" ht="16.3">
      <c r="A119" s="246" t="s">
        <v>1</v>
      </c>
      <c r="B119" s="292">
        <f>SUM(J119+K119+L119+M119+N119+S119+V119+W119+X119+AA119+AI119+AJ119+AI119+AM119+AP119+AQ119+AS119+AT119+AU119+AV119+AN119)</f>
        <v>0</v>
      </c>
      <c r="C119" s="288">
        <f>B119</f>
        <v>0</v>
      </c>
      <c r="D119" s="133"/>
      <c r="E119" s="134"/>
      <c r="F119" s="135"/>
      <c r="G119" s="136"/>
      <c r="H119" s="481"/>
      <c r="I119" s="105"/>
      <c r="J119" s="75"/>
      <c r="K119" s="75"/>
      <c r="L119" s="75"/>
      <c r="M119" s="75"/>
      <c r="N119" s="75"/>
      <c r="O119" s="96"/>
      <c r="P119" s="105"/>
      <c r="Q119" s="96"/>
      <c r="R119" s="96"/>
      <c r="S119" s="75"/>
      <c r="T119" s="141"/>
      <c r="U119" s="141"/>
      <c r="V119" s="75"/>
      <c r="W119" s="100"/>
      <c r="X119" s="100"/>
      <c r="Y119" s="142"/>
      <c r="Z119" s="142"/>
      <c r="AA119" s="100"/>
      <c r="AB119" s="96">
        <v>1</v>
      </c>
      <c r="AC119" s="109">
        <v>1</v>
      </c>
      <c r="AD119" s="108"/>
      <c r="AE119" s="109">
        <v>1</v>
      </c>
      <c r="AF119" s="109">
        <v>1</v>
      </c>
      <c r="AG119" s="108"/>
      <c r="AH119" s="111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50"/>
      <c r="AU119" s="477"/>
      <c r="AV119" s="477"/>
    </row>
    <row r="120" spans="1:48" ht="16.3">
      <c r="A120" s="246" t="s">
        <v>2</v>
      </c>
      <c r="B120" s="292">
        <f>SUM(J120+K120+L120+M120+N120+S120+V120+W120+X120+AA120+AI120+AJ120+AI120+AM120+AP120+AQ120+AS120+AT120+AU120+AV120)</f>
        <v>1</v>
      </c>
      <c r="C120" s="288">
        <f t="shared" ref="C120:C123" si="15">B120</f>
        <v>1</v>
      </c>
      <c r="D120" s="133"/>
      <c r="E120" s="134"/>
      <c r="F120" s="135"/>
      <c r="G120" s="136"/>
      <c r="H120" s="481"/>
      <c r="I120" s="105"/>
      <c r="J120" s="75"/>
      <c r="K120" s="75"/>
      <c r="L120" s="75"/>
      <c r="M120" s="75">
        <v>1</v>
      </c>
      <c r="N120" s="75"/>
      <c r="O120" s="96"/>
      <c r="P120" s="105"/>
      <c r="Q120" s="96"/>
      <c r="R120" s="96"/>
      <c r="S120" s="75"/>
      <c r="T120" s="141"/>
      <c r="U120" s="141"/>
      <c r="V120" s="75"/>
      <c r="W120" s="100"/>
      <c r="X120" s="100"/>
      <c r="Y120" s="142"/>
      <c r="Z120" s="142">
        <v>1</v>
      </c>
      <c r="AA120" s="100"/>
      <c r="AB120" s="96"/>
      <c r="AC120" s="109"/>
      <c r="AD120" s="108"/>
      <c r="AE120" s="109"/>
      <c r="AF120" s="109"/>
      <c r="AG120" s="108"/>
      <c r="AH120" s="111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50"/>
      <c r="AU120" s="477"/>
      <c r="AV120" s="477"/>
    </row>
    <row r="121" spans="1:48" ht="16.3">
      <c r="A121" s="87" t="s">
        <v>363</v>
      </c>
      <c r="B121" s="289">
        <f>SUM(B119+B120)</f>
        <v>1</v>
      </c>
      <c r="C121" s="132">
        <f t="shared" si="15"/>
        <v>1</v>
      </c>
      <c r="D121" s="133"/>
      <c r="E121" s="134"/>
      <c r="F121" s="135"/>
      <c r="G121" s="136"/>
      <c r="H121" s="481"/>
      <c r="I121" s="105"/>
      <c r="J121" s="75"/>
      <c r="K121" s="75"/>
      <c r="L121" s="75"/>
      <c r="M121" s="75"/>
      <c r="N121" s="75"/>
      <c r="O121" s="96"/>
      <c r="P121" s="105"/>
      <c r="Q121" s="96"/>
      <c r="R121" s="96"/>
      <c r="S121" s="75"/>
      <c r="T121" s="141"/>
      <c r="U121" s="141"/>
      <c r="V121" s="75"/>
      <c r="W121" s="100"/>
      <c r="X121" s="100"/>
      <c r="Y121" s="142"/>
      <c r="Z121" s="142"/>
      <c r="AA121" s="100"/>
      <c r="AB121" s="96"/>
      <c r="AC121" s="109"/>
      <c r="AD121" s="108"/>
      <c r="AE121" s="109"/>
      <c r="AF121" s="109"/>
      <c r="AG121" s="108"/>
      <c r="AH121" s="111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50"/>
      <c r="AU121" s="477"/>
      <c r="AV121" s="477"/>
    </row>
    <row r="122" spans="1:48" ht="16.3">
      <c r="A122" s="87" t="s">
        <v>3</v>
      </c>
      <c r="B122" s="289">
        <f>SUM(J122+K122+L122+M122+N122+S122+V122+W122+X122+AA122+AI122+AJ122+AI122+AM122+AP122+AQ122+AS122+AT122+AU122+AV122)</f>
        <v>0</v>
      </c>
      <c r="C122" s="132">
        <f t="shared" si="15"/>
        <v>0</v>
      </c>
      <c r="D122" s="133"/>
      <c r="E122" s="134"/>
      <c r="F122" s="135"/>
      <c r="G122" s="136"/>
      <c r="H122" s="481"/>
      <c r="I122" s="105"/>
      <c r="J122" s="75"/>
      <c r="K122" s="75"/>
      <c r="L122" s="75"/>
      <c r="M122" s="75"/>
      <c r="N122" s="75"/>
      <c r="O122" s="96"/>
      <c r="P122" s="105"/>
      <c r="Q122" s="96"/>
      <c r="R122" s="96"/>
      <c r="S122" s="75"/>
      <c r="T122" s="141"/>
      <c r="U122" s="141"/>
      <c r="V122" s="75"/>
      <c r="W122" s="100"/>
      <c r="X122" s="100"/>
      <c r="Y122" s="142"/>
      <c r="Z122" s="142"/>
      <c r="AA122" s="100"/>
      <c r="AB122" s="96"/>
      <c r="AC122" s="109"/>
      <c r="AD122" s="108"/>
      <c r="AE122" s="109"/>
      <c r="AF122" s="109"/>
      <c r="AG122" s="108"/>
      <c r="AH122" s="111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50"/>
      <c r="AU122" s="477"/>
      <c r="AV122" s="477"/>
    </row>
    <row r="123" spans="1:48" ht="17" thickBot="1">
      <c r="A123" s="88" t="s">
        <v>4</v>
      </c>
      <c r="B123" s="290">
        <f>SUM(J123+K123+L123+M123+N123+S123+V123+W123+X123+AA123+AI123+AJ123+AI123+AM123+AP123+AQ123+AS123+AT123+AU123+AV123)</f>
        <v>0</v>
      </c>
      <c r="C123" s="143">
        <f t="shared" si="15"/>
        <v>0</v>
      </c>
      <c r="D123" s="144"/>
      <c r="E123" s="145"/>
      <c r="F123" s="146"/>
      <c r="G123" s="147"/>
      <c r="H123" s="481"/>
      <c r="I123" s="105"/>
      <c r="J123" s="112"/>
      <c r="K123" s="112"/>
      <c r="L123" s="112"/>
      <c r="M123" s="75"/>
      <c r="N123" s="75"/>
      <c r="O123" s="96"/>
      <c r="P123" s="105"/>
      <c r="Q123" s="96"/>
      <c r="R123" s="96"/>
      <c r="S123" s="75"/>
      <c r="T123" s="141"/>
      <c r="U123" s="141"/>
      <c r="V123" s="75"/>
      <c r="W123" s="100"/>
      <c r="X123" s="100"/>
      <c r="Y123" s="142"/>
      <c r="Z123" s="142"/>
      <c r="AA123" s="100"/>
      <c r="AB123" s="96"/>
      <c r="AC123" s="109"/>
      <c r="AD123" s="108"/>
      <c r="AE123" s="109"/>
      <c r="AF123" s="109"/>
      <c r="AG123" s="108"/>
      <c r="AH123" s="111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50"/>
      <c r="AU123" s="477"/>
      <c r="AV123" s="477"/>
    </row>
    <row r="124" spans="1:48" ht="21.1">
      <c r="A124" s="86" t="s">
        <v>32</v>
      </c>
      <c r="B124" s="289"/>
      <c r="C124" s="132"/>
      <c r="D124" s="133"/>
      <c r="E124" s="134"/>
      <c r="F124" s="135"/>
      <c r="G124" s="136"/>
      <c r="H124" s="483">
        <v>10</v>
      </c>
      <c r="I124" s="180"/>
      <c r="J124" s="75">
        <v>10</v>
      </c>
      <c r="K124" s="75" t="s">
        <v>384</v>
      </c>
      <c r="L124" s="75" t="s">
        <v>375</v>
      </c>
      <c r="M124" s="122">
        <v>10</v>
      </c>
      <c r="N124" s="122">
        <v>10</v>
      </c>
      <c r="O124" s="124">
        <v>10</v>
      </c>
      <c r="P124" s="180"/>
      <c r="Q124" s="124">
        <v>10</v>
      </c>
      <c r="R124" s="124"/>
      <c r="S124" s="122">
        <v>10</v>
      </c>
      <c r="T124" s="177">
        <v>10</v>
      </c>
      <c r="U124" s="177" t="s">
        <v>375</v>
      </c>
      <c r="V124" s="122">
        <v>10</v>
      </c>
      <c r="W124" s="102" t="s">
        <v>384</v>
      </c>
      <c r="X124" s="122">
        <v>10</v>
      </c>
      <c r="Y124" s="138"/>
      <c r="Z124" s="138"/>
      <c r="AA124" s="102">
        <v>10</v>
      </c>
      <c r="AB124" s="124"/>
      <c r="AC124" s="99"/>
      <c r="AD124" s="98"/>
      <c r="AE124" s="99">
        <v>10</v>
      </c>
      <c r="AF124" s="99" t="s">
        <v>384</v>
      </c>
      <c r="AG124" s="98"/>
      <c r="AH124" s="103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478"/>
      <c r="AU124" s="477"/>
      <c r="AV124" s="477"/>
    </row>
    <row r="125" spans="1:48" ht="16.3">
      <c r="A125" s="246" t="s">
        <v>1</v>
      </c>
      <c r="B125" s="292">
        <f>SUM(J125+K125+L125+M125+N125+S125+V125+W125+X125+AA125+AI125+AJ125+AI125+AM125+AP125+AQ125+AS125+AT125+AU125+AV125+AN125)+64</f>
        <v>73</v>
      </c>
      <c r="C125" s="288">
        <f>B125</f>
        <v>73</v>
      </c>
      <c r="D125" s="133"/>
      <c r="E125" s="134"/>
      <c r="F125" s="135"/>
      <c r="G125" s="136"/>
      <c r="H125" s="481">
        <v>1</v>
      </c>
      <c r="I125" s="105"/>
      <c r="J125" s="75">
        <v>1</v>
      </c>
      <c r="K125" s="75">
        <v>1</v>
      </c>
      <c r="L125" s="75"/>
      <c r="M125" s="75">
        <v>1</v>
      </c>
      <c r="N125" s="75">
        <v>1</v>
      </c>
      <c r="O125" s="96">
        <v>1</v>
      </c>
      <c r="P125" s="105"/>
      <c r="Q125" s="96">
        <v>1</v>
      </c>
      <c r="R125" s="96"/>
      <c r="S125" s="75">
        <v>1</v>
      </c>
      <c r="T125" s="141">
        <v>1</v>
      </c>
      <c r="U125" s="141"/>
      <c r="V125" s="75">
        <v>1</v>
      </c>
      <c r="W125" s="100">
        <v>1</v>
      </c>
      <c r="X125" s="100">
        <v>1</v>
      </c>
      <c r="Y125" s="142"/>
      <c r="Z125" s="142"/>
      <c r="AA125" s="100">
        <v>1</v>
      </c>
      <c r="AB125" s="96"/>
      <c r="AC125" s="109"/>
      <c r="AD125" s="108"/>
      <c r="AE125" s="109">
        <v>1</v>
      </c>
      <c r="AF125" s="109">
        <v>1</v>
      </c>
      <c r="AG125" s="108"/>
      <c r="AH125" s="111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50"/>
      <c r="AU125" s="477"/>
      <c r="AV125" s="477"/>
    </row>
    <row r="126" spans="1:48" ht="16.3">
      <c r="A126" s="246" t="s">
        <v>2</v>
      </c>
      <c r="B126" s="292">
        <f>SUM(J126+K126+L126+M126+N126+S126+V126+W126+X126+AA126+AI126+AJ126+AI126+AM126+AP126+AQ126+AS126+AT126+AU126+AV126)+21</f>
        <v>22</v>
      </c>
      <c r="C126" s="288">
        <f t="shared" ref="C126:C130" si="16">B126</f>
        <v>22</v>
      </c>
      <c r="D126" s="133"/>
      <c r="E126" s="134"/>
      <c r="F126" s="135"/>
      <c r="G126" s="136"/>
      <c r="H126" s="481"/>
      <c r="I126" s="105"/>
      <c r="J126" s="75"/>
      <c r="K126" s="75"/>
      <c r="L126" s="75">
        <v>1</v>
      </c>
      <c r="M126" s="75"/>
      <c r="N126" s="75"/>
      <c r="O126" s="96"/>
      <c r="P126" s="105"/>
      <c r="Q126" s="96"/>
      <c r="R126" s="96"/>
      <c r="S126" s="75"/>
      <c r="T126" s="141"/>
      <c r="U126" s="141">
        <v>1</v>
      </c>
      <c r="V126" s="75"/>
      <c r="W126" s="100"/>
      <c r="X126" s="100"/>
      <c r="Y126" s="142"/>
      <c r="Z126" s="142"/>
      <c r="AA126" s="100"/>
      <c r="AB126" s="96"/>
      <c r="AC126" s="109"/>
      <c r="AD126" s="108"/>
      <c r="AE126" s="109"/>
      <c r="AF126" s="109"/>
      <c r="AG126" s="108"/>
      <c r="AH126" s="111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50"/>
      <c r="AU126" s="477"/>
      <c r="AV126" s="477"/>
    </row>
    <row r="127" spans="1:48" ht="16.3">
      <c r="A127" s="87" t="s">
        <v>363</v>
      </c>
      <c r="B127" s="289">
        <f>SUM(B125+B126)</f>
        <v>95</v>
      </c>
      <c r="C127" s="132">
        <f t="shared" si="16"/>
        <v>95</v>
      </c>
      <c r="D127" s="133"/>
      <c r="E127" s="134"/>
      <c r="F127" s="135"/>
      <c r="G127" s="136"/>
      <c r="H127" s="481"/>
      <c r="I127" s="105"/>
      <c r="J127" s="75"/>
      <c r="K127" s="75"/>
      <c r="L127" s="75"/>
      <c r="M127" s="75"/>
      <c r="N127" s="75"/>
      <c r="O127" s="96"/>
      <c r="P127" s="105"/>
      <c r="Q127" s="96"/>
      <c r="R127" s="96"/>
      <c r="S127" s="75"/>
      <c r="T127" s="141"/>
      <c r="U127" s="141"/>
      <c r="V127" s="75"/>
      <c r="W127" s="100"/>
      <c r="X127" s="100"/>
      <c r="Y127" s="142"/>
      <c r="Z127" s="142"/>
      <c r="AA127" s="100"/>
      <c r="AB127" s="96"/>
      <c r="AC127" s="109"/>
      <c r="AD127" s="108"/>
      <c r="AE127" s="109"/>
      <c r="AF127" s="109"/>
      <c r="AG127" s="108"/>
      <c r="AH127" s="111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50"/>
      <c r="AU127" s="477"/>
      <c r="AV127" s="477"/>
    </row>
    <row r="128" spans="1:48" ht="16.3">
      <c r="A128" s="246" t="s">
        <v>362</v>
      </c>
      <c r="B128" s="292">
        <f>SUM(J128+K128+L128+M128+N128+S128+V128+W128+X128+AA128+AI128+AJ128+AI128+AM128+AP128+AQ128+AS128+AT128+AU128+AV128)+1</f>
        <v>1</v>
      </c>
      <c r="C128" s="288">
        <f t="shared" si="16"/>
        <v>1</v>
      </c>
      <c r="D128" s="133"/>
      <c r="E128" s="134"/>
      <c r="F128" s="135"/>
      <c r="G128" s="136"/>
      <c r="H128" s="481"/>
      <c r="I128" s="105"/>
      <c r="J128" s="75"/>
      <c r="K128" s="75"/>
      <c r="L128" s="75"/>
      <c r="M128" s="75"/>
      <c r="N128" s="75"/>
      <c r="O128" s="96"/>
      <c r="P128" s="105"/>
      <c r="Q128" s="96"/>
      <c r="R128" s="96"/>
      <c r="S128" s="75"/>
      <c r="T128" s="141"/>
      <c r="U128" s="141"/>
      <c r="V128" s="75"/>
      <c r="W128" s="100"/>
      <c r="X128" s="100"/>
      <c r="Y128" s="142"/>
      <c r="Z128" s="142"/>
      <c r="AA128" s="100"/>
      <c r="AB128" s="96"/>
      <c r="AC128" s="109"/>
      <c r="AD128" s="108"/>
      <c r="AE128" s="109"/>
      <c r="AF128" s="109"/>
      <c r="AG128" s="108"/>
      <c r="AH128" s="111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50"/>
      <c r="AU128" s="477"/>
      <c r="AV128" s="477"/>
    </row>
    <row r="129" spans="1:48" ht="16.3">
      <c r="A129" s="246" t="s">
        <v>366</v>
      </c>
      <c r="B129" s="292">
        <f>SUM(J129+K129+L129+M129+N129+S129+V129+W129+X129+AA129+AI129+AJ129+AI129+AM129+AP129+AQ129+AS129+AT129+AU129+AV129)</f>
        <v>0</v>
      </c>
      <c r="C129" s="288">
        <f t="shared" si="16"/>
        <v>0</v>
      </c>
      <c r="D129" s="133"/>
      <c r="E129" s="134"/>
      <c r="F129" s="135"/>
      <c r="G129" s="136"/>
      <c r="H129" s="481"/>
      <c r="I129" s="105"/>
      <c r="J129" s="75"/>
      <c r="K129" s="75"/>
      <c r="L129" s="75"/>
      <c r="M129" s="75"/>
      <c r="N129" s="75"/>
      <c r="O129" s="96"/>
      <c r="P129" s="105"/>
      <c r="Q129" s="96"/>
      <c r="R129" s="96"/>
      <c r="S129" s="75"/>
      <c r="T129" s="141"/>
      <c r="U129" s="141"/>
      <c r="V129" s="75"/>
      <c r="W129" s="100"/>
      <c r="X129" s="100"/>
      <c r="Y129" s="142"/>
      <c r="Z129" s="142"/>
      <c r="AA129" s="100"/>
      <c r="AB129" s="96"/>
      <c r="AC129" s="109"/>
      <c r="AD129" s="108"/>
      <c r="AE129" s="109"/>
      <c r="AF129" s="109"/>
      <c r="AG129" s="108"/>
      <c r="AH129" s="111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50"/>
      <c r="AU129" s="477"/>
      <c r="AV129" s="477"/>
    </row>
    <row r="130" spans="1:48" ht="17" thickBot="1">
      <c r="A130" s="246" t="s">
        <v>5</v>
      </c>
      <c r="B130" s="295">
        <f>SUM(J130+K130+L130+M130+N130+S130+V130+W130+X130+AA130+AI130+AJ130+AI130+AM130+AP130+AQ130+AS130+AT130+AU130+AV130)+174</f>
        <v>196</v>
      </c>
      <c r="C130" s="658">
        <f t="shared" si="16"/>
        <v>196</v>
      </c>
      <c r="D130" s="133"/>
      <c r="E130" s="134"/>
      <c r="F130" s="135"/>
      <c r="G130" s="136"/>
      <c r="H130" s="481">
        <v>3</v>
      </c>
      <c r="I130" s="105"/>
      <c r="J130" s="75">
        <v>3</v>
      </c>
      <c r="K130" s="75">
        <v>2</v>
      </c>
      <c r="L130" s="75">
        <v>0</v>
      </c>
      <c r="M130" s="75">
        <v>2</v>
      </c>
      <c r="N130" s="75">
        <v>2</v>
      </c>
      <c r="O130" s="96">
        <v>1</v>
      </c>
      <c r="P130" s="105"/>
      <c r="Q130" s="96">
        <v>3</v>
      </c>
      <c r="R130" s="96"/>
      <c r="S130" s="75">
        <v>3</v>
      </c>
      <c r="T130" s="141">
        <v>3</v>
      </c>
      <c r="U130" s="141">
        <v>1</v>
      </c>
      <c r="V130" s="75">
        <v>2</v>
      </c>
      <c r="W130" s="100">
        <v>3</v>
      </c>
      <c r="X130" s="100">
        <v>3</v>
      </c>
      <c r="Y130" s="142"/>
      <c r="Z130" s="142"/>
      <c r="AA130" s="100">
        <v>2</v>
      </c>
      <c r="AB130" s="96"/>
      <c r="AC130" s="109"/>
      <c r="AD130" s="108"/>
      <c r="AE130" s="109">
        <v>3</v>
      </c>
      <c r="AF130" s="109">
        <v>2</v>
      </c>
      <c r="AG130" s="108"/>
      <c r="AH130" s="111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50"/>
      <c r="AU130" s="477"/>
      <c r="AV130" s="477"/>
    </row>
    <row r="131" spans="1:48" ht="16.3">
      <c r="A131" s="246" t="s">
        <v>6</v>
      </c>
      <c r="B131" s="292">
        <f>SUM(J131+K131+L131+M131+N131+S131+V131+W131+X131+AA131+AI131+AJ131+AI131+AM131+AP131+AQ131+AS131+AT131+AU131+AV131)+226</f>
        <v>253</v>
      </c>
      <c r="C131" s="288">
        <f t="shared" ref="C131" si="17">B131</f>
        <v>253</v>
      </c>
      <c r="D131" s="133"/>
      <c r="E131" s="134"/>
      <c r="F131" s="135"/>
      <c r="G131" s="136"/>
      <c r="H131" s="481">
        <v>4</v>
      </c>
      <c r="I131" s="105"/>
      <c r="J131" s="75">
        <v>3</v>
      </c>
      <c r="K131" s="75">
        <v>2</v>
      </c>
      <c r="L131" s="75">
        <v>1</v>
      </c>
      <c r="M131" s="75">
        <v>3</v>
      </c>
      <c r="N131" s="75">
        <v>2</v>
      </c>
      <c r="O131" s="96">
        <v>2</v>
      </c>
      <c r="P131" s="105"/>
      <c r="Q131" s="96">
        <v>5</v>
      </c>
      <c r="R131" s="96"/>
      <c r="S131" s="75">
        <v>3</v>
      </c>
      <c r="T131" s="141">
        <v>5</v>
      </c>
      <c r="U131" s="141">
        <v>1</v>
      </c>
      <c r="V131" s="75">
        <v>2</v>
      </c>
      <c r="W131" s="100">
        <v>5</v>
      </c>
      <c r="X131" s="100">
        <v>4</v>
      </c>
      <c r="Y131" s="142"/>
      <c r="Z131" s="142"/>
      <c r="AA131" s="100">
        <v>2</v>
      </c>
      <c r="AB131" s="96"/>
      <c r="AC131" s="109"/>
      <c r="AD131" s="108"/>
      <c r="AE131" s="109">
        <v>3</v>
      </c>
      <c r="AF131" s="109">
        <v>2</v>
      </c>
      <c r="AG131" s="108"/>
      <c r="AH131" s="111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50"/>
      <c r="AU131" s="477"/>
      <c r="AV131" s="477"/>
    </row>
    <row r="132" spans="1:48" ht="16.3">
      <c r="A132" s="246" t="s">
        <v>368</v>
      </c>
      <c r="B132" s="293">
        <f>SUM(B130/B131)*100</f>
        <v>77.470355731225297</v>
      </c>
      <c r="C132" s="294">
        <f>SUM(C130/C131)*100</f>
        <v>77.470355731225297</v>
      </c>
      <c r="D132" s="133"/>
      <c r="E132" s="134"/>
      <c r="F132" s="135"/>
      <c r="G132" s="136"/>
      <c r="H132" s="481">
        <v>75</v>
      </c>
      <c r="I132" s="105"/>
      <c r="J132" s="75">
        <v>100</v>
      </c>
      <c r="K132" s="75">
        <v>100</v>
      </c>
      <c r="L132" s="75">
        <v>0</v>
      </c>
      <c r="M132" s="75">
        <v>67</v>
      </c>
      <c r="N132" s="75">
        <v>100</v>
      </c>
      <c r="O132" s="96">
        <v>50</v>
      </c>
      <c r="P132" s="105"/>
      <c r="Q132" s="96">
        <v>60</v>
      </c>
      <c r="R132" s="96"/>
      <c r="S132" s="75">
        <v>100</v>
      </c>
      <c r="T132" s="141">
        <v>60</v>
      </c>
      <c r="U132" s="141">
        <v>100</v>
      </c>
      <c r="V132" s="75">
        <v>100</v>
      </c>
      <c r="W132" s="100">
        <v>60</v>
      </c>
      <c r="X132" s="100">
        <v>75</v>
      </c>
      <c r="Y132" s="142"/>
      <c r="Z132" s="142"/>
      <c r="AA132" s="100">
        <v>100</v>
      </c>
      <c r="AB132" s="96"/>
      <c r="AC132" s="109"/>
      <c r="AD132" s="108"/>
      <c r="AE132" s="109">
        <v>100</v>
      </c>
      <c r="AF132" s="109">
        <v>100</v>
      </c>
      <c r="AG132" s="108"/>
      <c r="AH132" s="111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50"/>
      <c r="AU132" s="477"/>
      <c r="AV132" s="477"/>
    </row>
    <row r="133" spans="1:48" ht="16.3">
      <c r="A133" s="87" t="s">
        <v>3</v>
      </c>
      <c r="B133" s="289">
        <f>SUM(J133+K133+L133+M133+N133+S133+V133+W133+X133+AA133+AI133+AJ133+AI133+AM133+AP133+AQ133+AS133+AT133+AU133+AV133)+2</f>
        <v>2</v>
      </c>
      <c r="C133" s="132">
        <f t="shared" ref="C133:C134" si="18">B133</f>
        <v>2</v>
      </c>
      <c r="D133" s="133"/>
      <c r="E133" s="134"/>
      <c r="F133" s="135"/>
      <c r="G133" s="136"/>
      <c r="H133" s="481"/>
      <c r="I133" s="105"/>
      <c r="J133" s="75"/>
      <c r="K133" s="75"/>
      <c r="L133" s="75"/>
      <c r="M133" s="75"/>
      <c r="N133" s="75"/>
      <c r="O133" s="96"/>
      <c r="P133" s="105"/>
      <c r="Q133" s="96"/>
      <c r="R133" s="96"/>
      <c r="S133" s="75"/>
      <c r="T133" s="141"/>
      <c r="U133" s="141"/>
      <c r="V133" s="75"/>
      <c r="W133" s="100"/>
      <c r="X133" s="100"/>
      <c r="Y133" s="142"/>
      <c r="Z133" s="142"/>
      <c r="AA133" s="100"/>
      <c r="AB133" s="96"/>
      <c r="AC133" s="109"/>
      <c r="AD133" s="108"/>
      <c r="AE133" s="109"/>
      <c r="AF133" s="109"/>
      <c r="AG133" s="108"/>
      <c r="AH133" s="111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50"/>
      <c r="AU133" s="477"/>
      <c r="AV133" s="477"/>
    </row>
    <row r="134" spans="1:48" ht="17" thickBot="1">
      <c r="A134" s="88" t="s">
        <v>4</v>
      </c>
      <c r="B134" s="290">
        <f>SUM(J134+K134+L134+M134+N134+S134+V134+W134+X134+AA134+AI134+AJ134+AI134+AM134+AP134+AQ134+AS134+AT134+AU134+AV134)+419</f>
        <v>471</v>
      </c>
      <c r="C134" s="143">
        <f t="shared" si="18"/>
        <v>471</v>
      </c>
      <c r="D134" s="144"/>
      <c r="E134" s="145"/>
      <c r="F134" s="146"/>
      <c r="G134" s="147"/>
      <c r="H134" s="482">
        <v>6</v>
      </c>
      <c r="I134" s="127"/>
      <c r="J134" s="112">
        <v>7</v>
      </c>
      <c r="K134" s="112">
        <v>5</v>
      </c>
      <c r="L134" s="112">
        <v>0</v>
      </c>
      <c r="M134" s="112">
        <v>4</v>
      </c>
      <c r="N134" s="112">
        <v>4</v>
      </c>
      <c r="O134" s="114">
        <v>3</v>
      </c>
      <c r="P134" s="127"/>
      <c r="Q134" s="114">
        <v>6</v>
      </c>
      <c r="R134" s="114"/>
      <c r="S134" s="112">
        <v>7</v>
      </c>
      <c r="T134" s="178">
        <v>8</v>
      </c>
      <c r="U134" s="178">
        <v>2</v>
      </c>
      <c r="V134" s="112">
        <v>4</v>
      </c>
      <c r="W134" s="116">
        <v>7</v>
      </c>
      <c r="X134" s="112">
        <v>10</v>
      </c>
      <c r="Y134" s="142"/>
      <c r="Z134" s="142"/>
      <c r="AA134" s="100">
        <v>4</v>
      </c>
      <c r="AB134" s="114"/>
      <c r="AC134" s="109"/>
      <c r="AD134" s="108"/>
      <c r="AE134" s="109">
        <v>6</v>
      </c>
      <c r="AF134" s="109">
        <v>4</v>
      </c>
      <c r="AG134" s="108"/>
      <c r="AH134" s="111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50"/>
      <c r="AU134" s="477"/>
      <c r="AV134" s="477"/>
    </row>
    <row r="135" spans="1:48" ht="21.1">
      <c r="A135" s="82" t="s">
        <v>521</v>
      </c>
      <c r="B135" s="289"/>
      <c r="C135" s="132"/>
      <c r="D135" s="133"/>
      <c r="E135" s="134"/>
      <c r="F135" s="135"/>
      <c r="G135" s="136"/>
      <c r="H135" s="481" t="s">
        <v>567</v>
      </c>
      <c r="I135" s="105"/>
      <c r="J135" s="75" t="s">
        <v>635</v>
      </c>
      <c r="K135" s="75" t="s">
        <v>375</v>
      </c>
      <c r="L135" s="75">
        <v>10</v>
      </c>
      <c r="M135" s="75">
        <v>15</v>
      </c>
      <c r="N135" s="75"/>
      <c r="O135" s="96"/>
      <c r="P135" s="105"/>
      <c r="Q135" s="96"/>
      <c r="R135" s="96">
        <v>10</v>
      </c>
      <c r="S135" s="75" t="s">
        <v>375</v>
      </c>
      <c r="T135" s="141">
        <v>15</v>
      </c>
      <c r="U135" s="141">
        <v>15</v>
      </c>
      <c r="V135" s="75" t="s">
        <v>375</v>
      </c>
      <c r="W135" s="100" t="s">
        <v>375</v>
      </c>
      <c r="X135" s="100" t="s">
        <v>375</v>
      </c>
      <c r="Y135" s="138"/>
      <c r="Z135" s="138"/>
      <c r="AA135" s="102"/>
      <c r="AB135" s="96" t="s">
        <v>379</v>
      </c>
      <c r="AC135" s="99"/>
      <c r="AD135" s="98"/>
      <c r="AE135" s="99"/>
      <c r="AF135" s="99"/>
      <c r="AG135" s="98"/>
      <c r="AH135" s="103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478"/>
      <c r="AU135" s="477"/>
      <c r="AV135" s="477"/>
    </row>
    <row r="136" spans="1:48" ht="16.3">
      <c r="A136" s="246" t="s">
        <v>1</v>
      </c>
      <c r="B136" s="292">
        <f>SUM(J136+K136+L136+M136+N136+S136+V136+W136+X136+AA136+AI136+AJ136+AI136+AM136+AP136+AQ136+AS136+AT136+AU136+AV136+AN136)</f>
        <v>3</v>
      </c>
      <c r="C136" s="288">
        <f>B136</f>
        <v>3</v>
      </c>
      <c r="D136" s="133"/>
      <c r="E136" s="134"/>
      <c r="F136" s="135"/>
      <c r="G136" s="136"/>
      <c r="H136" s="481"/>
      <c r="I136" s="105"/>
      <c r="J136" s="75">
        <v>1</v>
      </c>
      <c r="K136" s="75"/>
      <c r="L136" s="75">
        <v>1</v>
      </c>
      <c r="M136" s="75">
        <v>1</v>
      </c>
      <c r="N136" s="75"/>
      <c r="O136" s="96"/>
      <c r="P136" s="105"/>
      <c r="Q136" s="96"/>
      <c r="R136" s="96">
        <v>1</v>
      </c>
      <c r="S136" s="75"/>
      <c r="T136" s="141">
        <v>1</v>
      </c>
      <c r="U136" s="141">
        <v>1</v>
      </c>
      <c r="V136" s="75"/>
      <c r="W136" s="100"/>
      <c r="X136" s="100"/>
      <c r="Y136" s="142"/>
      <c r="Z136" s="142"/>
      <c r="AA136" s="100"/>
      <c r="AB136" s="96">
        <v>1</v>
      </c>
      <c r="AC136" s="109"/>
      <c r="AD136" s="108"/>
      <c r="AE136" s="109"/>
      <c r="AF136" s="109"/>
      <c r="AG136" s="108"/>
      <c r="AH136" s="111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50"/>
      <c r="AU136" s="477"/>
      <c r="AV136" s="477"/>
    </row>
    <row r="137" spans="1:48" ht="16.3">
      <c r="A137" s="246" t="s">
        <v>2</v>
      </c>
      <c r="B137" s="292">
        <f>SUM(J137+K137+L137+M137+N137+S137+V137+W137+X137+AA137+AI137+AJ137+AI137+AM137+AP137+AQ137+AS137+AT137+AU137+AV137)</f>
        <v>5</v>
      </c>
      <c r="C137" s="288">
        <f t="shared" ref="C137:C138" si="19">B137</f>
        <v>5</v>
      </c>
      <c r="D137" s="133"/>
      <c r="E137" s="134"/>
      <c r="F137" s="135"/>
      <c r="G137" s="136"/>
      <c r="H137" s="481"/>
      <c r="I137" s="105"/>
      <c r="J137" s="75"/>
      <c r="K137" s="75">
        <v>1</v>
      </c>
      <c r="L137" s="75"/>
      <c r="M137" s="75"/>
      <c r="N137" s="75"/>
      <c r="O137" s="96"/>
      <c r="P137" s="105"/>
      <c r="Q137" s="96"/>
      <c r="R137" s="96"/>
      <c r="S137" s="75">
        <v>1</v>
      </c>
      <c r="T137" s="141"/>
      <c r="U137" s="141"/>
      <c r="V137" s="75">
        <v>1</v>
      </c>
      <c r="W137" s="75">
        <v>1</v>
      </c>
      <c r="X137" s="75">
        <v>1</v>
      </c>
      <c r="Y137" s="141"/>
      <c r="Z137" s="141"/>
      <c r="AA137" s="75"/>
      <c r="AB137" s="96"/>
      <c r="AC137" s="96"/>
      <c r="AD137" s="105"/>
      <c r="AE137" s="96"/>
      <c r="AF137" s="96"/>
      <c r="AG137" s="105"/>
      <c r="AH137" s="107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168"/>
      <c r="AU137" s="477"/>
      <c r="AV137" s="477"/>
    </row>
    <row r="138" spans="1:48" ht="16.3">
      <c r="A138" s="87" t="s">
        <v>363</v>
      </c>
      <c r="B138" s="289">
        <f>SUM(B136+B137)</f>
        <v>8</v>
      </c>
      <c r="C138" s="132">
        <f t="shared" si="19"/>
        <v>8</v>
      </c>
      <c r="D138" s="133"/>
      <c r="E138" s="134"/>
      <c r="F138" s="135"/>
      <c r="G138" s="136"/>
      <c r="H138" s="481"/>
      <c r="I138" s="105"/>
      <c r="J138" s="75"/>
      <c r="K138" s="75"/>
      <c r="L138" s="75"/>
      <c r="M138" s="75"/>
      <c r="N138" s="75"/>
      <c r="O138" s="96"/>
      <c r="P138" s="105"/>
      <c r="Q138" s="96"/>
      <c r="R138" s="96"/>
      <c r="S138" s="75"/>
      <c r="T138" s="141"/>
      <c r="U138" s="141"/>
      <c r="V138" s="75"/>
      <c r="W138" s="100"/>
      <c r="X138" s="100"/>
      <c r="Y138" s="142"/>
      <c r="Z138" s="142"/>
      <c r="AA138" s="100"/>
      <c r="AB138" s="96"/>
      <c r="AC138" s="109"/>
      <c r="AD138" s="108"/>
      <c r="AE138" s="109"/>
      <c r="AF138" s="109"/>
      <c r="AG138" s="108"/>
      <c r="AH138" s="111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50"/>
      <c r="AU138" s="477"/>
      <c r="AV138" s="477"/>
    </row>
    <row r="139" spans="1:48" ht="16.3">
      <c r="A139" s="246" t="s">
        <v>5</v>
      </c>
      <c r="B139" s="292">
        <f>SUM(J139+K139+L139+M139+N139+S139+V139+W139+X139+AA139+AI139+AJ139+AI139+AM139+AP139+AQ139+AS139+AT139+AU139+AV139)</f>
        <v>0</v>
      </c>
      <c r="C139" s="288">
        <f t="shared" ref="C139:C140" si="20">B139</f>
        <v>0</v>
      </c>
      <c r="D139" s="133"/>
      <c r="E139" s="134"/>
      <c r="F139" s="135"/>
      <c r="G139" s="136"/>
      <c r="H139" s="481"/>
      <c r="I139" s="105"/>
      <c r="J139" s="75">
        <v>0</v>
      </c>
      <c r="K139" s="75"/>
      <c r="L139" s="75"/>
      <c r="M139" s="75"/>
      <c r="N139" s="75"/>
      <c r="O139" s="96"/>
      <c r="P139" s="105"/>
      <c r="Q139" s="96"/>
      <c r="R139" s="96"/>
      <c r="S139" s="75"/>
      <c r="T139" s="141"/>
      <c r="U139" s="141">
        <v>1</v>
      </c>
      <c r="V139" s="75"/>
      <c r="W139" s="100"/>
      <c r="X139" s="100"/>
      <c r="Y139" s="142"/>
      <c r="Z139" s="142"/>
      <c r="AA139" s="100"/>
      <c r="AB139" s="96">
        <v>1</v>
      </c>
      <c r="AC139" s="109"/>
      <c r="AD139" s="108"/>
      <c r="AE139" s="109"/>
      <c r="AF139" s="109"/>
      <c r="AG139" s="108"/>
      <c r="AH139" s="111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50"/>
      <c r="AU139" s="477"/>
      <c r="AV139" s="477"/>
    </row>
    <row r="140" spans="1:48" ht="16.3">
      <c r="A140" s="246" t="s">
        <v>6</v>
      </c>
      <c r="B140" s="292">
        <f>SUM(J140+K140+L140+M140+N140+S140+V140+W140+X140+AA140+AI140+AJ140+AI140+AM140+AP140+AQ140+AS140+AT140+AU140+AV140)</f>
        <v>1</v>
      </c>
      <c r="C140" s="288">
        <f t="shared" si="20"/>
        <v>1</v>
      </c>
      <c r="D140" s="133"/>
      <c r="E140" s="134"/>
      <c r="F140" s="135"/>
      <c r="G140" s="136"/>
      <c r="H140" s="481"/>
      <c r="I140" s="105"/>
      <c r="J140" s="75">
        <v>1</v>
      </c>
      <c r="K140" s="75"/>
      <c r="L140" s="75"/>
      <c r="M140" s="75"/>
      <c r="N140" s="75"/>
      <c r="O140" s="96"/>
      <c r="P140" s="105"/>
      <c r="Q140" s="96"/>
      <c r="R140" s="96"/>
      <c r="S140" s="75"/>
      <c r="T140" s="141"/>
      <c r="U140" s="141">
        <v>2</v>
      </c>
      <c r="V140" s="75"/>
      <c r="W140" s="100"/>
      <c r="X140" s="100"/>
      <c r="Y140" s="142"/>
      <c r="Z140" s="142"/>
      <c r="AA140" s="100"/>
      <c r="AB140" s="96">
        <v>1</v>
      </c>
      <c r="AC140" s="109"/>
      <c r="AD140" s="108"/>
      <c r="AE140" s="109"/>
      <c r="AF140" s="109"/>
      <c r="AG140" s="108"/>
      <c r="AH140" s="111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50"/>
      <c r="AU140" s="477"/>
      <c r="AV140" s="477"/>
    </row>
    <row r="141" spans="1:48" ht="16.3">
      <c r="A141" s="246" t="s">
        <v>368</v>
      </c>
      <c r="B141" s="292">
        <f>SUM(B139/B140)*100</f>
        <v>0</v>
      </c>
      <c r="C141" s="294">
        <f>SUM(C139/C140)*100</f>
        <v>0</v>
      </c>
      <c r="D141" s="133"/>
      <c r="E141" s="134"/>
      <c r="F141" s="135"/>
      <c r="G141" s="136"/>
      <c r="H141" s="481"/>
      <c r="I141" s="105"/>
      <c r="J141" s="75">
        <v>0</v>
      </c>
      <c r="K141" s="75"/>
      <c r="L141" s="75"/>
      <c r="M141" s="75"/>
      <c r="N141" s="75"/>
      <c r="O141" s="96"/>
      <c r="P141" s="105"/>
      <c r="Q141" s="96"/>
      <c r="R141" s="96"/>
      <c r="S141" s="75"/>
      <c r="T141" s="141"/>
      <c r="U141" s="141">
        <v>50</v>
      </c>
      <c r="V141" s="75"/>
      <c r="W141" s="100"/>
      <c r="X141" s="100"/>
      <c r="Y141" s="142"/>
      <c r="Z141" s="142"/>
      <c r="AA141" s="100"/>
      <c r="AB141" s="96">
        <v>100</v>
      </c>
      <c r="AC141" s="109"/>
      <c r="AD141" s="108"/>
      <c r="AE141" s="109"/>
      <c r="AF141" s="109"/>
      <c r="AG141" s="108"/>
      <c r="AH141" s="111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50"/>
      <c r="AU141" s="477"/>
      <c r="AV141" s="477"/>
    </row>
    <row r="142" spans="1:48" ht="16.3">
      <c r="A142" s="87" t="s">
        <v>3</v>
      </c>
      <c r="B142" s="289">
        <f>SUM(J142+K142+L142+M142+N142+S142+V142+W142+X142+AA142+AI142+AJ142+AI142+AM142+AP142+AQ142+AS142+AT142+AU142+AV142)</f>
        <v>0</v>
      </c>
      <c r="C142" s="132">
        <f t="shared" ref="C142:C143" si="21">B142</f>
        <v>0</v>
      </c>
      <c r="D142" s="133"/>
      <c r="E142" s="134"/>
      <c r="F142" s="135"/>
      <c r="G142" s="136"/>
      <c r="H142" s="481"/>
      <c r="I142" s="105"/>
      <c r="J142" s="75"/>
      <c r="K142" s="75"/>
      <c r="L142" s="75"/>
      <c r="M142" s="75"/>
      <c r="N142" s="75"/>
      <c r="O142" s="96"/>
      <c r="P142" s="105"/>
      <c r="Q142" s="96"/>
      <c r="R142" s="96"/>
      <c r="S142" s="75"/>
      <c r="T142" s="141"/>
      <c r="U142" s="141"/>
      <c r="V142" s="75"/>
      <c r="W142" s="100"/>
      <c r="X142" s="100"/>
      <c r="Y142" s="142"/>
      <c r="Z142" s="142"/>
      <c r="AA142" s="100"/>
      <c r="AB142" s="96"/>
      <c r="AC142" s="109"/>
      <c r="AD142" s="108"/>
      <c r="AE142" s="109"/>
      <c r="AF142" s="109"/>
      <c r="AG142" s="108"/>
      <c r="AH142" s="111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50"/>
      <c r="AU142" s="477"/>
      <c r="AV142" s="477"/>
    </row>
    <row r="143" spans="1:48" ht="17" thickBot="1">
      <c r="A143" s="88" t="s">
        <v>4</v>
      </c>
      <c r="B143" s="290">
        <f>SUM(J143+K143+L143+M143+N143+S143+V143+W143+X143+AA143+AI143+AJ143+AI143+AM143+AP143+AQ143+AS143+AT143+AU143+AV143)</f>
        <v>0</v>
      </c>
      <c r="C143" s="143">
        <f t="shared" si="21"/>
        <v>0</v>
      </c>
      <c r="D143" s="144"/>
      <c r="E143" s="145"/>
      <c r="F143" s="146"/>
      <c r="G143" s="147"/>
      <c r="H143" s="482"/>
      <c r="I143" s="127"/>
      <c r="J143" s="112">
        <v>0</v>
      </c>
      <c r="K143" s="112"/>
      <c r="L143" s="112"/>
      <c r="M143" s="112"/>
      <c r="N143" s="112"/>
      <c r="O143" s="114"/>
      <c r="P143" s="127"/>
      <c r="Q143" s="114"/>
      <c r="R143" s="114"/>
      <c r="S143" s="112"/>
      <c r="T143" s="178"/>
      <c r="U143" s="178">
        <v>2</v>
      </c>
      <c r="V143" s="112"/>
      <c r="W143" s="116"/>
      <c r="X143" s="112"/>
      <c r="Y143" s="149"/>
      <c r="Z143" s="149"/>
      <c r="AA143" s="112"/>
      <c r="AB143" s="114">
        <v>2</v>
      </c>
      <c r="AC143" s="118"/>
      <c r="AD143" s="117"/>
      <c r="AE143" s="118"/>
      <c r="AF143" s="118"/>
      <c r="AG143" s="117"/>
      <c r="AH143" s="121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76"/>
      <c r="AU143" s="477"/>
      <c r="AV143" s="477"/>
    </row>
    <row r="144" spans="1:48" ht="21.1">
      <c r="A144" s="86" t="s">
        <v>283</v>
      </c>
      <c r="B144" s="291"/>
      <c r="C144" s="152"/>
      <c r="D144" s="153"/>
      <c r="E144" s="154"/>
      <c r="F144" s="155"/>
      <c r="G144" s="156"/>
      <c r="H144" s="481" t="s">
        <v>375</v>
      </c>
      <c r="I144" s="105"/>
      <c r="J144" s="75">
        <v>9</v>
      </c>
      <c r="K144" s="75" t="s">
        <v>378</v>
      </c>
      <c r="L144" s="75" t="s">
        <v>378</v>
      </c>
      <c r="M144" s="75" t="s">
        <v>393</v>
      </c>
      <c r="N144" s="75" t="s">
        <v>375</v>
      </c>
      <c r="O144" s="96"/>
      <c r="P144" s="105"/>
      <c r="Q144" s="96" t="s">
        <v>375</v>
      </c>
      <c r="R144" s="96" t="s">
        <v>378</v>
      </c>
      <c r="S144" s="75"/>
      <c r="T144" s="141"/>
      <c r="U144" s="141" t="s">
        <v>375</v>
      </c>
      <c r="V144" s="75" t="s">
        <v>393</v>
      </c>
      <c r="W144" s="100" t="s">
        <v>375</v>
      </c>
      <c r="X144" s="100" t="s">
        <v>375</v>
      </c>
      <c r="Y144" s="142" t="s">
        <v>393</v>
      </c>
      <c r="Z144" s="142" t="s">
        <v>375</v>
      </c>
      <c r="AA144" s="100" t="s">
        <v>375</v>
      </c>
      <c r="AB144" s="96">
        <v>9</v>
      </c>
      <c r="AC144" s="109"/>
      <c r="AD144" s="108"/>
      <c r="AE144" s="109" t="s">
        <v>378</v>
      </c>
      <c r="AF144" s="109"/>
      <c r="AG144" s="108"/>
      <c r="AH144" s="111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50"/>
      <c r="AU144" s="477"/>
      <c r="AV144" s="477"/>
    </row>
    <row r="145" spans="1:48" ht="16.3">
      <c r="A145" s="246" t="s">
        <v>1</v>
      </c>
      <c r="B145" s="292">
        <f>SUM(J145+K145+L145+M145+N145+S145+V145+W145+X145+AA145+AI145+AJ145+AI145+AM145+AP145+AQ145+AS145+AT145+AU145+AV145+AN145)+5</f>
        <v>8</v>
      </c>
      <c r="C145" s="288">
        <f>B145</f>
        <v>8</v>
      </c>
      <c r="D145" s="133"/>
      <c r="E145" s="134"/>
      <c r="F145" s="135"/>
      <c r="G145" s="136"/>
      <c r="H145" s="481"/>
      <c r="I145" s="105"/>
      <c r="J145" s="75">
        <v>1</v>
      </c>
      <c r="K145" s="75">
        <v>1</v>
      </c>
      <c r="L145" s="75">
        <v>1</v>
      </c>
      <c r="M145" s="75"/>
      <c r="N145" s="75"/>
      <c r="O145" s="96"/>
      <c r="P145" s="105"/>
      <c r="Q145" s="96"/>
      <c r="R145" s="96">
        <v>1</v>
      </c>
      <c r="S145" s="75"/>
      <c r="T145" s="141"/>
      <c r="U145" s="141"/>
      <c r="V145" s="75"/>
      <c r="W145" s="100"/>
      <c r="X145" s="100"/>
      <c r="Y145" s="142"/>
      <c r="Z145" s="142"/>
      <c r="AA145" s="100"/>
      <c r="AB145" s="96">
        <v>1</v>
      </c>
      <c r="AC145" s="109"/>
      <c r="AD145" s="108"/>
      <c r="AE145" s="109">
        <v>1</v>
      </c>
      <c r="AF145" s="109"/>
      <c r="AG145" s="108"/>
      <c r="AH145" s="111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50"/>
      <c r="AU145" s="477"/>
      <c r="AV145" s="477"/>
    </row>
    <row r="146" spans="1:48" ht="16.3">
      <c r="A146" s="246" t="s">
        <v>2</v>
      </c>
      <c r="B146" s="292">
        <f>SUM(J146+K146+L146+M146+N146+S146+V146+W146+X146+AA146+AI146+AJ146+AI146+AM146+AP146+AQ146+AS146+AT146+AU146+AV146)+4</f>
        <v>8</v>
      </c>
      <c r="C146" s="288">
        <f t="shared" ref="C146:C149" si="22">B146</f>
        <v>8</v>
      </c>
      <c r="D146" s="133"/>
      <c r="E146" s="134"/>
      <c r="F146" s="135"/>
      <c r="G146" s="136"/>
      <c r="H146" s="481">
        <v>1</v>
      </c>
      <c r="I146" s="105"/>
      <c r="J146" s="75"/>
      <c r="K146" s="75"/>
      <c r="L146" s="75"/>
      <c r="M146" s="75"/>
      <c r="N146" s="75">
        <v>1</v>
      </c>
      <c r="O146" s="96"/>
      <c r="P146" s="105"/>
      <c r="Q146" s="96">
        <v>1</v>
      </c>
      <c r="R146" s="96"/>
      <c r="S146" s="75"/>
      <c r="T146" s="141"/>
      <c r="U146" s="141">
        <v>1</v>
      </c>
      <c r="V146" s="75"/>
      <c r="W146" s="100">
        <v>1</v>
      </c>
      <c r="X146" s="100">
        <v>1</v>
      </c>
      <c r="Y146" s="142"/>
      <c r="Z146" s="142">
        <v>1</v>
      </c>
      <c r="AA146" s="100">
        <v>1</v>
      </c>
      <c r="AB146" s="96"/>
      <c r="AC146" s="109"/>
      <c r="AD146" s="108"/>
      <c r="AE146" s="109"/>
      <c r="AF146" s="109"/>
      <c r="AG146" s="108"/>
      <c r="AH146" s="111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50"/>
      <c r="AU146" s="477"/>
      <c r="AV146" s="477"/>
    </row>
    <row r="147" spans="1:48" ht="16.3">
      <c r="A147" s="87" t="s">
        <v>363</v>
      </c>
      <c r="B147" s="289">
        <f>SUM(B145+B146)</f>
        <v>16</v>
      </c>
      <c r="C147" s="132">
        <f t="shared" si="22"/>
        <v>16</v>
      </c>
      <c r="D147" s="133"/>
      <c r="E147" s="134"/>
      <c r="F147" s="135"/>
      <c r="G147" s="136"/>
      <c r="H147" s="481"/>
      <c r="I147" s="105"/>
      <c r="J147" s="75"/>
      <c r="K147" s="75"/>
      <c r="L147" s="75"/>
      <c r="M147" s="75"/>
      <c r="N147" s="75"/>
      <c r="O147" s="96"/>
      <c r="P147" s="105"/>
      <c r="Q147" s="96"/>
      <c r="R147" s="96"/>
      <c r="S147" s="75"/>
      <c r="T147" s="141"/>
      <c r="U147" s="141"/>
      <c r="V147" s="75"/>
      <c r="W147" s="100"/>
      <c r="X147" s="100"/>
      <c r="Y147" s="142"/>
      <c r="Z147" s="142"/>
      <c r="AA147" s="100"/>
      <c r="AB147" s="96"/>
      <c r="AC147" s="109"/>
      <c r="AD147" s="108"/>
      <c r="AE147" s="109"/>
      <c r="AF147" s="109"/>
      <c r="AG147" s="108"/>
      <c r="AH147" s="111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50"/>
      <c r="AU147" s="477"/>
      <c r="AV147" s="477"/>
    </row>
    <row r="148" spans="1:48" ht="16.3">
      <c r="A148" s="87" t="s">
        <v>3</v>
      </c>
      <c r="B148" s="289">
        <f>SUM(J148+K148+L148+M148+N148+S148+V148+W148+X148+AA148+AI148+AJ148+AI148+AM148+AP148+AQ148+AS148+AT148+AU148+AV148)</f>
        <v>0</v>
      </c>
      <c r="C148" s="132">
        <f t="shared" si="22"/>
        <v>0</v>
      </c>
      <c r="D148" s="133"/>
      <c r="E148" s="134"/>
      <c r="F148" s="135"/>
      <c r="G148" s="136"/>
      <c r="H148" s="481"/>
      <c r="I148" s="105"/>
      <c r="J148" s="75"/>
      <c r="K148" s="75"/>
      <c r="L148" s="75"/>
      <c r="M148" s="75"/>
      <c r="N148" s="75"/>
      <c r="O148" s="96"/>
      <c r="P148" s="105"/>
      <c r="Q148" s="96"/>
      <c r="R148" s="96"/>
      <c r="S148" s="75"/>
      <c r="T148" s="141"/>
      <c r="U148" s="141"/>
      <c r="V148" s="75"/>
      <c r="W148" s="100"/>
      <c r="X148" s="100"/>
      <c r="Y148" s="142"/>
      <c r="Z148" s="142"/>
      <c r="AA148" s="100"/>
      <c r="AB148" s="96"/>
      <c r="AC148" s="109"/>
      <c r="AD148" s="108"/>
      <c r="AE148" s="109"/>
      <c r="AF148" s="109"/>
      <c r="AG148" s="108"/>
      <c r="AH148" s="111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50"/>
      <c r="AU148" s="477"/>
      <c r="AV148" s="477"/>
    </row>
    <row r="149" spans="1:48" ht="17" thickBot="1">
      <c r="A149" s="88" t="s">
        <v>4</v>
      </c>
      <c r="B149" s="290">
        <f>SUM(J149+K149+L149+M149+N149+S149+V149+W149+X149+AA149+AI149+AJ149+AI149+AM149+AP149+AQ149+AS149+AT149+AU149+AV149)</f>
        <v>0</v>
      </c>
      <c r="C149" s="143">
        <f t="shared" si="22"/>
        <v>0</v>
      </c>
      <c r="D149" s="144"/>
      <c r="E149" s="145"/>
      <c r="F149" s="146"/>
      <c r="G149" s="147"/>
      <c r="H149" s="482"/>
      <c r="I149" s="127"/>
      <c r="J149" s="112"/>
      <c r="K149" s="112"/>
      <c r="L149" s="112"/>
      <c r="M149" s="112"/>
      <c r="N149" s="112"/>
      <c r="O149" s="114"/>
      <c r="P149" s="127"/>
      <c r="Q149" s="114"/>
      <c r="R149" s="114"/>
      <c r="S149" s="112"/>
      <c r="T149" s="178"/>
      <c r="U149" s="178"/>
      <c r="V149" s="112"/>
      <c r="W149" s="116"/>
      <c r="X149" s="112"/>
      <c r="Y149" s="149"/>
      <c r="Z149" s="149"/>
      <c r="AA149" s="116"/>
      <c r="AB149" s="114"/>
      <c r="AC149" s="118"/>
      <c r="AD149" s="117"/>
      <c r="AE149" s="118"/>
      <c r="AF149" s="118"/>
      <c r="AG149" s="117"/>
      <c r="AH149" s="121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76"/>
      <c r="AU149" s="477"/>
      <c r="AV149" s="477"/>
    </row>
    <row r="150" spans="1:48" ht="21.1">
      <c r="A150" s="82" t="s">
        <v>520</v>
      </c>
      <c r="B150" s="289"/>
      <c r="C150" s="132"/>
      <c r="D150" s="133"/>
      <c r="E150" s="134"/>
      <c r="F150" s="135"/>
      <c r="G150" s="136"/>
      <c r="H150" s="481" t="s">
        <v>394</v>
      </c>
      <c r="I150" s="105"/>
      <c r="J150" s="75" t="s">
        <v>394</v>
      </c>
      <c r="K150" s="75" t="s">
        <v>394</v>
      </c>
      <c r="L150" s="75" t="s">
        <v>432</v>
      </c>
      <c r="M150" s="75">
        <v>9</v>
      </c>
      <c r="N150" s="75" t="s">
        <v>378</v>
      </c>
      <c r="O150" s="96" t="s">
        <v>375</v>
      </c>
      <c r="P150" s="105"/>
      <c r="Q150" s="96" t="s">
        <v>394</v>
      </c>
      <c r="R150" s="96" t="s">
        <v>394</v>
      </c>
      <c r="S150" s="75" t="s">
        <v>375</v>
      </c>
      <c r="T150" s="141" t="s">
        <v>375</v>
      </c>
      <c r="U150" s="141"/>
      <c r="V150" s="75">
        <v>9</v>
      </c>
      <c r="W150" s="75" t="s">
        <v>378</v>
      </c>
      <c r="X150" s="100" t="s">
        <v>378</v>
      </c>
      <c r="Y150" s="142">
        <v>9</v>
      </c>
      <c r="Z150" s="141" t="s">
        <v>378</v>
      </c>
      <c r="AA150" s="100" t="s">
        <v>966</v>
      </c>
      <c r="AB150" s="96"/>
      <c r="AC150" s="109"/>
      <c r="AD150" s="108"/>
      <c r="AE150" s="109"/>
      <c r="AF150" s="109" t="s">
        <v>378</v>
      </c>
      <c r="AG150" s="108"/>
      <c r="AH150" s="107"/>
      <c r="AI150" s="75"/>
      <c r="AJ150" s="75"/>
      <c r="AK150" s="75"/>
      <c r="AL150" s="100"/>
      <c r="AM150" s="75"/>
      <c r="AN150" s="100"/>
      <c r="AO150" s="100"/>
      <c r="AP150" s="75"/>
      <c r="AQ150" s="75"/>
      <c r="AR150" s="100"/>
      <c r="AS150" s="100"/>
      <c r="AT150" s="150"/>
      <c r="AU150" s="477"/>
      <c r="AV150" s="477"/>
    </row>
    <row r="151" spans="1:48" ht="16.3">
      <c r="A151" s="246" t="s">
        <v>1</v>
      </c>
      <c r="B151" s="292">
        <f>SUM(J151+K151+L151+M151+N151+S151+V151+W151+X151+AA151+AI151+AJ151+AI151+AM151+AP151+AQ151+AS151+AT151+AU151+AV151+AN151)</f>
        <v>6</v>
      </c>
      <c r="C151" s="288">
        <f>B151</f>
        <v>6</v>
      </c>
      <c r="D151" s="133"/>
      <c r="E151" s="134"/>
      <c r="F151" s="135"/>
      <c r="G151" s="136"/>
      <c r="H151" s="481"/>
      <c r="I151" s="105"/>
      <c r="J151" s="75"/>
      <c r="K151" s="75"/>
      <c r="L151" s="75"/>
      <c r="M151" s="75">
        <v>1</v>
      </c>
      <c r="N151" s="75">
        <v>1</v>
      </c>
      <c r="O151" s="96"/>
      <c r="P151" s="105"/>
      <c r="Q151" s="96"/>
      <c r="R151" s="96"/>
      <c r="S151" s="75"/>
      <c r="T151" s="141"/>
      <c r="U151" s="141"/>
      <c r="V151" s="75">
        <v>1</v>
      </c>
      <c r="W151" s="75">
        <v>1</v>
      </c>
      <c r="X151" s="100">
        <v>1</v>
      </c>
      <c r="Y151" s="142">
        <v>1</v>
      </c>
      <c r="Z151" s="141">
        <v>1</v>
      </c>
      <c r="AA151" s="100">
        <v>1</v>
      </c>
      <c r="AB151" s="96"/>
      <c r="AC151" s="109"/>
      <c r="AD151" s="108"/>
      <c r="AE151" s="109"/>
      <c r="AF151" s="109">
        <v>1</v>
      </c>
      <c r="AG151" s="108"/>
      <c r="AH151" s="107"/>
      <c r="AI151" s="75"/>
      <c r="AJ151" s="75"/>
      <c r="AK151" s="75"/>
      <c r="AL151" s="100"/>
      <c r="AM151" s="75"/>
      <c r="AN151" s="100"/>
      <c r="AO151" s="100"/>
      <c r="AP151" s="75"/>
      <c r="AQ151" s="75"/>
      <c r="AR151" s="100"/>
      <c r="AS151" s="100"/>
      <c r="AT151" s="150"/>
      <c r="AU151" s="477"/>
      <c r="AV151" s="477"/>
    </row>
    <row r="152" spans="1:48" ht="16.3">
      <c r="A152" s="246" t="s">
        <v>2</v>
      </c>
      <c r="B152" s="292">
        <f>SUM(J152+K152+L152+M152+N152+S152+V152+W152+X152+AA152+AI152+AJ152+AI152+AM152+AP152+AQ152+AS152+AT152+AU152+AV152)</f>
        <v>2</v>
      </c>
      <c r="C152" s="288">
        <f t="shared" ref="C152:C156" si="23">B152</f>
        <v>2</v>
      </c>
      <c r="D152" s="133"/>
      <c r="E152" s="134"/>
      <c r="F152" s="135"/>
      <c r="G152" s="136"/>
      <c r="H152" s="481"/>
      <c r="I152" s="105"/>
      <c r="J152" s="75"/>
      <c r="K152" s="75"/>
      <c r="L152" s="75">
        <v>1</v>
      </c>
      <c r="M152" s="75"/>
      <c r="N152" s="75"/>
      <c r="O152" s="96">
        <v>1</v>
      </c>
      <c r="P152" s="105"/>
      <c r="Q152" s="96"/>
      <c r="R152" s="96"/>
      <c r="S152" s="75">
        <v>1</v>
      </c>
      <c r="T152" s="141">
        <v>1</v>
      </c>
      <c r="U152" s="141"/>
      <c r="V152" s="75"/>
      <c r="W152" s="100"/>
      <c r="X152" s="100"/>
      <c r="Y152" s="142"/>
      <c r="Z152" s="142"/>
      <c r="AA152" s="100"/>
      <c r="AB152" s="96"/>
      <c r="AC152" s="109"/>
      <c r="AD152" s="108"/>
      <c r="AE152" s="109"/>
      <c r="AF152" s="109"/>
      <c r="AG152" s="108"/>
      <c r="AH152" s="111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50"/>
      <c r="AU152" s="477"/>
      <c r="AV152" s="477"/>
    </row>
    <row r="153" spans="1:48" ht="16.3">
      <c r="A153" s="87" t="s">
        <v>363</v>
      </c>
      <c r="B153" s="289">
        <f>SUM(B151+B152)</f>
        <v>8</v>
      </c>
      <c r="C153" s="132">
        <f t="shared" si="23"/>
        <v>8</v>
      </c>
      <c r="D153" s="133"/>
      <c r="E153" s="134"/>
      <c r="F153" s="135"/>
      <c r="G153" s="136"/>
      <c r="H153" s="481"/>
      <c r="I153" s="105"/>
      <c r="J153" s="75"/>
      <c r="K153" s="75"/>
      <c r="L153" s="75"/>
      <c r="M153" s="75"/>
      <c r="N153" s="75"/>
      <c r="O153" s="96"/>
      <c r="P153" s="105"/>
      <c r="Q153" s="96"/>
      <c r="R153" s="96"/>
      <c r="S153" s="75"/>
      <c r="T153" s="141"/>
      <c r="U153" s="141"/>
      <c r="V153" s="75"/>
      <c r="W153" s="100"/>
      <c r="X153" s="100"/>
      <c r="Y153" s="142"/>
      <c r="Z153" s="142"/>
      <c r="AA153" s="100"/>
      <c r="AB153" s="96"/>
      <c r="AC153" s="109"/>
      <c r="AD153" s="108"/>
      <c r="AE153" s="109"/>
      <c r="AF153" s="109"/>
      <c r="AG153" s="108"/>
      <c r="AH153" s="111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50"/>
      <c r="AU153" s="477"/>
      <c r="AV153" s="477"/>
    </row>
    <row r="154" spans="1:48" ht="16.3">
      <c r="A154" s="234" t="s">
        <v>362</v>
      </c>
      <c r="B154" s="292">
        <f>SUM(J154+K154+L154+M154+N154+S154+V154+W154+X154+AA154+AI154+AJ154+AI154+AM154+AP154+AQ154+AS154+AT154+AU154+AV154)</f>
        <v>1</v>
      </c>
      <c r="C154" s="288">
        <f t="shared" ref="C154" si="24">B154</f>
        <v>1</v>
      </c>
      <c r="D154" s="133"/>
      <c r="E154" s="134"/>
      <c r="F154" s="135"/>
      <c r="G154" s="136"/>
      <c r="H154" s="481"/>
      <c r="I154" s="105"/>
      <c r="J154" s="75"/>
      <c r="K154" s="75"/>
      <c r="L154" s="75"/>
      <c r="M154" s="75"/>
      <c r="N154" s="75"/>
      <c r="O154" s="96"/>
      <c r="P154" s="105"/>
      <c r="Q154" s="96"/>
      <c r="R154" s="96"/>
      <c r="S154" s="75"/>
      <c r="T154" s="141"/>
      <c r="U154" s="141"/>
      <c r="V154" s="75"/>
      <c r="W154" s="100"/>
      <c r="X154" s="100"/>
      <c r="Y154" s="142"/>
      <c r="Z154" s="142"/>
      <c r="AA154" s="100">
        <v>1</v>
      </c>
      <c r="AB154" s="96"/>
      <c r="AC154" s="109"/>
      <c r="AD154" s="108"/>
      <c r="AE154" s="109"/>
      <c r="AF154" s="109"/>
      <c r="AG154" s="108"/>
      <c r="AH154" s="111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50"/>
      <c r="AU154" s="477"/>
      <c r="AV154" s="477"/>
    </row>
    <row r="155" spans="1:48" ht="16.3">
      <c r="A155" s="87" t="s">
        <v>3</v>
      </c>
      <c r="B155" s="289">
        <f>SUM(J155+K155+L155+M155+N155+S155+V155+W155+X155+AA155+AI155+AJ155+AI155+AM155+AP155+AQ155+AS155+AT155+AU155+AV155)</f>
        <v>1</v>
      </c>
      <c r="C155" s="132">
        <f t="shared" si="23"/>
        <v>1</v>
      </c>
      <c r="D155" s="133"/>
      <c r="E155" s="134"/>
      <c r="F155" s="135"/>
      <c r="G155" s="136"/>
      <c r="H155" s="481"/>
      <c r="I155" s="105"/>
      <c r="J155" s="75"/>
      <c r="K155" s="75"/>
      <c r="L155" s="75"/>
      <c r="M155" s="75"/>
      <c r="N155" s="75"/>
      <c r="O155" s="96"/>
      <c r="P155" s="105"/>
      <c r="Q155" s="96"/>
      <c r="R155" s="96"/>
      <c r="S155" s="75"/>
      <c r="T155" s="141"/>
      <c r="U155" s="141"/>
      <c r="V155" s="75"/>
      <c r="W155" s="100"/>
      <c r="X155" s="100">
        <v>1</v>
      </c>
      <c r="Y155" s="142"/>
      <c r="Z155" s="142">
        <v>1</v>
      </c>
      <c r="AA155" s="100"/>
      <c r="AB155" s="96"/>
      <c r="AC155" s="109"/>
      <c r="AD155" s="108"/>
      <c r="AE155" s="109"/>
      <c r="AF155" s="109"/>
      <c r="AG155" s="108"/>
      <c r="AH155" s="111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50"/>
      <c r="AU155" s="477"/>
      <c r="AV155" s="477"/>
    </row>
    <row r="156" spans="1:48" ht="17" thickBot="1">
      <c r="A156" s="88" t="s">
        <v>4</v>
      </c>
      <c r="B156" s="290">
        <f>SUM(J156+K156+L156+M156+N156+S156+V156+W156+X156+AA156+AI156+AJ156+AI156+AM156+AP156+AQ156+AS156+AT156+AU156+AV156)</f>
        <v>5</v>
      </c>
      <c r="C156" s="143">
        <f t="shared" si="23"/>
        <v>5</v>
      </c>
      <c r="D156" s="144"/>
      <c r="E156" s="145"/>
      <c r="F156" s="146"/>
      <c r="G156" s="147"/>
      <c r="H156" s="482"/>
      <c r="I156" s="127"/>
      <c r="J156" s="112"/>
      <c r="K156" s="112"/>
      <c r="L156" s="112"/>
      <c r="M156" s="112"/>
      <c r="N156" s="112"/>
      <c r="O156" s="114"/>
      <c r="P156" s="127"/>
      <c r="Q156" s="114"/>
      <c r="R156" s="114"/>
      <c r="S156" s="112"/>
      <c r="T156" s="178"/>
      <c r="U156" s="178"/>
      <c r="V156" s="112"/>
      <c r="W156" s="116"/>
      <c r="X156" s="112">
        <v>5</v>
      </c>
      <c r="Y156" s="149"/>
      <c r="Z156" s="149">
        <v>5</v>
      </c>
      <c r="AA156" s="116"/>
      <c r="AB156" s="114"/>
      <c r="AC156" s="118"/>
      <c r="AD156" s="117"/>
      <c r="AE156" s="118"/>
      <c r="AF156" s="118"/>
      <c r="AG156" s="117"/>
      <c r="AH156" s="121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76"/>
      <c r="AU156" s="477"/>
      <c r="AV156" s="477"/>
    </row>
    <row r="157" spans="1:48" ht="21.1">
      <c r="A157" s="82" t="s">
        <v>174</v>
      </c>
      <c r="B157" s="289"/>
      <c r="C157" s="132"/>
      <c r="D157" s="133"/>
      <c r="E157" s="134"/>
      <c r="F157" s="135"/>
      <c r="G157" s="136"/>
      <c r="H157" s="481" t="s">
        <v>378</v>
      </c>
      <c r="I157" s="105"/>
      <c r="J157" s="75" t="s">
        <v>339</v>
      </c>
      <c r="K157" s="75" t="s">
        <v>339</v>
      </c>
      <c r="L157" s="75" t="s">
        <v>339</v>
      </c>
      <c r="M157" s="75" t="s">
        <v>339</v>
      </c>
      <c r="N157" s="75" t="s">
        <v>339</v>
      </c>
      <c r="O157" s="96" t="s">
        <v>378</v>
      </c>
      <c r="P157" s="105"/>
      <c r="Q157" s="96" t="s">
        <v>378</v>
      </c>
      <c r="R157" s="96" t="s">
        <v>375</v>
      </c>
      <c r="S157" s="75" t="s">
        <v>378</v>
      </c>
      <c r="T157" s="141" t="s">
        <v>378</v>
      </c>
      <c r="U157" s="141" t="s">
        <v>378</v>
      </c>
      <c r="V157" s="75" t="s">
        <v>717</v>
      </c>
      <c r="W157" s="100" t="s">
        <v>717</v>
      </c>
      <c r="X157" s="100" t="s">
        <v>717</v>
      </c>
      <c r="Y157" s="142"/>
      <c r="Z157" s="142"/>
      <c r="AA157" s="100"/>
      <c r="AB157" s="96" t="s">
        <v>375</v>
      </c>
      <c r="AC157" s="109" t="s">
        <v>378</v>
      </c>
      <c r="AD157" s="108"/>
      <c r="AE157" s="109"/>
      <c r="AF157" s="109" t="s">
        <v>1049</v>
      </c>
      <c r="AG157" s="108"/>
      <c r="AH157" s="111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50"/>
      <c r="AU157" s="477"/>
      <c r="AV157" s="477"/>
    </row>
    <row r="158" spans="1:48" ht="16.3">
      <c r="A158" s="246" t="s">
        <v>1</v>
      </c>
      <c r="B158" s="292">
        <f>SUM(J158+K158+L158+M158+N158+S158+V158+W158+X158+AA158+AI158+AJ158+AI158+AM158+AP158+AQ158+AS158+AT158+AU158+AV158+AN158)+41</f>
        <v>42</v>
      </c>
      <c r="C158" s="288">
        <f>SUM(K158+L158+M158+N158+J158+S158+W158+X158+V158+AA158+AJ158+AI158+AJ158+AN158+AQ158+AP158+AT158+AU158+AV158+AS158+AM158)+41</f>
        <v>42</v>
      </c>
      <c r="D158" s="133"/>
      <c r="E158" s="134"/>
      <c r="F158" s="135"/>
      <c r="G158" s="136"/>
      <c r="H158" s="481">
        <v>1</v>
      </c>
      <c r="I158" s="105"/>
      <c r="J158" s="75"/>
      <c r="K158" s="75"/>
      <c r="L158" s="75"/>
      <c r="M158" s="75"/>
      <c r="N158" s="75"/>
      <c r="O158" s="96">
        <v>1</v>
      </c>
      <c r="P158" s="105"/>
      <c r="Q158" s="96">
        <v>1</v>
      </c>
      <c r="R158" s="96"/>
      <c r="S158" s="75">
        <v>1</v>
      </c>
      <c r="T158" s="141">
        <v>1</v>
      </c>
      <c r="U158" s="141">
        <v>1</v>
      </c>
      <c r="V158" s="75"/>
      <c r="W158" s="100"/>
      <c r="X158" s="100"/>
      <c r="Y158" s="142"/>
      <c r="Z158" s="142"/>
      <c r="AA158" s="100"/>
      <c r="AB158" s="96"/>
      <c r="AC158" s="109">
        <v>1</v>
      </c>
      <c r="AD158" s="108"/>
      <c r="AE158" s="109"/>
      <c r="AF158" s="109"/>
      <c r="AG158" s="108"/>
      <c r="AH158" s="111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50"/>
      <c r="AU158" s="477"/>
      <c r="AV158" s="477"/>
    </row>
    <row r="159" spans="1:48" ht="16.3">
      <c r="A159" s="246" t="s">
        <v>2</v>
      </c>
      <c r="B159" s="292">
        <f>SUM(J159+K159+L159+M159+N159+S159+V159+W159+X159+AA159+AI159+AJ159+AI159+AM159+AP159+AQ159+AS159+AT159+AU159+AV159)+40</f>
        <v>40</v>
      </c>
      <c r="C159" s="288">
        <f>SUM(K159+L159+M159+N159+J159+S159+W159+X159+V159+AA159+AJ159+AI159+AJ159+AN159+AQ159+AP159+AT159+AU159+AV159+AS159+AM159)+43</f>
        <v>43</v>
      </c>
      <c r="D159" s="133"/>
      <c r="E159" s="134"/>
      <c r="F159" s="135"/>
      <c r="G159" s="136"/>
      <c r="H159" s="481"/>
      <c r="I159" s="105"/>
      <c r="J159" s="75"/>
      <c r="K159" s="75"/>
      <c r="L159" s="75"/>
      <c r="M159" s="75"/>
      <c r="N159" s="75"/>
      <c r="O159" s="96"/>
      <c r="P159" s="105"/>
      <c r="Q159" s="96"/>
      <c r="R159" s="96">
        <v>1</v>
      </c>
      <c r="S159" s="75"/>
      <c r="T159" s="141"/>
      <c r="U159" s="141"/>
      <c r="V159" s="75"/>
      <c r="W159" s="100"/>
      <c r="X159" s="100"/>
      <c r="Y159" s="142"/>
      <c r="Z159" s="142"/>
      <c r="AA159" s="100"/>
      <c r="AB159" s="96">
        <v>1</v>
      </c>
      <c r="AC159" s="109"/>
      <c r="AD159" s="108"/>
      <c r="AE159" s="109"/>
      <c r="AF159" s="109">
        <v>1</v>
      </c>
      <c r="AG159" s="108"/>
      <c r="AH159" s="111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50"/>
      <c r="AU159" s="477"/>
      <c r="AV159" s="477"/>
    </row>
    <row r="160" spans="1:48" ht="16.3">
      <c r="A160" s="87" t="s">
        <v>363</v>
      </c>
      <c r="B160" s="289">
        <f>SUM(B158+B159)</f>
        <v>82</v>
      </c>
      <c r="C160" s="132">
        <f>SUM(C158+C159)</f>
        <v>85</v>
      </c>
      <c r="D160" s="133"/>
      <c r="E160" s="134"/>
      <c r="F160" s="135"/>
      <c r="G160" s="136"/>
      <c r="H160" s="481"/>
      <c r="I160" s="105"/>
      <c r="J160" s="75"/>
      <c r="K160" s="75"/>
      <c r="L160" s="75"/>
      <c r="M160" s="75"/>
      <c r="N160" s="75"/>
      <c r="O160" s="96"/>
      <c r="P160" s="105"/>
      <c r="Q160" s="96"/>
      <c r="R160" s="96"/>
      <c r="S160" s="75"/>
      <c r="T160" s="141"/>
      <c r="U160" s="141"/>
      <c r="V160" s="75"/>
      <c r="W160" s="100"/>
      <c r="X160" s="100"/>
      <c r="Y160" s="142"/>
      <c r="Z160" s="142"/>
      <c r="AA160" s="100"/>
      <c r="AB160" s="96"/>
      <c r="AC160" s="109"/>
      <c r="AD160" s="108"/>
      <c r="AE160" s="109"/>
      <c r="AF160" s="109"/>
      <c r="AG160" s="108"/>
      <c r="AH160" s="111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50"/>
      <c r="AU160" s="477"/>
      <c r="AV160" s="477"/>
    </row>
    <row r="161" spans="1:48" ht="16.3">
      <c r="A161" s="246" t="s">
        <v>5</v>
      </c>
      <c r="B161" s="292">
        <f>SUM(J161+K161+L161+M161+N161+S161+V161+W161+X161+AA161+AI161+AJ161+AI161+AM161+AP161+AQ161+AS161+AT161+AU161+AV161)</f>
        <v>0</v>
      </c>
      <c r="C161" s="288">
        <f>SUM(K161+L161+M161+N161+J161+S161+W161+X161+V161+AA161+AJ161+AI161+AJ161+AN161+AQ161+AP161+AT161+AU161+AV161+AS161+AM161)</f>
        <v>0</v>
      </c>
      <c r="D161" s="133"/>
      <c r="E161" s="134"/>
      <c r="F161" s="135"/>
      <c r="G161" s="136"/>
      <c r="H161" s="481"/>
      <c r="I161" s="105"/>
      <c r="J161" s="75"/>
      <c r="K161" s="75"/>
      <c r="L161" s="75"/>
      <c r="M161" s="75"/>
      <c r="N161" s="75"/>
      <c r="O161" s="96"/>
      <c r="P161" s="105"/>
      <c r="Q161" s="96"/>
      <c r="R161" s="96"/>
      <c r="S161" s="75"/>
      <c r="T161" s="141"/>
      <c r="U161" s="141"/>
      <c r="V161" s="75"/>
      <c r="W161" s="100"/>
      <c r="X161" s="100"/>
      <c r="Y161" s="142"/>
      <c r="Z161" s="142"/>
      <c r="AA161" s="100"/>
      <c r="AB161" s="96">
        <v>0</v>
      </c>
      <c r="AC161" s="109"/>
      <c r="AD161" s="108"/>
      <c r="AE161" s="109"/>
      <c r="AF161" s="109"/>
      <c r="AG161" s="108"/>
      <c r="AH161" s="111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50"/>
      <c r="AU161" s="477"/>
      <c r="AV161" s="477"/>
    </row>
    <row r="162" spans="1:48" ht="16.3">
      <c r="A162" s="246" t="s">
        <v>6</v>
      </c>
      <c r="B162" s="292">
        <f>SUM(J162+K162+L162+M162+N162+S162+V162+W162+X162+AA162+AI162+AJ162+AI162+AM162+AP162+AQ162+AS162+AT162+AU162+AV162)+1</f>
        <v>1</v>
      </c>
      <c r="C162" s="288">
        <f>SUM(K162+L162+M162+N162+J162+S162+W162+X162+V162+AA162+AJ162+AI162+AJ162+AN162+AQ162+AP162+AT162+AU162+AV162+AS162+AM162)+1</f>
        <v>1</v>
      </c>
      <c r="D162" s="133"/>
      <c r="E162" s="134"/>
      <c r="F162" s="135"/>
      <c r="G162" s="136"/>
      <c r="H162" s="481"/>
      <c r="I162" s="105"/>
      <c r="J162" s="75"/>
      <c r="K162" s="75"/>
      <c r="L162" s="75"/>
      <c r="M162" s="75"/>
      <c r="N162" s="75"/>
      <c r="O162" s="96"/>
      <c r="P162" s="105"/>
      <c r="Q162" s="96"/>
      <c r="R162" s="96"/>
      <c r="S162" s="75"/>
      <c r="T162" s="141"/>
      <c r="U162" s="141"/>
      <c r="V162" s="75"/>
      <c r="W162" s="100"/>
      <c r="X162" s="100"/>
      <c r="Y162" s="142"/>
      <c r="Z162" s="142"/>
      <c r="AA162" s="100"/>
      <c r="AB162" s="96">
        <v>1</v>
      </c>
      <c r="AC162" s="109"/>
      <c r="AD162" s="108"/>
      <c r="AE162" s="109"/>
      <c r="AF162" s="109"/>
      <c r="AG162" s="108"/>
      <c r="AH162" s="111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50"/>
      <c r="AU162" s="477"/>
      <c r="AV162" s="477"/>
    </row>
    <row r="163" spans="1:48" ht="16.3">
      <c r="A163" s="246" t="s">
        <v>368</v>
      </c>
      <c r="B163" s="292">
        <f>SUM(B161/B162)*100</f>
        <v>0</v>
      </c>
      <c r="C163" s="288">
        <f>SUM(C161/C162)*100</f>
        <v>0</v>
      </c>
      <c r="D163" s="133"/>
      <c r="E163" s="134"/>
      <c r="F163" s="135"/>
      <c r="G163" s="136"/>
      <c r="H163" s="481"/>
      <c r="I163" s="105"/>
      <c r="J163" s="75"/>
      <c r="K163" s="75"/>
      <c r="L163" s="75"/>
      <c r="M163" s="75"/>
      <c r="N163" s="75"/>
      <c r="O163" s="96"/>
      <c r="P163" s="105"/>
      <c r="Q163" s="96"/>
      <c r="R163" s="96"/>
      <c r="S163" s="75"/>
      <c r="T163" s="141"/>
      <c r="U163" s="141"/>
      <c r="V163" s="75"/>
      <c r="W163" s="100"/>
      <c r="X163" s="100"/>
      <c r="Y163" s="142"/>
      <c r="Z163" s="142"/>
      <c r="AA163" s="100"/>
      <c r="AB163" s="96">
        <v>0</v>
      </c>
      <c r="AC163" s="109"/>
      <c r="AD163" s="108"/>
      <c r="AE163" s="109"/>
      <c r="AF163" s="109"/>
      <c r="AG163" s="108"/>
      <c r="AH163" s="111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50"/>
      <c r="AU163" s="477"/>
      <c r="AV163" s="477"/>
    </row>
    <row r="164" spans="1:48" ht="16.3">
      <c r="A164" s="87" t="s">
        <v>3</v>
      </c>
      <c r="B164" s="289">
        <f>SUM(J164+K164+L164+M164+N164+S164+V164+W164+X164+AA164+AI164+AJ164+AI164+AM164+AP164+AQ164+AS164+AT164+AU164+AV164)+6</f>
        <v>6</v>
      </c>
      <c r="C164" s="132">
        <f>SUM(K164+L164+M164+N164+J164+S164+W164+X164+V164+AA164+AJ164+AI164+AJ164+AN164+AQ164+AP164+AT164+AU164+AV164+AS164+AM164)+6</f>
        <v>6</v>
      </c>
      <c r="D164" s="133"/>
      <c r="E164" s="134"/>
      <c r="F164" s="135"/>
      <c r="G164" s="136"/>
      <c r="H164" s="481"/>
      <c r="I164" s="105"/>
      <c r="J164" s="75"/>
      <c r="K164" s="75"/>
      <c r="L164" s="75"/>
      <c r="M164" s="75"/>
      <c r="N164" s="75"/>
      <c r="O164" s="96"/>
      <c r="P164" s="105"/>
      <c r="Q164" s="96"/>
      <c r="R164" s="96"/>
      <c r="S164" s="75"/>
      <c r="T164" s="141"/>
      <c r="U164" s="141"/>
      <c r="V164" s="75"/>
      <c r="W164" s="100"/>
      <c r="X164" s="100"/>
      <c r="Y164" s="142"/>
      <c r="Z164" s="142"/>
      <c r="AA164" s="100"/>
      <c r="AB164" s="96"/>
      <c r="AC164" s="109"/>
      <c r="AD164" s="108"/>
      <c r="AE164" s="109"/>
      <c r="AF164" s="109"/>
      <c r="AG164" s="108"/>
      <c r="AH164" s="111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50"/>
      <c r="AU164" s="477"/>
      <c r="AV164" s="477"/>
    </row>
    <row r="165" spans="1:48" ht="17" thickBot="1">
      <c r="A165" s="88" t="s">
        <v>4</v>
      </c>
      <c r="B165" s="290">
        <f>SUM(J165+K165+L165+M165+N165+S165+V165+W165+X165+AA165+AI165+AJ165+AI165+AM165+AP165+AQ165+AS165+AT165+AU165+AV165)+30</f>
        <v>30</v>
      </c>
      <c r="C165" s="143">
        <f>SUM(K165+L165+M165+N165+J165+S165+W165+X165+V165+AA165+AJ165+AI165+AJ165+AN165+AQ165+AP165+AT165+AU165+AV165+AS165+AM165)+30</f>
        <v>30</v>
      </c>
      <c r="D165" s="144"/>
      <c r="E165" s="145"/>
      <c r="F165" s="146"/>
      <c r="G165" s="147"/>
      <c r="H165" s="482"/>
      <c r="I165" s="127"/>
      <c r="J165" s="112"/>
      <c r="K165" s="112"/>
      <c r="L165" s="112"/>
      <c r="M165" s="112"/>
      <c r="N165" s="112"/>
      <c r="O165" s="114"/>
      <c r="P165" s="127"/>
      <c r="Q165" s="114"/>
      <c r="R165" s="114"/>
      <c r="S165" s="112"/>
      <c r="T165" s="178"/>
      <c r="U165" s="178"/>
      <c r="V165" s="112"/>
      <c r="W165" s="116"/>
      <c r="X165" s="116"/>
      <c r="Y165" s="178"/>
      <c r="Z165" s="149"/>
      <c r="AA165" s="116"/>
      <c r="AB165" s="114">
        <v>0</v>
      </c>
      <c r="AC165" s="118"/>
      <c r="AD165" s="117"/>
      <c r="AE165" s="118"/>
      <c r="AF165" s="118"/>
      <c r="AG165" s="117"/>
      <c r="AH165" s="121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76"/>
      <c r="AU165" s="477"/>
      <c r="AV165" s="477"/>
    </row>
    <row r="166" spans="1:48" ht="21.1">
      <c r="A166" s="82" t="s">
        <v>190</v>
      </c>
      <c r="B166" s="289"/>
      <c r="C166" s="132"/>
      <c r="D166" s="133"/>
      <c r="E166" s="134"/>
      <c r="F166" s="135"/>
      <c r="G166" s="136"/>
      <c r="H166" s="481"/>
      <c r="I166" s="105"/>
      <c r="J166" s="75"/>
      <c r="K166" s="75"/>
      <c r="L166" s="75"/>
      <c r="M166" s="75"/>
      <c r="N166" s="75"/>
      <c r="O166" s="96"/>
      <c r="P166" s="105"/>
      <c r="Q166" s="96"/>
      <c r="R166" s="96"/>
      <c r="S166" s="75"/>
      <c r="T166" s="141"/>
      <c r="U166" s="141"/>
      <c r="V166" s="75"/>
      <c r="W166" s="100"/>
      <c r="X166" s="100"/>
      <c r="Y166" s="142"/>
      <c r="Z166" s="142"/>
      <c r="AA166" s="100"/>
      <c r="AB166" s="96"/>
      <c r="AC166" s="109"/>
      <c r="AD166" s="108"/>
      <c r="AE166" s="109"/>
      <c r="AF166" s="109"/>
      <c r="AG166" s="108"/>
      <c r="AH166" s="111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50"/>
      <c r="AU166" s="477"/>
      <c r="AV166" s="477"/>
    </row>
    <row r="167" spans="1:48" ht="16.3">
      <c r="A167" s="246" t="s">
        <v>1</v>
      </c>
      <c r="B167" s="292">
        <f>SUM(J167+K167+L167+M167+N167+S167+V167+W167+X167+AA167+AI167+AJ167+AI167+AM167+AP167+AQ167+AS167+AT167+AU167+AV167+AN167)</f>
        <v>0</v>
      </c>
      <c r="C167" s="288">
        <f>B167</f>
        <v>0</v>
      </c>
      <c r="D167" s="133"/>
      <c r="E167" s="134"/>
      <c r="F167" s="135"/>
      <c r="G167" s="136"/>
      <c r="H167" s="481"/>
      <c r="I167" s="105"/>
      <c r="J167" s="75"/>
      <c r="K167" s="75"/>
      <c r="L167" s="75"/>
      <c r="M167" s="75"/>
      <c r="N167" s="75"/>
      <c r="O167" s="96"/>
      <c r="P167" s="105"/>
      <c r="Q167" s="96"/>
      <c r="R167" s="96"/>
      <c r="S167" s="75"/>
      <c r="T167" s="141"/>
      <c r="U167" s="141"/>
      <c r="V167" s="75"/>
      <c r="W167" s="100"/>
      <c r="X167" s="100"/>
      <c r="Y167" s="142"/>
      <c r="Z167" s="142"/>
      <c r="AA167" s="100"/>
      <c r="AB167" s="96"/>
      <c r="AC167" s="109"/>
      <c r="AD167" s="108"/>
      <c r="AE167" s="109"/>
      <c r="AF167" s="109"/>
      <c r="AG167" s="108"/>
      <c r="AH167" s="111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50"/>
      <c r="AU167" s="477"/>
      <c r="AV167" s="477"/>
    </row>
    <row r="168" spans="1:48" ht="16.3">
      <c r="A168" s="246" t="s">
        <v>2</v>
      </c>
      <c r="B168" s="292">
        <f>SUM(J168+K168+L168+M168+N168+S168+V168+W168+X168+AA168+AI168+AJ168+AI168+AM168+AP168+AQ168+AS168+AT168+AU168+AV168)</f>
        <v>0</v>
      </c>
      <c r="C168" s="288">
        <f t="shared" ref="C168:C171" si="25">B168</f>
        <v>0</v>
      </c>
      <c r="D168" s="133"/>
      <c r="E168" s="134"/>
      <c r="F168" s="135"/>
      <c r="G168" s="136"/>
      <c r="H168" s="481"/>
      <c r="I168" s="105"/>
      <c r="J168" s="75"/>
      <c r="K168" s="75"/>
      <c r="L168" s="75"/>
      <c r="M168" s="75"/>
      <c r="N168" s="75"/>
      <c r="O168" s="96"/>
      <c r="P168" s="105"/>
      <c r="Q168" s="96"/>
      <c r="R168" s="96"/>
      <c r="S168" s="75"/>
      <c r="T168" s="141"/>
      <c r="U168" s="141"/>
      <c r="V168" s="75"/>
      <c r="W168" s="100"/>
      <c r="X168" s="100"/>
      <c r="Y168" s="142"/>
      <c r="Z168" s="142"/>
      <c r="AA168" s="100"/>
      <c r="AB168" s="96"/>
      <c r="AC168" s="109"/>
      <c r="AD168" s="108"/>
      <c r="AE168" s="109"/>
      <c r="AF168" s="109"/>
      <c r="AG168" s="108"/>
      <c r="AH168" s="111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50"/>
      <c r="AU168" s="477"/>
      <c r="AV168" s="477"/>
    </row>
    <row r="169" spans="1:48" ht="16.3">
      <c r="A169" s="87" t="s">
        <v>363</v>
      </c>
      <c r="B169" s="289">
        <f>SUM(B167+B168)</f>
        <v>0</v>
      </c>
      <c r="C169" s="132">
        <f t="shared" si="25"/>
        <v>0</v>
      </c>
      <c r="D169" s="133"/>
      <c r="E169" s="134"/>
      <c r="F169" s="135"/>
      <c r="G169" s="136"/>
      <c r="H169" s="481"/>
      <c r="I169" s="105"/>
      <c r="J169" s="75"/>
      <c r="K169" s="75"/>
      <c r="L169" s="75"/>
      <c r="M169" s="75"/>
      <c r="N169" s="75"/>
      <c r="O169" s="96"/>
      <c r="P169" s="105"/>
      <c r="Q169" s="96"/>
      <c r="R169" s="96"/>
      <c r="S169" s="75"/>
      <c r="T169" s="141"/>
      <c r="U169" s="141"/>
      <c r="V169" s="75"/>
      <c r="W169" s="100"/>
      <c r="X169" s="100"/>
      <c r="Y169" s="142"/>
      <c r="Z169" s="142"/>
      <c r="AA169" s="100"/>
      <c r="AB169" s="96"/>
      <c r="AC169" s="109"/>
      <c r="AD169" s="108"/>
      <c r="AE169" s="109"/>
      <c r="AF169" s="109"/>
      <c r="AG169" s="108"/>
      <c r="AH169" s="111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50"/>
      <c r="AU169" s="477"/>
      <c r="AV169" s="477"/>
    </row>
    <row r="170" spans="1:48" ht="16.3">
      <c r="A170" s="87" t="s">
        <v>3</v>
      </c>
      <c r="B170" s="289">
        <f>SUM(J170+K170+L170+M170+N170+S170+V170+W170+X170+AA170+AI170+AJ170+AI170+AM170+AP170+AQ170+AS170+AT170+AU170+AV170)</f>
        <v>0</v>
      </c>
      <c r="C170" s="132">
        <f t="shared" si="25"/>
        <v>0</v>
      </c>
      <c r="D170" s="133"/>
      <c r="E170" s="134"/>
      <c r="F170" s="135"/>
      <c r="G170" s="136"/>
      <c r="H170" s="481"/>
      <c r="I170" s="105"/>
      <c r="J170" s="75"/>
      <c r="K170" s="75"/>
      <c r="L170" s="75"/>
      <c r="M170" s="75"/>
      <c r="N170" s="75"/>
      <c r="O170" s="96"/>
      <c r="P170" s="105"/>
      <c r="Q170" s="96"/>
      <c r="R170" s="96"/>
      <c r="S170" s="75"/>
      <c r="T170" s="141"/>
      <c r="U170" s="141"/>
      <c r="V170" s="75"/>
      <c r="W170" s="100"/>
      <c r="X170" s="100"/>
      <c r="Y170" s="142"/>
      <c r="Z170" s="142"/>
      <c r="AA170" s="100"/>
      <c r="AB170" s="96"/>
      <c r="AC170" s="109"/>
      <c r="AD170" s="108"/>
      <c r="AE170" s="109"/>
      <c r="AF170" s="109"/>
      <c r="AG170" s="108"/>
      <c r="AH170" s="111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50"/>
      <c r="AU170" s="477"/>
      <c r="AV170" s="477"/>
    </row>
    <row r="171" spans="1:48" ht="17" thickBot="1">
      <c r="A171" s="88" t="s">
        <v>4</v>
      </c>
      <c r="B171" s="290">
        <f>SUM(J171+K171+L171+M171+N171+S171+V171+W171+X171+AA171+AI171+AJ171+AI171+AM171+AP171+AQ171+AS171+AT171+AU171+AV171)</f>
        <v>0</v>
      </c>
      <c r="C171" s="143">
        <f t="shared" si="25"/>
        <v>0</v>
      </c>
      <c r="D171" s="144"/>
      <c r="E171" s="145"/>
      <c r="F171" s="146"/>
      <c r="G171" s="147"/>
      <c r="H171" s="482"/>
      <c r="I171" s="127"/>
      <c r="J171" s="112"/>
      <c r="K171" s="112"/>
      <c r="L171" s="112"/>
      <c r="M171" s="112"/>
      <c r="N171" s="112"/>
      <c r="O171" s="114"/>
      <c r="P171" s="127"/>
      <c r="Q171" s="114"/>
      <c r="R171" s="114"/>
      <c r="S171" s="112"/>
      <c r="T171" s="178"/>
      <c r="U171" s="178"/>
      <c r="V171" s="112"/>
      <c r="W171" s="116"/>
      <c r="X171" s="116"/>
      <c r="Y171" s="149"/>
      <c r="Z171" s="149"/>
      <c r="AA171" s="116"/>
      <c r="AB171" s="114"/>
      <c r="AC171" s="118"/>
      <c r="AD171" s="117"/>
      <c r="AE171" s="118"/>
      <c r="AF171" s="118"/>
      <c r="AG171" s="117"/>
      <c r="AH171" s="121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76"/>
      <c r="AU171" s="477"/>
      <c r="AV171" s="477"/>
    </row>
    <row r="172" spans="1:48" ht="21.1">
      <c r="A172" s="82" t="s">
        <v>691</v>
      </c>
      <c r="B172" s="289"/>
      <c r="C172" s="132"/>
      <c r="D172" s="133"/>
      <c r="E172" s="134"/>
      <c r="F172" s="135"/>
      <c r="G172" s="136"/>
      <c r="H172" s="481"/>
      <c r="I172" s="105"/>
      <c r="J172" s="75" t="s">
        <v>432</v>
      </c>
      <c r="K172" s="75" t="s">
        <v>375</v>
      </c>
      <c r="L172" s="75"/>
      <c r="M172" s="75"/>
      <c r="N172" s="75"/>
      <c r="O172" s="96"/>
      <c r="P172" s="105"/>
      <c r="Q172" s="96"/>
      <c r="R172" s="96"/>
      <c r="S172" s="75"/>
      <c r="T172" s="141"/>
      <c r="U172" s="141"/>
      <c r="V172" s="75"/>
      <c r="W172" s="100"/>
      <c r="X172" s="100"/>
      <c r="Y172" s="142"/>
      <c r="Z172" s="142"/>
      <c r="AA172" s="100"/>
      <c r="AB172" s="96"/>
      <c r="AC172" s="109"/>
      <c r="AD172" s="108"/>
      <c r="AE172" s="109"/>
      <c r="AF172" s="109"/>
      <c r="AG172" s="108"/>
      <c r="AH172" s="111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50"/>
      <c r="AU172" s="477"/>
      <c r="AV172" s="477"/>
    </row>
    <row r="173" spans="1:48" ht="16.3">
      <c r="A173" s="246" t="s">
        <v>1</v>
      </c>
      <c r="B173" s="292">
        <f>SUM(J173+K173+L173+M173+N173+S173+V173+W173+X173+AA173+AI173+AJ173+AI173+AM173+AP173+AQ173+AS173+AT173+AU173+AV173+AN173)</f>
        <v>0</v>
      </c>
      <c r="C173" s="288">
        <f>B173</f>
        <v>0</v>
      </c>
      <c r="D173" s="133"/>
      <c r="E173" s="134"/>
      <c r="F173" s="135"/>
      <c r="G173" s="136"/>
      <c r="H173" s="481"/>
      <c r="I173" s="105"/>
      <c r="J173" s="75"/>
      <c r="K173" s="75"/>
      <c r="L173" s="75"/>
      <c r="M173" s="75"/>
      <c r="N173" s="75"/>
      <c r="O173" s="96"/>
      <c r="P173" s="105"/>
      <c r="Q173" s="96"/>
      <c r="R173" s="96"/>
      <c r="S173" s="75"/>
      <c r="T173" s="141"/>
      <c r="U173" s="141"/>
      <c r="V173" s="75"/>
      <c r="W173" s="75"/>
      <c r="X173" s="75"/>
      <c r="Y173" s="141"/>
      <c r="Z173" s="141"/>
      <c r="AA173" s="75"/>
      <c r="AB173" s="96"/>
      <c r="AC173" s="96"/>
      <c r="AD173" s="105"/>
      <c r="AE173" s="96"/>
      <c r="AF173" s="96"/>
      <c r="AG173" s="105"/>
      <c r="AH173" s="107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168"/>
      <c r="AU173" s="477"/>
      <c r="AV173" s="477"/>
    </row>
    <row r="174" spans="1:48" ht="16.3">
      <c r="A174" s="246" t="s">
        <v>2</v>
      </c>
      <c r="B174" s="292">
        <f>SUM(J174+K174+L174+M174+N174+S174+V174+W174+X174+AA174+AI174+AJ174+AI174+AM174+AP174+AQ174+AS174+AT174+AU174+AV174)</f>
        <v>2</v>
      </c>
      <c r="C174" s="288">
        <f t="shared" ref="C174:C177" si="26">B174</f>
        <v>2</v>
      </c>
      <c r="D174" s="133"/>
      <c r="E174" s="134"/>
      <c r="F174" s="135"/>
      <c r="G174" s="136"/>
      <c r="H174" s="481"/>
      <c r="I174" s="105"/>
      <c r="J174" s="75">
        <v>1</v>
      </c>
      <c r="K174" s="75">
        <v>1</v>
      </c>
      <c r="L174" s="75"/>
      <c r="M174" s="75"/>
      <c r="N174" s="75"/>
      <c r="O174" s="96"/>
      <c r="P174" s="105"/>
      <c r="Q174" s="96"/>
      <c r="R174" s="96"/>
      <c r="S174" s="75"/>
      <c r="T174" s="141"/>
      <c r="U174" s="141"/>
      <c r="V174" s="75"/>
      <c r="W174" s="100"/>
      <c r="X174" s="100"/>
      <c r="Y174" s="142"/>
      <c r="Z174" s="142"/>
      <c r="AA174" s="100"/>
      <c r="AB174" s="96"/>
      <c r="AC174" s="109"/>
      <c r="AD174" s="108"/>
      <c r="AE174" s="109"/>
      <c r="AF174" s="109"/>
      <c r="AG174" s="108"/>
      <c r="AH174" s="111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50"/>
      <c r="AU174" s="477"/>
      <c r="AV174" s="477"/>
    </row>
    <row r="175" spans="1:48" ht="16.3">
      <c r="A175" s="87" t="s">
        <v>363</v>
      </c>
      <c r="B175" s="289">
        <f>SUM(B173+B174)</f>
        <v>2</v>
      </c>
      <c r="C175" s="132">
        <f t="shared" si="26"/>
        <v>2</v>
      </c>
      <c r="D175" s="133"/>
      <c r="E175" s="134"/>
      <c r="F175" s="135"/>
      <c r="G175" s="136"/>
      <c r="H175" s="481"/>
      <c r="I175" s="105"/>
      <c r="J175" s="75"/>
      <c r="K175" s="75"/>
      <c r="L175" s="75"/>
      <c r="M175" s="75"/>
      <c r="N175" s="75"/>
      <c r="O175" s="96"/>
      <c r="P175" s="105"/>
      <c r="Q175" s="96"/>
      <c r="R175" s="96"/>
      <c r="S175" s="75"/>
      <c r="T175" s="141"/>
      <c r="U175" s="141"/>
      <c r="V175" s="75"/>
      <c r="W175" s="100"/>
      <c r="X175" s="100"/>
      <c r="Y175" s="142"/>
      <c r="Z175" s="142"/>
      <c r="AA175" s="100"/>
      <c r="AB175" s="96"/>
      <c r="AC175" s="109"/>
      <c r="AD175" s="108"/>
      <c r="AE175" s="109"/>
      <c r="AF175" s="109"/>
      <c r="AG175" s="108"/>
      <c r="AH175" s="111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50"/>
      <c r="AU175" s="477"/>
      <c r="AV175" s="477"/>
    </row>
    <row r="176" spans="1:48" ht="16.3">
      <c r="A176" s="87" t="s">
        <v>3</v>
      </c>
      <c r="B176" s="289">
        <f>SUM(J176+K176+L176+M176+N176+S176+V176+W176+X176+AA176+AI176+AJ176+AI176+AM176+AP176+AQ176+AS176+AT176+AU176+AV176)</f>
        <v>0</v>
      </c>
      <c r="C176" s="132">
        <f t="shared" si="26"/>
        <v>0</v>
      </c>
      <c r="D176" s="133"/>
      <c r="E176" s="134"/>
      <c r="F176" s="135"/>
      <c r="G176" s="136"/>
      <c r="H176" s="481"/>
      <c r="I176" s="105"/>
      <c r="J176" s="75"/>
      <c r="K176" s="75"/>
      <c r="L176" s="75"/>
      <c r="M176" s="75"/>
      <c r="N176" s="75"/>
      <c r="O176" s="96"/>
      <c r="P176" s="105"/>
      <c r="Q176" s="96"/>
      <c r="R176" s="96"/>
      <c r="S176" s="75"/>
      <c r="T176" s="141"/>
      <c r="U176" s="141"/>
      <c r="V176" s="75"/>
      <c r="W176" s="100"/>
      <c r="X176" s="100"/>
      <c r="Y176" s="142"/>
      <c r="Z176" s="142"/>
      <c r="AA176" s="100"/>
      <c r="AB176" s="96"/>
      <c r="AC176" s="109"/>
      <c r="AD176" s="108"/>
      <c r="AE176" s="109"/>
      <c r="AF176" s="109"/>
      <c r="AG176" s="108"/>
      <c r="AH176" s="111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50"/>
      <c r="AU176" s="477"/>
      <c r="AV176" s="477"/>
    </row>
    <row r="177" spans="1:48" ht="17" thickBot="1">
      <c r="A177" s="88" t="s">
        <v>4</v>
      </c>
      <c r="B177" s="290">
        <f>SUM(J177+K177+L177+M177+N177+S177+V177+W177+X177+AA177+AI177+AJ177+AI177+AM177+AP177+AQ177+AS177+AT177+AU177+AV177)</f>
        <v>0</v>
      </c>
      <c r="C177" s="143">
        <f t="shared" si="26"/>
        <v>0</v>
      </c>
      <c r="D177" s="144"/>
      <c r="E177" s="145"/>
      <c r="F177" s="146"/>
      <c r="G177" s="147"/>
      <c r="H177" s="482"/>
      <c r="I177" s="127"/>
      <c r="J177" s="112"/>
      <c r="K177" s="112"/>
      <c r="L177" s="112"/>
      <c r="M177" s="112"/>
      <c r="N177" s="112"/>
      <c r="O177" s="114"/>
      <c r="P177" s="127"/>
      <c r="Q177" s="114"/>
      <c r="R177" s="114"/>
      <c r="S177" s="112"/>
      <c r="T177" s="178"/>
      <c r="U177" s="178"/>
      <c r="V177" s="112"/>
      <c r="W177" s="116"/>
      <c r="X177" s="112"/>
      <c r="Y177" s="142"/>
      <c r="Z177" s="142"/>
      <c r="AA177" s="100"/>
      <c r="AB177" s="114"/>
      <c r="AC177" s="109"/>
      <c r="AD177" s="108"/>
      <c r="AE177" s="109"/>
      <c r="AF177" s="109"/>
      <c r="AG177" s="108"/>
      <c r="AH177" s="111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50"/>
      <c r="AU177" s="477"/>
      <c r="AV177" s="477"/>
    </row>
    <row r="178" spans="1:48" ht="21.1">
      <c r="A178" s="82" t="s">
        <v>320</v>
      </c>
      <c r="B178" s="289"/>
      <c r="C178" s="132"/>
      <c r="D178" s="133"/>
      <c r="E178" s="134"/>
      <c r="F178" s="135"/>
      <c r="G178" s="136"/>
      <c r="H178" s="481" t="s">
        <v>339</v>
      </c>
      <c r="I178" s="105"/>
      <c r="J178" s="75" t="s">
        <v>339</v>
      </c>
      <c r="K178" s="75" t="s">
        <v>339</v>
      </c>
      <c r="L178" s="75" t="s">
        <v>339</v>
      </c>
      <c r="M178" s="75" t="s">
        <v>339</v>
      </c>
      <c r="N178" s="75" t="s">
        <v>339</v>
      </c>
      <c r="O178" s="96" t="s">
        <v>339</v>
      </c>
      <c r="P178" s="105"/>
      <c r="Q178" s="96" t="s">
        <v>339</v>
      </c>
      <c r="R178" s="96" t="s">
        <v>339</v>
      </c>
      <c r="S178" s="75" t="s">
        <v>339</v>
      </c>
      <c r="T178" s="141" t="s">
        <v>339</v>
      </c>
      <c r="U178" s="141" t="s">
        <v>339</v>
      </c>
      <c r="V178" s="75" t="s">
        <v>339</v>
      </c>
      <c r="W178" s="100" t="s">
        <v>339</v>
      </c>
      <c r="X178" s="100" t="s">
        <v>339</v>
      </c>
      <c r="Y178" s="138" t="s">
        <v>339</v>
      </c>
      <c r="Z178" s="138" t="s">
        <v>339</v>
      </c>
      <c r="AA178" s="102" t="s">
        <v>339</v>
      </c>
      <c r="AB178" s="96" t="s">
        <v>339</v>
      </c>
      <c r="AC178" s="99" t="s">
        <v>375</v>
      </c>
      <c r="AD178" s="98"/>
      <c r="AE178" s="99" t="s">
        <v>375</v>
      </c>
      <c r="AF178" s="99" t="s">
        <v>375</v>
      </c>
      <c r="AG178" s="98"/>
      <c r="AH178" s="103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478"/>
      <c r="AU178" s="477"/>
      <c r="AV178" s="477"/>
    </row>
    <row r="179" spans="1:48" ht="16.3">
      <c r="A179" s="246" t="s">
        <v>1</v>
      </c>
      <c r="B179" s="292">
        <f>SUM(J179+K179+L179+M179+N179+S179+V179+W179+X179+AA179+AI179+AJ179+AI179+AM179+AP179+AQ179+AS179+AT179+AU179+AV179+AN179)+1</f>
        <v>1</v>
      </c>
      <c r="C179" s="288">
        <f>B179</f>
        <v>1</v>
      </c>
      <c r="D179" s="133"/>
      <c r="E179" s="134"/>
      <c r="F179" s="135"/>
      <c r="G179" s="136"/>
      <c r="H179" s="481"/>
      <c r="I179" s="105"/>
      <c r="J179" s="75"/>
      <c r="K179" s="75"/>
      <c r="L179" s="75"/>
      <c r="M179" s="75"/>
      <c r="N179" s="75"/>
      <c r="O179" s="96"/>
      <c r="P179" s="105"/>
      <c r="Q179" s="96"/>
      <c r="R179" s="96"/>
      <c r="S179" s="75"/>
      <c r="T179" s="141"/>
      <c r="U179" s="141"/>
      <c r="V179" s="75"/>
      <c r="W179" s="75"/>
      <c r="X179" s="75"/>
      <c r="Y179" s="141"/>
      <c r="Z179" s="141"/>
      <c r="AA179" s="75"/>
      <c r="AB179" s="96"/>
      <c r="AC179" s="96"/>
      <c r="AD179" s="105"/>
      <c r="AE179" s="96"/>
      <c r="AF179" s="96"/>
      <c r="AG179" s="105"/>
      <c r="AH179" s="107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168"/>
      <c r="AU179" s="477"/>
      <c r="AV179" s="477"/>
    </row>
    <row r="180" spans="1:48" ht="16.3">
      <c r="A180" s="246" t="s">
        <v>2</v>
      </c>
      <c r="B180" s="292">
        <f>SUM(J180+K180+L180+M180+N180+S180+V180+W180+X180+AA180+AI180+AJ180+AI180+AM180+AP180+AQ180+AS180+AT180+AU180+AV180)+10</f>
        <v>10</v>
      </c>
      <c r="C180" s="288">
        <f t="shared" ref="C180:C183" si="27">B180</f>
        <v>10</v>
      </c>
      <c r="D180" s="133"/>
      <c r="E180" s="134"/>
      <c r="F180" s="135"/>
      <c r="G180" s="136"/>
      <c r="H180" s="481"/>
      <c r="I180" s="105"/>
      <c r="J180" s="75"/>
      <c r="K180" s="75"/>
      <c r="L180" s="75"/>
      <c r="M180" s="75"/>
      <c r="N180" s="75"/>
      <c r="O180" s="96"/>
      <c r="P180" s="105"/>
      <c r="Q180" s="96"/>
      <c r="R180" s="96"/>
      <c r="S180" s="75"/>
      <c r="T180" s="141"/>
      <c r="U180" s="141"/>
      <c r="V180" s="75"/>
      <c r="W180" s="100"/>
      <c r="X180" s="100"/>
      <c r="Y180" s="142"/>
      <c r="Z180" s="142"/>
      <c r="AA180" s="100"/>
      <c r="AB180" s="96"/>
      <c r="AC180" s="109">
        <v>1</v>
      </c>
      <c r="AD180" s="108"/>
      <c r="AE180" s="109">
        <v>1</v>
      </c>
      <c r="AF180" s="109">
        <v>1</v>
      </c>
      <c r="AG180" s="108"/>
      <c r="AH180" s="111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50"/>
      <c r="AU180" s="477"/>
      <c r="AV180" s="477"/>
    </row>
    <row r="181" spans="1:48" ht="16.3">
      <c r="A181" s="87" t="s">
        <v>363</v>
      </c>
      <c r="B181" s="289">
        <f>SUM(B179+B180)</f>
        <v>11</v>
      </c>
      <c r="C181" s="132">
        <f t="shared" si="27"/>
        <v>11</v>
      </c>
      <c r="D181" s="133"/>
      <c r="E181" s="134"/>
      <c r="F181" s="135"/>
      <c r="G181" s="136"/>
      <c r="H181" s="481"/>
      <c r="I181" s="105"/>
      <c r="J181" s="75"/>
      <c r="K181" s="75"/>
      <c r="L181" s="75"/>
      <c r="M181" s="75"/>
      <c r="N181" s="75"/>
      <c r="O181" s="96"/>
      <c r="P181" s="105"/>
      <c r="Q181" s="96"/>
      <c r="R181" s="96"/>
      <c r="S181" s="75"/>
      <c r="T181" s="141"/>
      <c r="U181" s="141"/>
      <c r="V181" s="75"/>
      <c r="W181" s="100"/>
      <c r="X181" s="100"/>
      <c r="Y181" s="142"/>
      <c r="Z181" s="142"/>
      <c r="AA181" s="100"/>
      <c r="AB181" s="96"/>
      <c r="AC181" s="109"/>
      <c r="AD181" s="108"/>
      <c r="AE181" s="109"/>
      <c r="AF181" s="109"/>
      <c r="AG181" s="108"/>
      <c r="AH181" s="111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50"/>
      <c r="AU181" s="477"/>
      <c r="AV181" s="477"/>
    </row>
    <row r="182" spans="1:48" ht="16.3">
      <c r="A182" s="87" t="s">
        <v>3</v>
      </c>
      <c r="B182" s="289">
        <f>SUM(J182+K182+L182+M182+N182+S182+V182+W182+X182+AA182+AI182+AJ182+AI182+AM182+AP182+AQ182+AS182+AT182+AU182+AV182)+2</f>
        <v>2</v>
      </c>
      <c r="C182" s="132">
        <f t="shared" si="27"/>
        <v>2</v>
      </c>
      <c r="D182" s="133"/>
      <c r="E182" s="134"/>
      <c r="F182" s="135"/>
      <c r="G182" s="136"/>
      <c r="H182" s="481"/>
      <c r="I182" s="105"/>
      <c r="J182" s="75"/>
      <c r="K182" s="75"/>
      <c r="L182" s="75"/>
      <c r="M182" s="75"/>
      <c r="N182" s="75"/>
      <c r="O182" s="96"/>
      <c r="P182" s="105"/>
      <c r="Q182" s="96"/>
      <c r="R182" s="96"/>
      <c r="S182" s="75"/>
      <c r="T182" s="141"/>
      <c r="U182" s="141"/>
      <c r="V182" s="75"/>
      <c r="W182" s="100"/>
      <c r="X182" s="100"/>
      <c r="Y182" s="142"/>
      <c r="Z182" s="142"/>
      <c r="AA182" s="100"/>
      <c r="AB182" s="96"/>
      <c r="AC182" s="109"/>
      <c r="AD182" s="108"/>
      <c r="AE182" s="109"/>
      <c r="AF182" s="109"/>
      <c r="AG182" s="108"/>
      <c r="AH182" s="111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50"/>
      <c r="AU182" s="477"/>
      <c r="AV182" s="477"/>
    </row>
    <row r="183" spans="1:48" ht="17" thickBot="1">
      <c r="A183" s="88" t="s">
        <v>4</v>
      </c>
      <c r="B183" s="289">
        <f>SUM(J183+K183+L183+M183+N183+S183+V183+W183+X183+AA183+AI183+AJ183+AI183+AM183+AP183+AQ183+AS183+AT183+AU183+AV183)+10</f>
        <v>10</v>
      </c>
      <c r="C183" s="132">
        <f t="shared" si="27"/>
        <v>10</v>
      </c>
      <c r="D183" s="133"/>
      <c r="E183" s="134"/>
      <c r="F183" s="135"/>
      <c r="G183" s="136"/>
      <c r="H183" s="482"/>
      <c r="I183" s="127"/>
      <c r="J183" s="112"/>
      <c r="K183" s="112"/>
      <c r="L183" s="112"/>
      <c r="M183" s="112"/>
      <c r="N183" s="112"/>
      <c r="O183" s="114"/>
      <c r="P183" s="127"/>
      <c r="Q183" s="114"/>
      <c r="R183" s="114"/>
      <c r="S183" s="112"/>
      <c r="T183" s="178"/>
      <c r="U183" s="178"/>
      <c r="V183" s="112"/>
      <c r="W183" s="116"/>
      <c r="X183" s="112"/>
      <c r="Y183" s="149"/>
      <c r="Z183" s="149"/>
      <c r="AA183" s="112"/>
      <c r="AB183" s="114"/>
      <c r="AC183" s="118"/>
      <c r="AD183" s="117"/>
      <c r="AE183" s="118"/>
      <c r="AF183" s="118"/>
      <c r="AG183" s="117"/>
      <c r="AH183" s="121"/>
      <c r="AI183" s="112"/>
      <c r="AJ183" s="116"/>
      <c r="AK183" s="116"/>
      <c r="AL183" s="116"/>
      <c r="AM183" s="116"/>
      <c r="AN183" s="116"/>
      <c r="AO183" s="112"/>
      <c r="AP183" s="116"/>
      <c r="AQ183" s="116"/>
      <c r="AR183" s="116"/>
      <c r="AS183" s="116"/>
      <c r="AT183" s="176"/>
      <c r="AU183" s="477"/>
      <c r="AV183" s="477"/>
    </row>
    <row r="184" spans="1:48" ht="21.1">
      <c r="A184" s="82" t="s">
        <v>118</v>
      </c>
      <c r="B184" s="291"/>
      <c r="C184" s="152"/>
      <c r="D184" s="153"/>
      <c r="E184" s="154"/>
      <c r="F184" s="155"/>
      <c r="G184" s="156"/>
      <c r="H184" s="481"/>
      <c r="I184" s="105"/>
      <c r="J184" s="75" t="s">
        <v>375</v>
      </c>
      <c r="K184" s="75" t="s">
        <v>375</v>
      </c>
      <c r="L184" s="75" t="s">
        <v>369</v>
      </c>
      <c r="M184" s="75" t="s">
        <v>369</v>
      </c>
      <c r="N184" s="75" t="s">
        <v>369</v>
      </c>
      <c r="O184" s="96"/>
      <c r="P184" s="105"/>
      <c r="Q184" s="96" t="s">
        <v>375</v>
      </c>
      <c r="R184" s="96"/>
      <c r="S184" s="75" t="s">
        <v>369</v>
      </c>
      <c r="T184" s="141">
        <v>1</v>
      </c>
      <c r="U184" s="141" t="s">
        <v>369</v>
      </c>
      <c r="V184" s="75" t="s">
        <v>369</v>
      </c>
      <c r="W184" s="100" t="s">
        <v>369</v>
      </c>
      <c r="X184" s="100"/>
      <c r="Y184" s="138" t="s">
        <v>375</v>
      </c>
      <c r="Z184" s="138" t="s">
        <v>375</v>
      </c>
      <c r="AA184" s="102" t="s">
        <v>375</v>
      </c>
      <c r="AB184" s="96"/>
      <c r="AC184" s="99"/>
      <c r="AD184" s="98"/>
      <c r="AE184" s="99" t="s">
        <v>375</v>
      </c>
      <c r="AF184" s="99" t="s">
        <v>369</v>
      </c>
      <c r="AG184" s="98"/>
      <c r="AH184" s="103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478"/>
      <c r="AU184" s="477"/>
      <c r="AV184" s="477"/>
    </row>
    <row r="185" spans="1:48" ht="16.3">
      <c r="A185" s="246" t="s">
        <v>1</v>
      </c>
      <c r="B185" s="292">
        <f>SUM(J185+K185+L185+M185+N185+S185+V185+W185+X185+AA185+AI185+AJ185+AI185+AM185+AP185+AQ185+AS185+AT185+AU185+AV185+AN185)+63</f>
        <v>69</v>
      </c>
      <c r="C185" s="288">
        <f>B185</f>
        <v>69</v>
      </c>
      <c r="D185" s="133"/>
      <c r="E185" s="134"/>
      <c r="F185" s="135"/>
      <c r="G185" s="136"/>
      <c r="H185" s="481"/>
      <c r="I185" s="105"/>
      <c r="J185" s="75"/>
      <c r="K185" s="75"/>
      <c r="L185" s="75">
        <v>1</v>
      </c>
      <c r="M185" s="75">
        <v>1</v>
      </c>
      <c r="N185" s="75">
        <v>1</v>
      </c>
      <c r="O185" s="96"/>
      <c r="P185" s="105"/>
      <c r="Q185" s="96"/>
      <c r="R185" s="96"/>
      <c r="S185" s="75">
        <v>1</v>
      </c>
      <c r="T185" s="141">
        <v>1</v>
      </c>
      <c r="U185" s="141">
        <v>1</v>
      </c>
      <c r="V185" s="75">
        <v>1</v>
      </c>
      <c r="W185" s="100">
        <v>1</v>
      </c>
      <c r="X185" s="100"/>
      <c r="Y185" s="142"/>
      <c r="Z185" s="142"/>
      <c r="AA185" s="100"/>
      <c r="AB185" s="96"/>
      <c r="AC185" s="109"/>
      <c r="AD185" s="108"/>
      <c r="AE185" s="109"/>
      <c r="AF185" s="109">
        <v>1</v>
      </c>
      <c r="AG185" s="108"/>
      <c r="AH185" s="111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50"/>
      <c r="AU185" s="477"/>
      <c r="AV185" s="477"/>
    </row>
    <row r="186" spans="1:48" ht="16.3">
      <c r="A186" s="246" t="s">
        <v>2</v>
      </c>
      <c r="B186" s="292">
        <f>SUM(J186+K186+L186+M186+N186+S186+V186+W186+X186+AA186+AI186+AJ186+AI186+AM186+AP186+AQ186+AS186+AT186+AU186+AV186)+30</f>
        <v>33</v>
      </c>
      <c r="C186" s="288">
        <f t="shared" ref="C186:C190" si="28">B186</f>
        <v>33</v>
      </c>
      <c r="D186" s="133"/>
      <c r="E186" s="134"/>
      <c r="F186" s="135"/>
      <c r="G186" s="136"/>
      <c r="H186" s="481"/>
      <c r="I186" s="105"/>
      <c r="J186" s="75">
        <v>1</v>
      </c>
      <c r="K186" s="75">
        <v>1</v>
      </c>
      <c r="L186" s="75"/>
      <c r="M186" s="75"/>
      <c r="N186" s="75"/>
      <c r="O186" s="96"/>
      <c r="P186" s="105"/>
      <c r="Q186" s="96">
        <v>1</v>
      </c>
      <c r="R186" s="96"/>
      <c r="S186" s="75"/>
      <c r="T186" s="141"/>
      <c r="U186" s="141"/>
      <c r="V186" s="75"/>
      <c r="W186" s="100"/>
      <c r="X186" s="100"/>
      <c r="Y186" s="142">
        <v>1</v>
      </c>
      <c r="Z186" s="142">
        <v>1</v>
      </c>
      <c r="AA186" s="100">
        <v>1</v>
      </c>
      <c r="AB186" s="96"/>
      <c r="AC186" s="109"/>
      <c r="AD186" s="108"/>
      <c r="AE186" s="109">
        <v>1</v>
      </c>
      <c r="AF186" s="109"/>
      <c r="AG186" s="108"/>
      <c r="AH186" s="111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50"/>
      <c r="AU186" s="477"/>
      <c r="AV186" s="477"/>
    </row>
    <row r="187" spans="1:48" ht="16.3">
      <c r="A187" s="87" t="s">
        <v>363</v>
      </c>
      <c r="B187" s="289">
        <f>SUM(B185+B186)</f>
        <v>102</v>
      </c>
      <c r="C187" s="132">
        <f t="shared" si="28"/>
        <v>102</v>
      </c>
      <c r="D187" s="133"/>
      <c r="E187" s="134"/>
      <c r="F187" s="135"/>
      <c r="G187" s="136"/>
      <c r="H187" s="481"/>
      <c r="I187" s="105"/>
      <c r="J187" s="75"/>
      <c r="K187" s="75"/>
      <c r="L187" s="75"/>
      <c r="M187" s="75"/>
      <c r="N187" s="75"/>
      <c r="O187" s="96"/>
      <c r="P187" s="105"/>
      <c r="Q187" s="96"/>
      <c r="R187" s="96"/>
      <c r="S187" s="75"/>
      <c r="T187" s="141"/>
      <c r="U187" s="141"/>
      <c r="V187" s="75"/>
      <c r="W187" s="100"/>
      <c r="X187" s="100"/>
      <c r="Y187" s="142"/>
      <c r="Z187" s="142"/>
      <c r="AA187" s="100"/>
      <c r="AB187" s="96"/>
      <c r="AC187" s="109"/>
      <c r="AD187" s="108"/>
      <c r="AE187" s="109"/>
      <c r="AF187" s="109"/>
      <c r="AG187" s="108"/>
      <c r="AH187" s="111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50"/>
      <c r="AU187" s="477"/>
      <c r="AV187" s="477"/>
    </row>
    <row r="188" spans="1:48" ht="16.3">
      <c r="A188" s="246" t="s">
        <v>362</v>
      </c>
      <c r="B188" s="292">
        <f>SUM(J188+K188+L188+M188+N188+S188+V188+W188+X188+AA188+AI188+AJ188+AI188+AM188+AP188+AQ188+AS188+AT188+AU188+AV188)+2</f>
        <v>2</v>
      </c>
      <c r="C188" s="288">
        <f t="shared" si="28"/>
        <v>2</v>
      </c>
      <c r="D188" s="133"/>
      <c r="E188" s="134"/>
      <c r="F188" s="135"/>
      <c r="G188" s="136"/>
      <c r="H188" s="481"/>
      <c r="I188" s="105"/>
      <c r="J188" s="75"/>
      <c r="K188" s="75"/>
      <c r="L188" s="75"/>
      <c r="M188" s="75"/>
      <c r="N188" s="75"/>
      <c r="O188" s="96"/>
      <c r="P188" s="105"/>
      <c r="Q188" s="96"/>
      <c r="R188" s="96"/>
      <c r="S188" s="75"/>
      <c r="T188" s="141"/>
      <c r="U188" s="141"/>
      <c r="V188" s="75"/>
      <c r="W188" s="100"/>
      <c r="X188" s="100"/>
      <c r="Y188" s="142"/>
      <c r="Z188" s="142"/>
      <c r="AA188" s="100"/>
      <c r="AB188" s="96"/>
      <c r="AC188" s="109"/>
      <c r="AD188" s="108"/>
      <c r="AE188" s="109"/>
      <c r="AF188" s="109"/>
      <c r="AG188" s="108"/>
      <c r="AH188" s="111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50"/>
      <c r="AU188" s="477"/>
      <c r="AV188" s="477"/>
    </row>
    <row r="189" spans="1:48" ht="16.3">
      <c r="A189" s="87" t="s">
        <v>3</v>
      </c>
      <c r="B189" s="289">
        <f>SUM(J189+K189+L189+M189+N189+S189+V189+W189+X189+AA189+AI189+AJ189+AI189+AM189+AP189+AQ189+AS189+AT189+AU189+AV189)</f>
        <v>0</v>
      </c>
      <c r="C189" s="132">
        <f t="shared" si="28"/>
        <v>0</v>
      </c>
      <c r="D189" s="133"/>
      <c r="E189" s="134"/>
      <c r="F189" s="135"/>
      <c r="G189" s="136"/>
      <c r="H189" s="481"/>
      <c r="I189" s="105"/>
      <c r="J189" s="75"/>
      <c r="K189" s="75"/>
      <c r="L189" s="75"/>
      <c r="M189" s="75"/>
      <c r="N189" s="75"/>
      <c r="O189" s="96"/>
      <c r="P189" s="105"/>
      <c r="Q189" s="96"/>
      <c r="R189" s="96"/>
      <c r="S189" s="75"/>
      <c r="T189" s="141"/>
      <c r="U189" s="141"/>
      <c r="V189" s="75"/>
      <c r="W189" s="100"/>
      <c r="X189" s="100"/>
      <c r="Y189" s="142"/>
      <c r="Z189" s="142"/>
      <c r="AA189" s="100"/>
      <c r="AB189" s="96"/>
      <c r="AC189" s="109"/>
      <c r="AD189" s="108"/>
      <c r="AE189" s="109"/>
      <c r="AF189" s="109"/>
      <c r="AG189" s="108"/>
      <c r="AH189" s="111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50"/>
      <c r="AU189" s="477"/>
      <c r="AV189" s="477"/>
    </row>
    <row r="190" spans="1:48" ht="17" thickBot="1">
      <c r="A190" s="88" t="s">
        <v>4</v>
      </c>
      <c r="B190" s="290">
        <f>SUM(J190+K190+L190+M190+N190+S190+V190+W190+X190+AA190+AI190+AJ190+AI190+AM190+AP190+AQ190+AS190+AT190+AU190+AV190)</f>
        <v>0</v>
      </c>
      <c r="C190" s="143">
        <f t="shared" si="28"/>
        <v>0</v>
      </c>
      <c r="D190" s="144"/>
      <c r="E190" s="145"/>
      <c r="F190" s="146"/>
      <c r="G190" s="147"/>
      <c r="H190" s="482"/>
      <c r="I190" s="127"/>
      <c r="J190" s="112"/>
      <c r="K190" s="112"/>
      <c r="L190" s="112"/>
      <c r="M190" s="112"/>
      <c r="N190" s="112"/>
      <c r="O190" s="114"/>
      <c r="P190" s="127"/>
      <c r="Q190" s="114"/>
      <c r="R190" s="114"/>
      <c r="S190" s="112"/>
      <c r="T190" s="178"/>
      <c r="U190" s="178"/>
      <c r="V190" s="112"/>
      <c r="W190" s="116"/>
      <c r="X190" s="112"/>
      <c r="Y190" s="149"/>
      <c r="Z190" s="149"/>
      <c r="AA190" s="116"/>
      <c r="AB190" s="114"/>
      <c r="AC190" s="118"/>
      <c r="AD190" s="117"/>
      <c r="AE190" s="118"/>
      <c r="AF190" s="118"/>
      <c r="AG190" s="117"/>
      <c r="AH190" s="121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76"/>
      <c r="AU190" s="477"/>
      <c r="AV190" s="477"/>
    </row>
    <row r="191" spans="1:48" ht="21.1">
      <c r="A191" s="82" t="s">
        <v>318</v>
      </c>
      <c r="B191" s="289"/>
      <c r="C191" s="132"/>
      <c r="D191" s="133"/>
      <c r="E191" s="134"/>
      <c r="F191" s="135"/>
      <c r="G191" s="136"/>
      <c r="H191" s="481" t="s">
        <v>370</v>
      </c>
      <c r="I191" s="105"/>
      <c r="J191" s="75" t="s">
        <v>370</v>
      </c>
      <c r="K191" s="75" t="s">
        <v>370</v>
      </c>
      <c r="L191" s="75" t="s">
        <v>717</v>
      </c>
      <c r="M191" s="75" t="s">
        <v>375</v>
      </c>
      <c r="N191" s="75" t="s">
        <v>375</v>
      </c>
      <c r="O191" s="96" t="s">
        <v>370</v>
      </c>
      <c r="P191" s="105"/>
      <c r="Q191" s="96" t="s">
        <v>375</v>
      </c>
      <c r="R191" s="96" t="s">
        <v>370</v>
      </c>
      <c r="S191" s="75" t="s">
        <v>339</v>
      </c>
      <c r="T191" s="141" t="s">
        <v>339</v>
      </c>
      <c r="U191" s="141" t="s">
        <v>339</v>
      </c>
      <c r="V191" s="75" t="s">
        <v>339</v>
      </c>
      <c r="W191" s="100" t="s">
        <v>339</v>
      </c>
      <c r="X191" s="100" t="s">
        <v>375</v>
      </c>
      <c r="Y191" s="142" t="s">
        <v>375</v>
      </c>
      <c r="Z191" s="142" t="s">
        <v>375</v>
      </c>
      <c r="AA191" s="100" t="s">
        <v>375</v>
      </c>
      <c r="AB191" s="96" t="s">
        <v>370</v>
      </c>
      <c r="AC191" s="109"/>
      <c r="AD191" s="108"/>
      <c r="AE191" s="109"/>
      <c r="AF191" s="109"/>
      <c r="AG191" s="108"/>
      <c r="AH191" s="111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50"/>
      <c r="AU191" s="477"/>
      <c r="AV191" s="477"/>
    </row>
    <row r="192" spans="1:48" ht="16.3">
      <c r="A192" s="246" t="s">
        <v>1</v>
      </c>
      <c r="B192" s="292">
        <f>SUM(J192+K192+L192+M192+N192+S192+V192+W192+X192+AA192+AI192+AJ192+AI192+AM192+AP192+AQ192+AS192+AT192+AU192+AV192+AN192)+1</f>
        <v>3</v>
      </c>
      <c r="C192" s="288">
        <f>SUM(K192+L192+M192+N192+J192+S192+W192+X192+V192+AA192+AJ192+AI192+AJ192+AN192+AQ192+AP192+AT192+AU192+AV192+AS192+AM192)+8</f>
        <v>10</v>
      </c>
      <c r="D192" s="133"/>
      <c r="E192" s="134"/>
      <c r="F192" s="135"/>
      <c r="G192" s="136"/>
      <c r="H192" s="481">
        <v>1</v>
      </c>
      <c r="I192" s="105"/>
      <c r="J192" s="75">
        <v>1</v>
      </c>
      <c r="K192" s="75">
        <v>1</v>
      </c>
      <c r="L192" s="75"/>
      <c r="M192" s="75"/>
      <c r="N192" s="75"/>
      <c r="O192" s="96">
        <v>1</v>
      </c>
      <c r="P192" s="105"/>
      <c r="Q192" s="96"/>
      <c r="R192" s="96">
        <v>1</v>
      </c>
      <c r="S192" s="75"/>
      <c r="T192" s="141"/>
      <c r="U192" s="141"/>
      <c r="V192" s="75"/>
      <c r="W192" s="100"/>
      <c r="X192" s="100"/>
      <c r="Y192" s="142"/>
      <c r="Z192" s="142"/>
      <c r="AA192" s="100"/>
      <c r="AB192" s="96">
        <v>1</v>
      </c>
      <c r="AC192" s="109"/>
      <c r="AD192" s="108"/>
      <c r="AE192" s="109"/>
      <c r="AF192" s="109"/>
      <c r="AG192" s="108"/>
      <c r="AH192" s="111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50"/>
      <c r="AU192" s="477"/>
      <c r="AV192" s="477"/>
    </row>
    <row r="193" spans="1:48" ht="16.3">
      <c r="A193" s="246" t="s">
        <v>2</v>
      </c>
      <c r="B193" s="292">
        <f>SUM(J193+K193+L193+M193+N193+S193+V193+W193+X193+AA193+AI193+AJ193+AI193+AM193+AP193+AQ193+AS193+AT193+AU193+AV193)+9</f>
        <v>13</v>
      </c>
      <c r="C193" s="288">
        <f>SUM(K193+L193+M193+N193+J193+S193+W193+X193+V193+AA193+AJ193+AI193+AJ193+AN193+AQ193+AP193+AT193+AU193+AV193+AS193+AM193)+14</f>
        <v>18</v>
      </c>
      <c r="D193" s="133"/>
      <c r="E193" s="134"/>
      <c r="F193" s="135"/>
      <c r="G193" s="136"/>
      <c r="H193" s="481"/>
      <c r="I193" s="105"/>
      <c r="J193" s="75"/>
      <c r="K193" s="75"/>
      <c r="L193" s="75"/>
      <c r="M193" s="75">
        <v>1</v>
      </c>
      <c r="N193" s="75">
        <v>1</v>
      </c>
      <c r="O193" s="96"/>
      <c r="P193" s="105"/>
      <c r="Q193" s="96">
        <v>1</v>
      </c>
      <c r="R193" s="96"/>
      <c r="S193" s="75"/>
      <c r="T193" s="141"/>
      <c r="U193" s="141"/>
      <c r="V193" s="75"/>
      <c r="W193" s="100"/>
      <c r="X193" s="100">
        <v>1</v>
      </c>
      <c r="Y193" s="142">
        <v>1</v>
      </c>
      <c r="Z193" s="142">
        <v>1</v>
      </c>
      <c r="AA193" s="100">
        <v>1</v>
      </c>
      <c r="AB193" s="96"/>
      <c r="AC193" s="109"/>
      <c r="AD193" s="108"/>
      <c r="AE193" s="109"/>
      <c r="AF193" s="109"/>
      <c r="AG193" s="108"/>
      <c r="AH193" s="111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50"/>
      <c r="AU193" s="477"/>
      <c r="AV193" s="477"/>
    </row>
    <row r="194" spans="1:48" ht="16.3">
      <c r="A194" s="87" t="s">
        <v>363</v>
      </c>
      <c r="B194" s="289">
        <f>SUM(B192+B193)</f>
        <v>16</v>
      </c>
      <c r="C194" s="132">
        <f>SUM(C192+C193)</f>
        <v>28</v>
      </c>
      <c r="D194" s="133"/>
      <c r="E194" s="134"/>
      <c r="F194" s="135"/>
      <c r="G194" s="136"/>
      <c r="H194" s="481"/>
      <c r="I194" s="105"/>
      <c r="J194" s="75"/>
      <c r="K194" s="75"/>
      <c r="L194" s="75"/>
      <c r="M194" s="75"/>
      <c r="N194" s="75"/>
      <c r="O194" s="96"/>
      <c r="P194" s="105"/>
      <c r="Q194" s="96"/>
      <c r="R194" s="96"/>
      <c r="S194" s="75"/>
      <c r="T194" s="141"/>
      <c r="U194" s="141"/>
      <c r="V194" s="75"/>
      <c r="W194" s="100"/>
      <c r="X194" s="100"/>
      <c r="Y194" s="142"/>
      <c r="Z194" s="142"/>
      <c r="AA194" s="100"/>
      <c r="AB194" s="96"/>
      <c r="AC194" s="109"/>
      <c r="AD194" s="108"/>
      <c r="AE194" s="109"/>
      <c r="AF194" s="109"/>
      <c r="AG194" s="108"/>
      <c r="AH194" s="111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50"/>
      <c r="AU194" s="477"/>
      <c r="AV194" s="477"/>
    </row>
    <row r="195" spans="1:48" ht="16.3">
      <c r="A195" s="87" t="s">
        <v>3</v>
      </c>
      <c r="B195" s="289">
        <f>SUM(J195+K195+L195+M195+N195+S195+V195+W195+X195+AA195+AI195+AJ195+AI195+AM195+AP195+AQ195+AS195+AT195+AU195+AV195)</f>
        <v>0</v>
      </c>
      <c r="C195" s="132">
        <f>SUM(K195+L195+M195+N195+J195+S195+W195+X195+V195+AA195+AJ195+AI195+AJ195+AN195+AQ195+AP195+AT195+AU195+AV195+AS195+AM195)</f>
        <v>0</v>
      </c>
      <c r="D195" s="133"/>
      <c r="E195" s="134"/>
      <c r="F195" s="135"/>
      <c r="G195" s="136"/>
      <c r="H195" s="481"/>
      <c r="I195" s="105"/>
      <c r="J195" s="75"/>
      <c r="K195" s="75"/>
      <c r="L195" s="75"/>
      <c r="M195" s="75"/>
      <c r="N195" s="75"/>
      <c r="O195" s="96"/>
      <c r="P195" s="105"/>
      <c r="Q195" s="96"/>
      <c r="R195" s="96"/>
      <c r="S195" s="75"/>
      <c r="T195" s="141"/>
      <c r="U195" s="141"/>
      <c r="V195" s="75"/>
      <c r="W195" s="100"/>
      <c r="X195" s="100"/>
      <c r="Y195" s="142"/>
      <c r="Z195" s="142"/>
      <c r="AA195" s="100"/>
      <c r="AB195" s="96"/>
      <c r="AC195" s="109"/>
      <c r="AD195" s="108"/>
      <c r="AE195" s="109"/>
      <c r="AF195" s="109"/>
      <c r="AG195" s="108"/>
      <c r="AH195" s="111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50"/>
      <c r="AU195" s="477"/>
      <c r="AV195" s="477"/>
    </row>
    <row r="196" spans="1:48" ht="17" thickBot="1">
      <c r="A196" s="88" t="s">
        <v>4</v>
      </c>
      <c r="B196" s="290">
        <f>SUM(J196+K196+L196+M196+N196+S196+V196+W196+X196+AA196+AI196+AJ196+AI196+AM196+AP196+AQ196+AS196+AT196+AU196+AV196)</f>
        <v>0</v>
      </c>
      <c r="C196" s="143">
        <f>SUM(K196+L196+M196+N196+J196+S196+W196+X196+V196+AA196+AJ196+AI196+AJ196+AN196+AQ196+AP196+AT196+AU196+AV196+AS196+AM196)</f>
        <v>0</v>
      </c>
      <c r="D196" s="144"/>
      <c r="E196" s="145"/>
      <c r="F196" s="146"/>
      <c r="G196" s="147"/>
      <c r="H196" s="482"/>
      <c r="I196" s="127"/>
      <c r="J196" s="112"/>
      <c r="K196" s="112"/>
      <c r="L196" s="112"/>
      <c r="M196" s="112"/>
      <c r="N196" s="112"/>
      <c r="O196" s="114"/>
      <c r="P196" s="127"/>
      <c r="Q196" s="114"/>
      <c r="R196" s="114"/>
      <c r="S196" s="112"/>
      <c r="T196" s="178"/>
      <c r="U196" s="178"/>
      <c r="V196" s="112"/>
      <c r="W196" s="116"/>
      <c r="X196" s="116"/>
      <c r="Y196" s="149"/>
      <c r="Z196" s="149"/>
      <c r="AA196" s="116"/>
      <c r="AB196" s="114"/>
      <c r="AC196" s="118"/>
      <c r="AD196" s="117"/>
      <c r="AE196" s="118"/>
      <c r="AF196" s="118"/>
      <c r="AG196" s="117"/>
      <c r="AH196" s="121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83"/>
      <c r="AU196" s="477"/>
      <c r="AV196" s="477"/>
    </row>
    <row r="197" spans="1:48" ht="21.1">
      <c r="A197" s="82" t="s">
        <v>245</v>
      </c>
      <c r="B197" s="289"/>
      <c r="C197" s="132"/>
      <c r="D197" s="133"/>
      <c r="E197" s="134"/>
      <c r="F197" s="135"/>
      <c r="G197" s="136"/>
      <c r="H197" s="481" t="s">
        <v>369</v>
      </c>
      <c r="I197" s="105"/>
      <c r="J197" s="75" t="s">
        <v>369</v>
      </c>
      <c r="K197" s="75" t="s">
        <v>369</v>
      </c>
      <c r="L197" s="75" t="s">
        <v>375</v>
      </c>
      <c r="M197" s="75" t="s">
        <v>375</v>
      </c>
      <c r="N197" s="75" t="s">
        <v>375</v>
      </c>
      <c r="O197" s="96" t="s">
        <v>369</v>
      </c>
      <c r="P197" s="105"/>
      <c r="Q197" s="96" t="s">
        <v>369</v>
      </c>
      <c r="R197" s="96"/>
      <c r="S197" s="75" t="s">
        <v>370</v>
      </c>
      <c r="T197" s="141">
        <v>3</v>
      </c>
      <c r="U197" s="141" t="s">
        <v>375</v>
      </c>
      <c r="V197" s="75" t="s">
        <v>370</v>
      </c>
      <c r="W197" s="100" t="s">
        <v>370</v>
      </c>
      <c r="X197" s="100" t="s">
        <v>369</v>
      </c>
      <c r="Y197" s="142" t="s">
        <v>369</v>
      </c>
      <c r="Z197" s="142" t="s">
        <v>369</v>
      </c>
      <c r="AA197" s="100" t="s">
        <v>369</v>
      </c>
      <c r="AB197" s="96"/>
      <c r="AC197" s="109"/>
      <c r="AD197" s="108"/>
      <c r="AE197" s="109" t="s">
        <v>370</v>
      </c>
      <c r="AF197" s="109" t="s">
        <v>370</v>
      </c>
      <c r="AG197" s="108"/>
      <c r="AH197" s="111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50"/>
      <c r="AU197" s="477"/>
      <c r="AV197" s="477"/>
    </row>
    <row r="198" spans="1:48" ht="16.3">
      <c r="A198" s="246" t="s">
        <v>1</v>
      </c>
      <c r="B198" s="292">
        <f>SUM(J198+K198+L198+M198+N198+S198+V198+W198+X198+AA198+AI198+AJ198+AI198+AM198+AP198+AQ198+AS198+AT198+AU198+AV198+AN198)+14</f>
        <v>21</v>
      </c>
      <c r="C198" s="288">
        <f>SUM(K198+L198+M198+N198+J198+S198+W198+X198+V198+AA198+AJ198+AI198+AJ198+AN198+AQ198+AP198+AT198+AU198+AV198+AS198+AM198)+22</f>
        <v>29</v>
      </c>
      <c r="D198" s="133"/>
      <c r="E198" s="134"/>
      <c r="F198" s="135"/>
      <c r="G198" s="136"/>
      <c r="H198" s="481">
        <v>1</v>
      </c>
      <c r="I198" s="105"/>
      <c r="J198" s="75">
        <v>1</v>
      </c>
      <c r="K198" s="75">
        <v>1</v>
      </c>
      <c r="L198" s="75"/>
      <c r="M198" s="75"/>
      <c r="N198" s="75"/>
      <c r="O198" s="96">
        <v>1</v>
      </c>
      <c r="P198" s="105"/>
      <c r="Q198" s="96">
        <v>1</v>
      </c>
      <c r="R198" s="96"/>
      <c r="S198" s="75">
        <v>1</v>
      </c>
      <c r="T198" s="141">
        <v>1</v>
      </c>
      <c r="U198" s="141"/>
      <c r="V198" s="75">
        <v>1</v>
      </c>
      <c r="W198" s="100">
        <v>1</v>
      </c>
      <c r="X198" s="100">
        <v>1</v>
      </c>
      <c r="Y198" s="142">
        <v>1</v>
      </c>
      <c r="Z198" s="142">
        <v>1</v>
      </c>
      <c r="AA198" s="100">
        <v>1</v>
      </c>
      <c r="AB198" s="96"/>
      <c r="AC198" s="109"/>
      <c r="AD198" s="108"/>
      <c r="AE198" s="109">
        <v>1</v>
      </c>
      <c r="AF198" s="109">
        <v>1</v>
      </c>
      <c r="AG198" s="108"/>
      <c r="AH198" s="111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50"/>
      <c r="AU198" s="477"/>
      <c r="AV198" s="477"/>
    </row>
    <row r="199" spans="1:48" ht="16.3">
      <c r="A199" s="246" t="s">
        <v>2</v>
      </c>
      <c r="B199" s="292">
        <f>SUM(J199+K199+L199+M199+N199+S199+V199+W199+X199+AA199+AI199+AJ199+AI199+AM199+AP199+AQ199+AS199+AT199+AU199+AV199)+16</f>
        <v>19</v>
      </c>
      <c r="C199" s="288">
        <f>SUM(K199+L199+M199+N199+J199+S199+W199+X199+V199+AA199+AJ199+AI199+AJ199+AN199+AQ199+AP199+AT199+AU199+AV199+AS199+AM199)+19</f>
        <v>22</v>
      </c>
      <c r="D199" s="133"/>
      <c r="E199" s="134"/>
      <c r="F199" s="135"/>
      <c r="G199" s="136"/>
      <c r="H199" s="481"/>
      <c r="I199" s="105"/>
      <c r="J199" s="75"/>
      <c r="K199" s="75"/>
      <c r="L199" s="75">
        <v>1</v>
      </c>
      <c r="M199" s="75">
        <v>1</v>
      </c>
      <c r="N199" s="75">
        <v>1</v>
      </c>
      <c r="O199" s="96"/>
      <c r="P199" s="105"/>
      <c r="Q199" s="96"/>
      <c r="R199" s="96"/>
      <c r="S199" s="75"/>
      <c r="T199" s="141"/>
      <c r="U199" s="141">
        <v>1</v>
      </c>
      <c r="V199" s="75"/>
      <c r="W199" s="100"/>
      <c r="X199" s="100"/>
      <c r="Y199" s="142"/>
      <c r="Z199" s="142"/>
      <c r="AA199" s="100"/>
      <c r="AB199" s="96"/>
      <c r="AC199" s="109"/>
      <c r="AD199" s="108"/>
      <c r="AE199" s="109"/>
      <c r="AF199" s="109"/>
      <c r="AG199" s="108"/>
      <c r="AH199" s="111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50"/>
      <c r="AU199" s="477"/>
      <c r="AV199" s="477"/>
    </row>
    <row r="200" spans="1:48" ht="16.3">
      <c r="A200" s="87" t="s">
        <v>363</v>
      </c>
      <c r="B200" s="289">
        <f>SUM(B198+B199)</f>
        <v>40</v>
      </c>
      <c r="C200" s="132">
        <f>SUM(C198+C199)</f>
        <v>51</v>
      </c>
      <c r="D200" s="133"/>
      <c r="E200" s="134"/>
      <c r="F200" s="135"/>
      <c r="G200" s="136"/>
      <c r="H200" s="481"/>
      <c r="I200" s="105"/>
      <c r="J200" s="75"/>
      <c r="K200" s="75"/>
      <c r="L200" s="75"/>
      <c r="M200" s="75"/>
      <c r="N200" s="75"/>
      <c r="O200" s="96"/>
      <c r="P200" s="105"/>
      <c r="Q200" s="96"/>
      <c r="R200" s="96"/>
      <c r="S200" s="75"/>
      <c r="T200" s="141"/>
      <c r="U200" s="141"/>
      <c r="V200" s="75"/>
      <c r="W200" s="100"/>
      <c r="X200" s="100"/>
      <c r="Y200" s="142"/>
      <c r="Z200" s="142"/>
      <c r="AA200" s="100"/>
      <c r="AB200" s="96"/>
      <c r="AC200" s="109"/>
      <c r="AD200" s="108"/>
      <c r="AE200" s="109"/>
      <c r="AF200" s="109"/>
      <c r="AG200" s="108"/>
      <c r="AH200" s="111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50"/>
      <c r="AU200" s="477"/>
      <c r="AV200" s="477"/>
    </row>
    <row r="201" spans="1:48" ht="16.3">
      <c r="A201" s="87" t="s">
        <v>3</v>
      </c>
      <c r="B201" s="289">
        <f>SUM(J201+K201+L201+M201+N201+S201+V201+W201+X201+AA201+AI201+AJ201+AI201+AM201+AP201+AQ201+AS201+AT201+AU201+AV201)</f>
        <v>2</v>
      </c>
      <c r="C201" s="132">
        <f>SUM(K201+L201+M201+N201+J201+S201+W201+X201+V201+AA201+AJ201+AI201+AJ201+AN201+AQ201+AP201+AT201+AU201+AV201+AS201+AM201)</f>
        <v>2</v>
      </c>
      <c r="D201" s="133"/>
      <c r="E201" s="134"/>
      <c r="F201" s="135"/>
      <c r="G201" s="136"/>
      <c r="H201" s="481">
        <v>1</v>
      </c>
      <c r="I201" s="105"/>
      <c r="J201" s="75"/>
      <c r="K201" s="75"/>
      <c r="L201" s="75"/>
      <c r="M201" s="75"/>
      <c r="N201" s="75">
        <v>1</v>
      </c>
      <c r="O201" s="96"/>
      <c r="P201" s="105"/>
      <c r="Q201" s="96"/>
      <c r="R201" s="96"/>
      <c r="S201" s="75"/>
      <c r="T201" s="141"/>
      <c r="U201" s="141">
        <v>1</v>
      </c>
      <c r="V201" s="75"/>
      <c r="W201" s="100">
        <v>1</v>
      </c>
      <c r="X201" s="100"/>
      <c r="Y201" s="142"/>
      <c r="Z201" s="142"/>
      <c r="AA201" s="100"/>
      <c r="AB201" s="96"/>
      <c r="AC201" s="109"/>
      <c r="AD201" s="108"/>
      <c r="AE201" s="109"/>
      <c r="AF201" s="109"/>
      <c r="AG201" s="108"/>
      <c r="AH201" s="111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50"/>
      <c r="AU201" s="477"/>
      <c r="AV201" s="477"/>
    </row>
    <row r="202" spans="1:48" ht="17" thickBot="1">
      <c r="A202" s="88" t="s">
        <v>4</v>
      </c>
      <c r="B202" s="290">
        <f>SUM(J202+K202+L202+M202+N202+S202+V202+W202+X202+AA202+AI202+AJ202+AI202+AM202+AP202+AQ202+AS202+AT202+AU202+AV202)</f>
        <v>10</v>
      </c>
      <c r="C202" s="143">
        <f>SUM(K202+L202+M202+N202+J202+S202+W202+X202+V202+AA202+AJ202+AI202+AJ202+AN202+AQ202+AP202+AT202+AU202+AV202+AS202+AM202)</f>
        <v>10</v>
      </c>
      <c r="D202" s="144"/>
      <c r="E202" s="145"/>
      <c r="F202" s="146"/>
      <c r="G202" s="147"/>
      <c r="H202" s="482">
        <v>5</v>
      </c>
      <c r="I202" s="105"/>
      <c r="J202" s="75"/>
      <c r="K202" s="75"/>
      <c r="L202" s="75"/>
      <c r="M202" s="75"/>
      <c r="N202" s="75">
        <v>5</v>
      </c>
      <c r="O202" s="96"/>
      <c r="P202" s="105"/>
      <c r="Q202" s="96"/>
      <c r="R202" s="96"/>
      <c r="S202" s="75"/>
      <c r="T202" s="141"/>
      <c r="U202" s="141">
        <v>5</v>
      </c>
      <c r="V202" s="75"/>
      <c r="W202" s="100">
        <v>5</v>
      </c>
      <c r="X202" s="75"/>
      <c r="Y202" s="142"/>
      <c r="Z202" s="142"/>
      <c r="AA202" s="100"/>
      <c r="AB202" s="96"/>
      <c r="AC202" s="109"/>
      <c r="AD202" s="108"/>
      <c r="AE202" s="109"/>
      <c r="AF202" s="109"/>
      <c r="AG202" s="108"/>
      <c r="AH202" s="111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50"/>
      <c r="AU202" s="477"/>
      <c r="AV202" s="477"/>
    </row>
    <row r="203" spans="1:48" ht="21.1">
      <c r="A203" s="82" t="s">
        <v>271</v>
      </c>
      <c r="B203" s="289"/>
      <c r="C203" s="132"/>
      <c r="D203" s="133"/>
      <c r="E203" s="134"/>
      <c r="F203" s="135"/>
      <c r="G203" s="136"/>
      <c r="H203" s="481" t="s">
        <v>394</v>
      </c>
      <c r="I203" s="180"/>
      <c r="J203" s="122" t="s">
        <v>394</v>
      </c>
      <c r="K203" s="122" t="s">
        <v>394</v>
      </c>
      <c r="L203" s="122" t="s">
        <v>339</v>
      </c>
      <c r="M203" s="122" t="s">
        <v>339</v>
      </c>
      <c r="N203" s="122" t="s">
        <v>339</v>
      </c>
      <c r="O203" s="124" t="s">
        <v>339</v>
      </c>
      <c r="P203" s="180"/>
      <c r="Q203" s="124" t="s">
        <v>339</v>
      </c>
      <c r="R203" s="124" t="s">
        <v>339</v>
      </c>
      <c r="S203" s="122" t="s">
        <v>339</v>
      </c>
      <c r="T203" s="177" t="s">
        <v>339</v>
      </c>
      <c r="U203" s="177" t="s">
        <v>339</v>
      </c>
      <c r="V203" s="122" t="s">
        <v>339</v>
      </c>
      <c r="W203" s="102" t="s">
        <v>339</v>
      </c>
      <c r="X203" s="102" t="s">
        <v>339</v>
      </c>
      <c r="Y203" s="138" t="s">
        <v>339</v>
      </c>
      <c r="Z203" s="138" t="s">
        <v>339</v>
      </c>
      <c r="AA203" s="102" t="s">
        <v>339</v>
      </c>
      <c r="AB203" s="124" t="s">
        <v>339</v>
      </c>
      <c r="AC203" s="99" t="s">
        <v>339</v>
      </c>
      <c r="AD203" s="98"/>
      <c r="AE203" s="99" t="s">
        <v>339</v>
      </c>
      <c r="AF203" s="99" t="s">
        <v>339</v>
      </c>
      <c r="AG203" s="98"/>
      <c r="AH203" s="103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478"/>
      <c r="AU203" s="477"/>
      <c r="AV203" s="477"/>
    </row>
    <row r="204" spans="1:48" ht="16.3">
      <c r="A204" s="246" t="s">
        <v>1</v>
      </c>
      <c r="B204" s="292">
        <f>SUM(J204+K204+L204+M204+N204+S204+V204+W204+X204+AA204+AI204+AJ204+AI204+AM204+AP204+AQ204+AS204+AT204+AU204+AV204+AN204)+10</f>
        <v>10</v>
      </c>
      <c r="C204" s="288">
        <f>SUM(K204+L204+M204+N204+J204+S204+W204+X204+V204+AA204+AJ204+AI204+AJ204+AN204+AQ204+AP204+AT204+AU204+AV204+AS204+AM204)+10</f>
        <v>10</v>
      </c>
      <c r="D204" s="133"/>
      <c r="E204" s="134"/>
      <c r="F204" s="135"/>
      <c r="G204" s="136"/>
      <c r="H204" s="481"/>
      <c r="I204" s="105"/>
      <c r="J204" s="75"/>
      <c r="K204" s="75"/>
      <c r="L204" s="75"/>
      <c r="M204" s="75"/>
      <c r="N204" s="75"/>
      <c r="O204" s="96"/>
      <c r="P204" s="105"/>
      <c r="Q204" s="96"/>
      <c r="R204" s="96"/>
      <c r="S204" s="75"/>
      <c r="T204" s="141"/>
      <c r="U204" s="141"/>
      <c r="V204" s="75"/>
      <c r="W204" s="100"/>
      <c r="X204" s="100"/>
      <c r="Y204" s="142"/>
      <c r="Z204" s="142"/>
      <c r="AA204" s="100"/>
      <c r="AB204" s="96"/>
      <c r="AC204" s="109"/>
      <c r="AD204" s="108"/>
      <c r="AE204" s="109"/>
      <c r="AF204" s="109"/>
      <c r="AG204" s="108"/>
      <c r="AH204" s="111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50"/>
      <c r="AU204" s="477"/>
      <c r="AV204" s="477"/>
    </row>
    <row r="205" spans="1:48" ht="16.3">
      <c r="A205" s="246" t="s">
        <v>2</v>
      </c>
      <c r="B205" s="292">
        <f>SUM(J205+K205+L205+M205+N205+S205+V205+W205+X205+AA205+AI205+AJ205+AI205+AM205+AP205+AQ205+AS205+AT205+AU205+AV205)+4</f>
        <v>4</v>
      </c>
      <c r="C205" s="288">
        <f>SUM(K205+L205+M205+N205+J205+S205+W205+X205+V205+AA205+AJ205+AI205+AJ205+AN205+AQ205+AP205+AT205+AU205+AV205+AS205+AM205)+8</f>
        <v>8</v>
      </c>
      <c r="D205" s="133"/>
      <c r="E205" s="134"/>
      <c r="F205" s="135"/>
      <c r="G205" s="136"/>
      <c r="H205" s="481"/>
      <c r="I205" s="105"/>
      <c r="J205" s="75"/>
      <c r="K205" s="75"/>
      <c r="L205" s="75"/>
      <c r="M205" s="75"/>
      <c r="N205" s="75"/>
      <c r="O205" s="96"/>
      <c r="P205" s="105"/>
      <c r="Q205" s="96"/>
      <c r="R205" s="96"/>
      <c r="S205" s="75"/>
      <c r="T205" s="141"/>
      <c r="U205" s="141"/>
      <c r="V205" s="75"/>
      <c r="W205" s="100"/>
      <c r="X205" s="100"/>
      <c r="Y205" s="142"/>
      <c r="Z205" s="142"/>
      <c r="AA205" s="100"/>
      <c r="AB205" s="96"/>
      <c r="AC205" s="109"/>
      <c r="AD205" s="108"/>
      <c r="AE205" s="109"/>
      <c r="AF205" s="109"/>
      <c r="AG205" s="108"/>
      <c r="AH205" s="111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50"/>
      <c r="AU205" s="477"/>
      <c r="AV205" s="477"/>
    </row>
    <row r="206" spans="1:48" ht="16.3">
      <c r="A206" s="87" t="s">
        <v>363</v>
      </c>
      <c r="B206" s="289">
        <f>SUM(B204+B205)</f>
        <v>14</v>
      </c>
      <c r="C206" s="132">
        <f>SUM(C204+C205)</f>
        <v>18</v>
      </c>
      <c r="D206" s="133"/>
      <c r="E206" s="134"/>
      <c r="F206" s="135"/>
      <c r="G206" s="136"/>
      <c r="H206" s="481"/>
      <c r="I206" s="105"/>
      <c r="J206" s="75"/>
      <c r="K206" s="75"/>
      <c r="L206" s="75"/>
      <c r="M206" s="75"/>
      <c r="N206" s="75"/>
      <c r="O206" s="96"/>
      <c r="P206" s="105"/>
      <c r="Q206" s="96"/>
      <c r="R206" s="96"/>
      <c r="S206" s="75"/>
      <c r="T206" s="141"/>
      <c r="U206" s="141"/>
      <c r="V206" s="75"/>
      <c r="W206" s="100"/>
      <c r="X206" s="100"/>
      <c r="Y206" s="142"/>
      <c r="Z206" s="142"/>
      <c r="AA206" s="100"/>
      <c r="AB206" s="96"/>
      <c r="AC206" s="109"/>
      <c r="AD206" s="108"/>
      <c r="AE206" s="109"/>
      <c r="AF206" s="109"/>
      <c r="AG206" s="108"/>
      <c r="AH206" s="111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50"/>
      <c r="AU206" s="477"/>
      <c r="AV206" s="477"/>
    </row>
    <row r="207" spans="1:48" ht="16.3">
      <c r="A207" s="87" t="s">
        <v>3</v>
      </c>
      <c r="B207" s="289">
        <f>SUM(J207+K207+L207+M207+N207+S207+V207+W207+X207+AA207+AI207+AJ207+AI207+AM207+AP207+AQ207+AS207+AT207+AU207+AV207)</f>
        <v>0</v>
      </c>
      <c r="C207" s="132">
        <f>SUM(K207+L207+M207+N207+J207+S207+W207+X207+V207+AA207+AJ207+AI207+AJ207+AN207+AQ207+AP207+AT207+AU207+AV207+AS207+AM207)</f>
        <v>0</v>
      </c>
      <c r="D207" s="133"/>
      <c r="E207" s="134"/>
      <c r="F207" s="135"/>
      <c r="G207" s="136"/>
      <c r="H207" s="481"/>
      <c r="I207" s="105"/>
      <c r="J207" s="75"/>
      <c r="K207" s="75"/>
      <c r="L207" s="75"/>
      <c r="M207" s="75"/>
      <c r="N207" s="75"/>
      <c r="O207" s="96"/>
      <c r="P207" s="105"/>
      <c r="Q207" s="96"/>
      <c r="R207" s="96"/>
      <c r="S207" s="75"/>
      <c r="T207" s="141"/>
      <c r="U207" s="141"/>
      <c r="V207" s="75"/>
      <c r="W207" s="100"/>
      <c r="X207" s="100"/>
      <c r="Y207" s="142"/>
      <c r="Z207" s="142"/>
      <c r="AA207" s="100"/>
      <c r="AB207" s="96"/>
      <c r="AC207" s="109"/>
      <c r="AD207" s="108"/>
      <c r="AE207" s="109"/>
      <c r="AF207" s="109"/>
      <c r="AG207" s="108"/>
      <c r="AH207" s="111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50"/>
      <c r="AU207" s="477"/>
      <c r="AV207" s="477"/>
    </row>
    <row r="208" spans="1:48" ht="17" thickBot="1">
      <c r="A208" s="88" t="s">
        <v>4</v>
      </c>
      <c r="B208" s="289">
        <f>SUM(J208+K208+L208+M208+N208+S208+V208+W208+X208+AA208+AI208+AJ208+AI208+AM208+AP208+AQ208+AS208+AT208+AU208+AV208)</f>
        <v>0</v>
      </c>
      <c r="C208" s="132">
        <f>SUM(K208+L208+M208+N208+J208+S208+W208+X208+V208+AA208+AJ208+AI208+AJ208+AN208+AQ208+AP208+AT208+AU208+AV208+AS208+AM208)</f>
        <v>0</v>
      </c>
      <c r="D208" s="133"/>
      <c r="E208" s="134"/>
      <c r="F208" s="135"/>
      <c r="G208" s="136"/>
      <c r="H208" s="482"/>
      <c r="I208" s="127"/>
      <c r="J208" s="112"/>
      <c r="K208" s="112"/>
      <c r="L208" s="112"/>
      <c r="M208" s="112"/>
      <c r="N208" s="112"/>
      <c r="O208" s="114"/>
      <c r="P208" s="127"/>
      <c r="Q208" s="114"/>
      <c r="R208" s="114"/>
      <c r="S208" s="112"/>
      <c r="T208" s="178"/>
      <c r="U208" s="178"/>
      <c r="V208" s="112"/>
      <c r="W208" s="116"/>
      <c r="X208" s="116"/>
      <c r="Y208" s="149"/>
      <c r="Z208" s="149"/>
      <c r="AA208" s="116"/>
      <c r="AB208" s="114"/>
      <c r="AC208" s="118"/>
      <c r="AD208" s="117"/>
      <c r="AE208" s="118"/>
      <c r="AF208" s="118"/>
      <c r="AG208" s="117"/>
      <c r="AH208" s="121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76"/>
      <c r="AU208" s="477"/>
      <c r="AV208" s="477"/>
    </row>
    <row r="209" spans="1:48" ht="21.1">
      <c r="A209" s="86" t="s">
        <v>171</v>
      </c>
      <c r="B209" s="291"/>
      <c r="C209" s="152"/>
      <c r="D209" s="153"/>
      <c r="E209" s="154"/>
      <c r="F209" s="155"/>
      <c r="G209" s="156"/>
      <c r="H209" s="481" t="s">
        <v>339</v>
      </c>
      <c r="I209" s="105"/>
      <c r="J209" s="75" t="s">
        <v>375</v>
      </c>
      <c r="K209" s="75" t="s">
        <v>375</v>
      </c>
      <c r="L209" s="75" t="s">
        <v>370</v>
      </c>
      <c r="M209" s="75" t="s">
        <v>370</v>
      </c>
      <c r="N209" s="75" t="s">
        <v>370</v>
      </c>
      <c r="O209" s="96"/>
      <c r="P209" s="105"/>
      <c r="Q209" s="96" t="s">
        <v>370</v>
      </c>
      <c r="R209" s="96" t="s">
        <v>375</v>
      </c>
      <c r="S209" s="75" t="s">
        <v>375</v>
      </c>
      <c r="T209" s="141"/>
      <c r="U209" s="141" t="s">
        <v>370</v>
      </c>
      <c r="V209" s="75" t="s">
        <v>375</v>
      </c>
      <c r="W209" s="100" t="s">
        <v>375</v>
      </c>
      <c r="X209" s="100" t="s">
        <v>370</v>
      </c>
      <c r="Y209" s="142" t="s">
        <v>370</v>
      </c>
      <c r="Z209" s="142" t="s">
        <v>370</v>
      </c>
      <c r="AA209" s="100" t="s">
        <v>370</v>
      </c>
      <c r="AB209" s="96" t="s">
        <v>375</v>
      </c>
      <c r="AC209" s="109" t="s">
        <v>370</v>
      </c>
      <c r="AD209" s="108"/>
      <c r="AE209" s="109" t="s">
        <v>375</v>
      </c>
      <c r="AF209" s="109"/>
      <c r="AG209" s="108"/>
      <c r="AH209" s="111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50"/>
      <c r="AU209" s="477"/>
      <c r="AV209" s="477"/>
    </row>
    <row r="210" spans="1:48" ht="16.3">
      <c r="A210" s="246" t="s">
        <v>1</v>
      </c>
      <c r="B210" s="292">
        <f>SUM(J210+K210+L210+M210+N210+S210+V210+W210+X210+AA210+AI210+AJ210+AI210+AM210+AP210+AQ210+AS210+AT210+AU210+AV210+AN210)+25</f>
        <v>30</v>
      </c>
      <c r="C210" s="288">
        <f>SUM(K210+L210+M210+N210+J210+S210+W210+X210+V210+AA210+AJ210+AI210+AJ210+AN210+AQ210+AP210+AT210+AU210+AV210+AS210+AM210)+37</f>
        <v>42</v>
      </c>
      <c r="D210" s="133"/>
      <c r="E210" s="134"/>
      <c r="F210" s="135"/>
      <c r="G210" s="136"/>
      <c r="H210" s="481"/>
      <c r="I210" s="105"/>
      <c r="J210" s="75"/>
      <c r="K210" s="75"/>
      <c r="L210" s="75">
        <v>1</v>
      </c>
      <c r="M210" s="75">
        <v>1</v>
      </c>
      <c r="N210" s="75">
        <v>1</v>
      </c>
      <c r="O210" s="96"/>
      <c r="P210" s="105"/>
      <c r="Q210" s="96">
        <v>1</v>
      </c>
      <c r="R210" s="96"/>
      <c r="S210" s="75"/>
      <c r="T210" s="141"/>
      <c r="U210" s="141">
        <v>1</v>
      </c>
      <c r="V210" s="75"/>
      <c r="W210" s="100"/>
      <c r="X210" s="100">
        <v>1</v>
      </c>
      <c r="Y210" s="142">
        <v>1</v>
      </c>
      <c r="Z210" s="142">
        <v>1</v>
      </c>
      <c r="AA210" s="100">
        <v>1</v>
      </c>
      <c r="AB210" s="96"/>
      <c r="AC210" s="109">
        <v>1</v>
      </c>
      <c r="AD210" s="108"/>
      <c r="AE210" s="109"/>
      <c r="AF210" s="109"/>
      <c r="AG210" s="108"/>
      <c r="AH210" s="111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50"/>
      <c r="AU210" s="477"/>
      <c r="AV210" s="477"/>
    </row>
    <row r="211" spans="1:48" ht="16.3">
      <c r="A211" s="246" t="s">
        <v>2</v>
      </c>
      <c r="B211" s="292">
        <f>SUM(J211+K211+L211+M211+N211+S211+V211+W211+X211+AA211+AI211+AJ211+AI211+AM211+AP211+AQ211+AS211+AT211+AU211+AV211)+15</f>
        <v>20</v>
      </c>
      <c r="C211" s="288">
        <f>SUM(K211+L211+M211+N211+J211+S211+W211+X211+V211+AA211+AJ211+AI211+AJ211+AN211+AQ211+AP211+AT211+AU211+AV211+AS211+AM211)+44</f>
        <v>49</v>
      </c>
      <c r="D211" s="133"/>
      <c r="E211" s="134"/>
      <c r="F211" s="135"/>
      <c r="G211" s="136"/>
      <c r="H211" s="481"/>
      <c r="I211" s="105"/>
      <c r="J211" s="75">
        <v>1</v>
      </c>
      <c r="K211" s="75">
        <v>1</v>
      </c>
      <c r="L211" s="75"/>
      <c r="M211" s="75"/>
      <c r="N211" s="75"/>
      <c r="O211" s="96"/>
      <c r="P211" s="105"/>
      <c r="Q211" s="96"/>
      <c r="R211" s="96">
        <v>1</v>
      </c>
      <c r="S211" s="75">
        <v>1</v>
      </c>
      <c r="T211" s="141"/>
      <c r="U211" s="141"/>
      <c r="V211" s="75">
        <v>1</v>
      </c>
      <c r="W211" s="100">
        <v>1</v>
      </c>
      <c r="X211" s="100"/>
      <c r="Y211" s="142"/>
      <c r="Z211" s="142"/>
      <c r="AA211" s="100"/>
      <c r="AB211" s="96">
        <v>1</v>
      </c>
      <c r="AC211" s="109"/>
      <c r="AD211" s="108"/>
      <c r="AE211" s="109">
        <v>1</v>
      </c>
      <c r="AF211" s="109"/>
      <c r="AG211" s="108"/>
      <c r="AH211" s="111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50"/>
      <c r="AU211" s="477"/>
      <c r="AV211" s="477"/>
    </row>
    <row r="212" spans="1:48" ht="16.3">
      <c r="A212" s="87" t="s">
        <v>363</v>
      </c>
      <c r="B212" s="289">
        <f>SUM(B210+B211)</f>
        <v>50</v>
      </c>
      <c r="C212" s="132">
        <f>SUM(C210+C211)</f>
        <v>91</v>
      </c>
      <c r="D212" s="133"/>
      <c r="E212" s="134"/>
      <c r="F212" s="135"/>
      <c r="G212" s="136"/>
      <c r="H212" s="481"/>
      <c r="I212" s="105"/>
      <c r="J212" s="75"/>
      <c r="K212" s="75"/>
      <c r="L212" s="75"/>
      <c r="M212" s="75"/>
      <c r="N212" s="75"/>
      <c r="O212" s="96"/>
      <c r="P212" s="105"/>
      <c r="Q212" s="96"/>
      <c r="R212" s="96"/>
      <c r="S212" s="75"/>
      <c r="T212" s="141"/>
      <c r="U212" s="141"/>
      <c r="V212" s="75"/>
      <c r="W212" s="100"/>
      <c r="X212" s="100"/>
      <c r="Y212" s="142"/>
      <c r="Z212" s="142"/>
      <c r="AA212" s="100"/>
      <c r="AB212" s="96"/>
      <c r="AC212" s="109"/>
      <c r="AD212" s="108"/>
      <c r="AE212" s="109"/>
      <c r="AF212" s="109"/>
      <c r="AG212" s="108"/>
      <c r="AH212" s="111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50"/>
      <c r="AU212" s="477"/>
      <c r="AV212" s="477"/>
    </row>
    <row r="213" spans="1:48" ht="16.3">
      <c r="A213" s="246" t="s">
        <v>362</v>
      </c>
      <c r="B213" s="292">
        <f>SUM(J213+K213+L213+M213+N213+S213+V213+W213+X213+AA213+AI213+AJ213+AI213+AM213+AP213+AQ213+AS213+AT213+AU213+AV213)+1</f>
        <v>1</v>
      </c>
      <c r="C213" s="288">
        <f>SUM(K213+L213+M213+N213+J213+S213+W213+X213+V213+AA213+AJ213+AI213+AJ213+AN213+AQ213+AP213+AT213+AU213+AV213+AS213+AM213)+1</f>
        <v>1</v>
      </c>
      <c r="D213" s="133"/>
      <c r="E213" s="134"/>
      <c r="F213" s="135"/>
      <c r="G213" s="136"/>
      <c r="H213" s="481"/>
      <c r="I213" s="105"/>
      <c r="J213" s="75"/>
      <c r="K213" s="75"/>
      <c r="L213" s="75"/>
      <c r="M213" s="75"/>
      <c r="N213" s="75"/>
      <c r="O213" s="96"/>
      <c r="P213" s="105"/>
      <c r="Q213" s="96"/>
      <c r="R213" s="96"/>
      <c r="S213" s="75"/>
      <c r="T213" s="141"/>
      <c r="U213" s="141"/>
      <c r="V213" s="75"/>
      <c r="W213" s="100"/>
      <c r="X213" s="100"/>
      <c r="Y213" s="142"/>
      <c r="Z213" s="142"/>
      <c r="AA213" s="100"/>
      <c r="AB213" s="96"/>
      <c r="AC213" s="109"/>
      <c r="AD213" s="108"/>
      <c r="AE213" s="109"/>
      <c r="AF213" s="109"/>
      <c r="AG213" s="108"/>
      <c r="AH213" s="111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50"/>
      <c r="AU213" s="477"/>
      <c r="AV213" s="477"/>
    </row>
    <row r="214" spans="1:48" ht="16.3">
      <c r="A214" s="246" t="s">
        <v>364</v>
      </c>
      <c r="B214" s="292">
        <f>SUM(J214+K214+L214+M214+N214+S214+V214+W214+X214+AA214+AI214+AJ214+AI214+AM214+AP214+AQ214+AS214+AT214+AU214+AV214)+1</f>
        <v>1</v>
      </c>
      <c r="C214" s="288">
        <f>SUM(K214+L214+M214+N214+J214+S214+W214+X214+V214+AA214+AJ214+AI214+AJ214+AN214+AQ214+AP214+AT214+AU214+AV214+AS214+AM214)+1</f>
        <v>1</v>
      </c>
      <c r="D214" s="133"/>
      <c r="E214" s="134"/>
      <c r="F214" s="135"/>
      <c r="G214" s="136"/>
      <c r="H214" s="481"/>
      <c r="I214" s="105"/>
      <c r="J214" s="75"/>
      <c r="K214" s="75"/>
      <c r="L214" s="75"/>
      <c r="M214" s="75"/>
      <c r="N214" s="75"/>
      <c r="O214" s="96"/>
      <c r="P214" s="105"/>
      <c r="Q214" s="96"/>
      <c r="R214" s="96"/>
      <c r="S214" s="75"/>
      <c r="T214" s="141"/>
      <c r="U214" s="141"/>
      <c r="V214" s="75"/>
      <c r="W214" s="100"/>
      <c r="X214" s="100"/>
      <c r="Y214" s="142"/>
      <c r="Z214" s="142"/>
      <c r="AA214" s="100"/>
      <c r="AB214" s="96"/>
      <c r="AC214" s="109"/>
      <c r="AD214" s="108"/>
      <c r="AE214" s="109"/>
      <c r="AF214" s="109"/>
      <c r="AG214" s="108"/>
      <c r="AH214" s="111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50"/>
      <c r="AU214" s="477"/>
      <c r="AV214" s="477"/>
    </row>
    <row r="215" spans="1:48" ht="16.3">
      <c r="A215" s="87" t="s">
        <v>3</v>
      </c>
      <c r="B215" s="289">
        <f>SUM(J215+K215+L215+M215+N215+S215+V215+W215+X215+AA215+AI215+AJ215+AI215+AM215+AP215+AQ215+AS215+AT215+AU215+AV215)+1</f>
        <v>2</v>
      </c>
      <c r="C215" s="132">
        <f>SUM(K215+L215+M215+N215+J215+S215+W215+X215+V215+AA215+AJ215+AI215+AJ215+AN215+AQ215+AP215+AT215+AU215+AV215+AS215+AM215)+3</f>
        <v>4</v>
      </c>
      <c r="D215" s="133"/>
      <c r="E215" s="134"/>
      <c r="F215" s="135"/>
      <c r="G215" s="136"/>
      <c r="H215" s="481"/>
      <c r="I215" s="105"/>
      <c r="J215" s="75"/>
      <c r="K215" s="75"/>
      <c r="L215" s="75"/>
      <c r="M215" s="75"/>
      <c r="N215" s="75"/>
      <c r="O215" s="96"/>
      <c r="P215" s="105"/>
      <c r="Q215" s="96"/>
      <c r="R215" s="96"/>
      <c r="S215" s="75">
        <v>1</v>
      </c>
      <c r="T215" s="141"/>
      <c r="U215" s="141"/>
      <c r="V215" s="75"/>
      <c r="W215" s="100"/>
      <c r="X215" s="100"/>
      <c r="Y215" s="142"/>
      <c r="Z215" s="142"/>
      <c r="AA215" s="100"/>
      <c r="AB215" s="96"/>
      <c r="AC215" s="109"/>
      <c r="AD215" s="108"/>
      <c r="AE215" s="109">
        <v>1</v>
      </c>
      <c r="AF215" s="109"/>
      <c r="AG215" s="108"/>
      <c r="AH215" s="111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50"/>
      <c r="AU215" s="477"/>
      <c r="AV215" s="477"/>
    </row>
    <row r="216" spans="1:48" ht="17" thickBot="1">
      <c r="A216" s="87" t="s">
        <v>4</v>
      </c>
      <c r="B216" s="290">
        <f>SUM(J216+K216+L216+M216+N216+S216+V216+W216+X216+AA216+AI216+AJ216+AI216+AM216+AP216+AQ216+AS216+AT216+AU216+AV216)+5</f>
        <v>10</v>
      </c>
      <c r="C216" s="143">
        <f>SUM(K216+L216+M216+N216+J216+S216+W216+X216+V216+AA216+AJ216+AI216+AJ216+AN216+AQ216+AP216+AT216+AU216+AV216+AS216+AM216)+15</f>
        <v>20</v>
      </c>
      <c r="D216" s="144"/>
      <c r="E216" s="145"/>
      <c r="F216" s="146"/>
      <c r="G216" s="147"/>
      <c r="H216" s="481"/>
      <c r="I216" s="105"/>
      <c r="J216" s="75"/>
      <c r="K216" s="75"/>
      <c r="L216" s="75"/>
      <c r="M216" s="75"/>
      <c r="N216" s="112"/>
      <c r="O216" s="96"/>
      <c r="P216" s="105"/>
      <c r="Q216" s="96"/>
      <c r="R216" s="96"/>
      <c r="S216" s="75">
        <v>5</v>
      </c>
      <c r="T216" s="141"/>
      <c r="U216" s="141"/>
      <c r="V216" s="75"/>
      <c r="W216" s="100"/>
      <c r="X216" s="100"/>
      <c r="Y216" s="142"/>
      <c r="Z216" s="142"/>
      <c r="AA216" s="100"/>
      <c r="AB216" s="96"/>
      <c r="AC216" s="109"/>
      <c r="AD216" s="108"/>
      <c r="AE216" s="109">
        <v>5</v>
      </c>
      <c r="AF216" s="109"/>
      <c r="AG216" s="108"/>
      <c r="AH216" s="111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50"/>
      <c r="AU216" s="477"/>
      <c r="AV216" s="477"/>
    </row>
    <row r="217" spans="1:48" ht="21.1">
      <c r="A217" s="86" t="s">
        <v>471</v>
      </c>
      <c r="B217" s="289"/>
      <c r="C217" s="132"/>
      <c r="D217" s="133"/>
      <c r="E217" s="134"/>
      <c r="F217" s="135"/>
      <c r="G217" s="136"/>
      <c r="H217" s="483" t="s">
        <v>375</v>
      </c>
      <c r="I217" s="180"/>
      <c r="J217" s="122"/>
      <c r="K217" s="122"/>
      <c r="L217" s="122" t="s">
        <v>375</v>
      </c>
      <c r="M217" s="122"/>
      <c r="N217" s="75"/>
      <c r="O217" s="124" t="s">
        <v>375</v>
      </c>
      <c r="P217" s="180"/>
      <c r="Q217" s="124"/>
      <c r="R217" s="124" t="s">
        <v>369</v>
      </c>
      <c r="S217" s="122" t="s">
        <v>339</v>
      </c>
      <c r="T217" s="177" t="s">
        <v>393</v>
      </c>
      <c r="U217" s="177" t="s">
        <v>375</v>
      </c>
      <c r="V217" s="122"/>
      <c r="W217" s="102"/>
      <c r="X217" s="122"/>
      <c r="Y217" s="177"/>
      <c r="Z217" s="138"/>
      <c r="AA217" s="102"/>
      <c r="AB217" s="124" t="s">
        <v>375</v>
      </c>
      <c r="AC217" s="99" t="s">
        <v>369</v>
      </c>
      <c r="AD217" s="98"/>
      <c r="AE217" s="99" t="s">
        <v>369</v>
      </c>
      <c r="AF217" s="99" t="s">
        <v>375</v>
      </c>
      <c r="AG217" s="98"/>
      <c r="AH217" s="103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478"/>
      <c r="AU217" s="477"/>
      <c r="AV217" s="477"/>
    </row>
    <row r="218" spans="1:48" ht="16.3">
      <c r="A218" s="246" t="s">
        <v>1</v>
      </c>
      <c r="B218" s="292">
        <f>SUM(J218+K218+L218+M218+N218+S218+V218+W218+X218+AA218+AI218+AJ218+AI218+AM218+AP218+AQ218+AS218+AT218+AU218+AV218+AN218)</f>
        <v>0</v>
      </c>
      <c r="C218" s="288">
        <f>B218</f>
        <v>0</v>
      </c>
      <c r="D218" s="133"/>
      <c r="E218" s="134"/>
      <c r="F218" s="135"/>
      <c r="G218" s="136"/>
      <c r="H218" s="481"/>
      <c r="I218" s="105"/>
      <c r="J218" s="75"/>
      <c r="K218" s="75"/>
      <c r="L218" s="75"/>
      <c r="M218" s="75"/>
      <c r="N218" s="75"/>
      <c r="O218" s="96"/>
      <c r="P218" s="105"/>
      <c r="Q218" s="96"/>
      <c r="R218" s="96">
        <v>1</v>
      </c>
      <c r="S218" s="75"/>
      <c r="T218" s="141"/>
      <c r="U218" s="141"/>
      <c r="V218" s="75"/>
      <c r="W218" s="100"/>
      <c r="X218" s="100"/>
      <c r="Y218" s="142"/>
      <c r="Z218" s="142"/>
      <c r="AA218" s="100"/>
      <c r="AB218" s="96"/>
      <c r="AC218" s="109">
        <v>1</v>
      </c>
      <c r="AD218" s="108"/>
      <c r="AE218" s="109">
        <v>1</v>
      </c>
      <c r="AF218" s="109"/>
      <c r="AG218" s="108"/>
      <c r="AH218" s="111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50"/>
      <c r="AU218" s="477"/>
      <c r="AV218" s="477"/>
    </row>
    <row r="219" spans="1:48" ht="16.3">
      <c r="A219" s="246" t="s">
        <v>2</v>
      </c>
      <c r="B219" s="292">
        <f>SUM(J219+K219+L219+M219+N219+S219+V219+W219+X219+AA219+AI219+AJ219+AI219+AM219+AP219+AQ219+AS219+AT219+AU219+AV219)+11</f>
        <v>12</v>
      </c>
      <c r="C219" s="288">
        <f t="shared" ref="C219:C222" si="29">B219</f>
        <v>12</v>
      </c>
      <c r="D219" s="133"/>
      <c r="E219" s="134"/>
      <c r="F219" s="135"/>
      <c r="G219" s="136"/>
      <c r="H219" s="481">
        <v>1</v>
      </c>
      <c r="I219" s="105"/>
      <c r="J219" s="75"/>
      <c r="K219" s="75"/>
      <c r="L219" s="75">
        <v>1</v>
      </c>
      <c r="M219" s="75"/>
      <c r="N219" s="75"/>
      <c r="O219" s="96">
        <v>1</v>
      </c>
      <c r="P219" s="105"/>
      <c r="Q219" s="96"/>
      <c r="R219" s="96"/>
      <c r="S219" s="75"/>
      <c r="T219" s="141"/>
      <c r="U219" s="141">
        <v>1</v>
      </c>
      <c r="V219" s="75"/>
      <c r="W219" s="100"/>
      <c r="X219" s="100"/>
      <c r="Y219" s="142"/>
      <c r="Z219" s="142"/>
      <c r="AA219" s="100"/>
      <c r="AB219" s="96">
        <v>1</v>
      </c>
      <c r="AC219" s="109"/>
      <c r="AD219" s="108"/>
      <c r="AE219" s="109"/>
      <c r="AF219" s="109">
        <v>1</v>
      </c>
      <c r="AG219" s="108"/>
      <c r="AH219" s="111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50"/>
      <c r="AU219" s="477"/>
      <c r="AV219" s="477"/>
    </row>
    <row r="220" spans="1:48" ht="16.3">
      <c r="A220" s="87" t="s">
        <v>363</v>
      </c>
      <c r="B220" s="289">
        <f>SUM(B218+B219)</f>
        <v>12</v>
      </c>
      <c r="C220" s="132">
        <f t="shared" si="29"/>
        <v>12</v>
      </c>
      <c r="D220" s="133"/>
      <c r="E220" s="134"/>
      <c r="F220" s="135"/>
      <c r="G220" s="136"/>
      <c r="H220" s="481"/>
      <c r="I220" s="105"/>
      <c r="J220" s="75"/>
      <c r="K220" s="75"/>
      <c r="L220" s="75"/>
      <c r="M220" s="75"/>
      <c r="N220" s="75"/>
      <c r="O220" s="96"/>
      <c r="P220" s="105"/>
      <c r="Q220" s="96"/>
      <c r="R220" s="96"/>
      <c r="S220" s="75"/>
      <c r="T220" s="141"/>
      <c r="U220" s="141"/>
      <c r="V220" s="75"/>
      <c r="W220" s="100"/>
      <c r="X220" s="100"/>
      <c r="Y220" s="142"/>
      <c r="Z220" s="142"/>
      <c r="AA220" s="100"/>
      <c r="AB220" s="96"/>
      <c r="AC220" s="109"/>
      <c r="AD220" s="108"/>
      <c r="AE220" s="109"/>
      <c r="AF220" s="109"/>
      <c r="AG220" s="108"/>
      <c r="AH220" s="111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50"/>
      <c r="AU220" s="477"/>
      <c r="AV220" s="477"/>
    </row>
    <row r="221" spans="1:48" ht="16.3">
      <c r="A221" s="87" t="s">
        <v>3</v>
      </c>
      <c r="B221" s="289">
        <f>SUM(J221+K221+L221+M221+N221+S221+V221+W221+X221+AA221+AI221+AJ221+AI221+AM221+AP221+AQ221+AS221+AT221+AU221+AV221)</f>
        <v>0</v>
      </c>
      <c r="C221" s="132">
        <f t="shared" si="29"/>
        <v>0</v>
      </c>
      <c r="D221" s="133"/>
      <c r="E221" s="134"/>
      <c r="F221" s="135"/>
      <c r="G221" s="136"/>
      <c r="H221" s="481"/>
      <c r="I221" s="105"/>
      <c r="J221" s="75"/>
      <c r="K221" s="75"/>
      <c r="L221" s="75"/>
      <c r="M221" s="75"/>
      <c r="N221" s="75"/>
      <c r="O221" s="96"/>
      <c r="P221" s="105"/>
      <c r="Q221" s="96"/>
      <c r="R221" s="96"/>
      <c r="S221" s="75"/>
      <c r="T221" s="141"/>
      <c r="U221" s="141"/>
      <c r="V221" s="75"/>
      <c r="W221" s="100"/>
      <c r="X221" s="100"/>
      <c r="Y221" s="142"/>
      <c r="Z221" s="142"/>
      <c r="AA221" s="100"/>
      <c r="AB221" s="96"/>
      <c r="AC221" s="109">
        <v>1</v>
      </c>
      <c r="AD221" s="108"/>
      <c r="AE221" s="109"/>
      <c r="AF221" s="109"/>
      <c r="AG221" s="108"/>
      <c r="AH221" s="111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50"/>
      <c r="AU221" s="477"/>
      <c r="AV221" s="477"/>
    </row>
    <row r="222" spans="1:48" ht="17" thickBot="1">
      <c r="A222" s="88" t="s">
        <v>4</v>
      </c>
      <c r="B222" s="290">
        <f>SUM(J222+K222+L222+M222+N222+S222+V222+W222+X222+AA222+AI222+AJ222+AI222+AM222+AP222+AQ222+AS222+AT222+AU222+AV222)</f>
        <v>0</v>
      </c>
      <c r="C222" s="143">
        <f t="shared" si="29"/>
        <v>0</v>
      </c>
      <c r="D222" s="144"/>
      <c r="E222" s="145"/>
      <c r="F222" s="146"/>
      <c r="G222" s="147"/>
      <c r="H222" s="482"/>
      <c r="I222" s="127"/>
      <c r="J222" s="112"/>
      <c r="K222" s="112"/>
      <c r="L222" s="112"/>
      <c r="M222" s="112"/>
      <c r="N222" s="112"/>
      <c r="O222" s="114"/>
      <c r="P222" s="127"/>
      <c r="Q222" s="114"/>
      <c r="R222" s="114"/>
      <c r="S222" s="112"/>
      <c r="T222" s="178"/>
      <c r="U222" s="178"/>
      <c r="V222" s="112"/>
      <c r="W222" s="116"/>
      <c r="X222" s="112"/>
      <c r="Y222" s="178"/>
      <c r="Z222" s="142"/>
      <c r="AA222" s="100"/>
      <c r="AB222" s="114"/>
      <c r="AC222" s="109">
        <v>5</v>
      </c>
      <c r="AD222" s="108"/>
      <c r="AE222" s="109"/>
      <c r="AF222" s="109"/>
      <c r="AG222" s="108"/>
      <c r="AH222" s="111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50"/>
      <c r="AU222" s="477"/>
      <c r="AV222" s="477"/>
    </row>
    <row r="223" spans="1:48" ht="21.1">
      <c r="A223" s="82" t="s">
        <v>322</v>
      </c>
      <c r="B223" s="289"/>
      <c r="C223" s="132"/>
      <c r="D223" s="133"/>
      <c r="E223" s="134"/>
      <c r="F223" s="135"/>
      <c r="G223" s="136"/>
      <c r="H223" s="481" t="s">
        <v>441</v>
      </c>
      <c r="I223" s="105"/>
      <c r="J223" s="75"/>
      <c r="K223" s="75"/>
      <c r="L223" s="75"/>
      <c r="M223" s="75"/>
      <c r="N223" s="75"/>
      <c r="O223" s="96" t="s">
        <v>375</v>
      </c>
      <c r="P223" s="105"/>
      <c r="Q223" s="96"/>
      <c r="R223" s="96"/>
      <c r="S223" s="75"/>
      <c r="T223" s="141"/>
      <c r="U223" s="141"/>
      <c r="V223" s="75" t="s">
        <v>339</v>
      </c>
      <c r="W223" s="100" t="s">
        <v>339</v>
      </c>
      <c r="X223" s="100" t="s">
        <v>339</v>
      </c>
      <c r="Y223" s="142" t="s">
        <v>339</v>
      </c>
      <c r="Z223" s="138" t="s">
        <v>339</v>
      </c>
      <c r="AA223" s="102" t="s">
        <v>339</v>
      </c>
      <c r="AB223" s="96" t="s">
        <v>339</v>
      </c>
      <c r="AC223" s="99" t="s">
        <v>339</v>
      </c>
      <c r="AD223" s="98"/>
      <c r="AE223" s="99"/>
      <c r="AF223" s="99"/>
      <c r="AG223" s="98"/>
      <c r="AH223" s="103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478"/>
      <c r="AU223" s="477"/>
      <c r="AV223" s="477"/>
    </row>
    <row r="224" spans="1:48" ht="16.3">
      <c r="A224" s="246" t="s">
        <v>1</v>
      </c>
      <c r="B224" s="292">
        <f>SUM(J224+K224+L224+M224+N224+S224+V224+W224+X224+AA224+AI224+AJ224+AI224+AM224+AP224+AQ224+AS224+AT224+AU224+AV224+AN224)</f>
        <v>0</v>
      </c>
      <c r="C224" s="288">
        <f>B224</f>
        <v>0</v>
      </c>
      <c r="D224" s="133"/>
      <c r="E224" s="134"/>
      <c r="F224" s="135"/>
      <c r="G224" s="136"/>
      <c r="H224" s="481"/>
      <c r="I224" s="105"/>
      <c r="J224" s="75"/>
      <c r="K224" s="75"/>
      <c r="L224" s="75"/>
      <c r="M224" s="75"/>
      <c r="N224" s="75"/>
      <c r="O224" s="96"/>
      <c r="P224" s="105"/>
      <c r="Q224" s="96"/>
      <c r="R224" s="96"/>
      <c r="S224" s="75"/>
      <c r="T224" s="141"/>
      <c r="U224" s="141"/>
      <c r="V224" s="75"/>
      <c r="W224" s="100"/>
      <c r="X224" s="100"/>
      <c r="Y224" s="142"/>
      <c r="Z224" s="142"/>
      <c r="AA224" s="100"/>
      <c r="AB224" s="96"/>
      <c r="AC224" s="109"/>
      <c r="AD224" s="108"/>
      <c r="AE224" s="109"/>
      <c r="AF224" s="109"/>
      <c r="AG224" s="108"/>
      <c r="AH224" s="111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50"/>
      <c r="AU224" s="477"/>
      <c r="AV224" s="477"/>
    </row>
    <row r="225" spans="1:48" ht="16.3">
      <c r="A225" s="246" t="s">
        <v>2</v>
      </c>
      <c r="B225" s="292">
        <f>SUM(J225+K225+L225+M225+N225+S225+V225+W225+X225+AA225+AI225+AJ225+AI225+AM225+AP225+AQ225+AS225+AT225+AU225+AV225)+4</f>
        <v>4</v>
      </c>
      <c r="C225" s="288">
        <f t="shared" ref="C225:C228" si="30">B225</f>
        <v>4</v>
      </c>
      <c r="D225" s="133"/>
      <c r="E225" s="134"/>
      <c r="F225" s="135"/>
      <c r="G225" s="136"/>
      <c r="H225" s="481">
        <v>1</v>
      </c>
      <c r="I225" s="105"/>
      <c r="J225" s="75"/>
      <c r="K225" s="75"/>
      <c r="L225" s="75"/>
      <c r="M225" s="75"/>
      <c r="N225" s="75"/>
      <c r="O225" s="96">
        <v>1</v>
      </c>
      <c r="P225" s="105"/>
      <c r="Q225" s="96"/>
      <c r="R225" s="96"/>
      <c r="S225" s="75"/>
      <c r="T225" s="141"/>
      <c r="U225" s="141"/>
      <c r="V225" s="75"/>
      <c r="W225" s="100"/>
      <c r="X225" s="100"/>
      <c r="Y225" s="142"/>
      <c r="Z225" s="142"/>
      <c r="AA225" s="100"/>
      <c r="AB225" s="96"/>
      <c r="AC225" s="109"/>
      <c r="AD225" s="108"/>
      <c r="AE225" s="109"/>
      <c r="AF225" s="109"/>
      <c r="AG225" s="108"/>
      <c r="AH225" s="111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50"/>
      <c r="AU225" s="477"/>
      <c r="AV225" s="477"/>
    </row>
    <row r="226" spans="1:48" ht="16.3">
      <c r="A226" s="87" t="s">
        <v>363</v>
      </c>
      <c r="B226" s="289">
        <f>SUM(B224+B225)</f>
        <v>4</v>
      </c>
      <c r="C226" s="132">
        <f t="shared" si="30"/>
        <v>4</v>
      </c>
      <c r="D226" s="133"/>
      <c r="E226" s="134"/>
      <c r="F226" s="135"/>
      <c r="G226" s="136"/>
      <c r="H226" s="481"/>
      <c r="I226" s="105"/>
      <c r="J226" s="75"/>
      <c r="K226" s="75"/>
      <c r="L226" s="75"/>
      <c r="M226" s="75"/>
      <c r="N226" s="75"/>
      <c r="O226" s="96"/>
      <c r="P226" s="105"/>
      <c r="Q226" s="96"/>
      <c r="R226" s="96"/>
      <c r="S226" s="75"/>
      <c r="T226" s="141"/>
      <c r="U226" s="141"/>
      <c r="V226" s="75"/>
      <c r="W226" s="100"/>
      <c r="X226" s="100"/>
      <c r="Y226" s="142"/>
      <c r="Z226" s="142"/>
      <c r="AA226" s="100"/>
      <c r="AB226" s="96"/>
      <c r="AC226" s="109"/>
      <c r="AD226" s="108"/>
      <c r="AE226" s="109"/>
      <c r="AF226" s="109"/>
      <c r="AG226" s="108"/>
      <c r="AH226" s="111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50"/>
      <c r="AU226" s="477"/>
      <c r="AV226" s="477"/>
    </row>
    <row r="227" spans="1:48" ht="16.3">
      <c r="A227" s="87" t="s">
        <v>3</v>
      </c>
      <c r="B227" s="289">
        <f>SUM(J227+K227+L227+M227+N227+S227+V227+W227+X227+AA227+AI227+AJ227+AI227+AM227+AP227+AQ227+AS227+AT227+AU227+AV227)</f>
        <v>0</v>
      </c>
      <c r="C227" s="132">
        <f t="shared" si="30"/>
        <v>0</v>
      </c>
      <c r="D227" s="133"/>
      <c r="E227" s="134"/>
      <c r="F227" s="135"/>
      <c r="G227" s="136"/>
      <c r="H227" s="481"/>
      <c r="I227" s="105"/>
      <c r="J227" s="75"/>
      <c r="K227" s="75"/>
      <c r="L227" s="75"/>
      <c r="M227" s="75"/>
      <c r="N227" s="75"/>
      <c r="O227" s="96"/>
      <c r="P227" s="105"/>
      <c r="Q227" s="96"/>
      <c r="R227" s="96"/>
      <c r="S227" s="75"/>
      <c r="T227" s="141"/>
      <c r="U227" s="141"/>
      <c r="V227" s="75"/>
      <c r="W227" s="100"/>
      <c r="X227" s="100"/>
      <c r="Y227" s="142"/>
      <c r="Z227" s="142"/>
      <c r="AA227" s="100"/>
      <c r="AB227" s="96"/>
      <c r="AC227" s="109"/>
      <c r="AD227" s="108"/>
      <c r="AE227" s="109"/>
      <c r="AF227" s="109"/>
      <c r="AG227" s="108"/>
      <c r="AH227" s="111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50"/>
      <c r="AU227" s="477"/>
      <c r="AV227" s="477"/>
    </row>
    <row r="228" spans="1:48" ht="17" thickBot="1">
      <c r="A228" s="88" t="s">
        <v>4</v>
      </c>
      <c r="B228" s="290">
        <f>SUM(J228+K228+L228+M228+N228+S228+V228+W228+X228+AA228+AI228+AJ228+AI228+AM228+AP228+AQ228+AS228+AT228+AU228+AV228)</f>
        <v>0</v>
      </c>
      <c r="C228" s="143">
        <f t="shared" si="30"/>
        <v>0</v>
      </c>
      <c r="D228" s="144"/>
      <c r="E228" s="145"/>
      <c r="F228" s="146"/>
      <c r="G228" s="147"/>
      <c r="H228" s="482"/>
      <c r="I228" s="127"/>
      <c r="J228" s="112"/>
      <c r="K228" s="112"/>
      <c r="L228" s="112"/>
      <c r="M228" s="112"/>
      <c r="N228" s="112"/>
      <c r="O228" s="114"/>
      <c r="P228" s="127"/>
      <c r="Q228" s="114"/>
      <c r="R228" s="114"/>
      <c r="S228" s="112"/>
      <c r="T228" s="178"/>
      <c r="U228" s="178"/>
      <c r="V228" s="112"/>
      <c r="W228" s="116"/>
      <c r="X228" s="112"/>
      <c r="Y228" s="142"/>
      <c r="Z228" s="142"/>
      <c r="AA228" s="100"/>
      <c r="AB228" s="114"/>
      <c r="AC228" s="109"/>
      <c r="AD228" s="108"/>
      <c r="AE228" s="109"/>
      <c r="AF228" s="109"/>
      <c r="AG228" s="108"/>
      <c r="AH228" s="111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50"/>
      <c r="AU228" s="477"/>
      <c r="AV228" s="477"/>
    </row>
    <row r="229" spans="1:48" ht="21.1">
      <c r="A229" s="82" t="s">
        <v>323</v>
      </c>
      <c r="B229" s="289"/>
      <c r="C229" s="132"/>
      <c r="D229" s="133"/>
      <c r="E229" s="134"/>
      <c r="F229" s="135"/>
      <c r="G229" s="136"/>
      <c r="H229" s="481"/>
      <c r="I229" s="105"/>
      <c r="J229" s="75"/>
      <c r="K229" s="75"/>
      <c r="L229" s="75"/>
      <c r="M229" s="75"/>
      <c r="N229" s="75"/>
      <c r="O229" s="96"/>
      <c r="P229" s="105"/>
      <c r="Q229" s="96"/>
      <c r="R229" s="96" t="s">
        <v>375</v>
      </c>
      <c r="S229" s="75" t="s">
        <v>375</v>
      </c>
      <c r="T229" s="141" t="s">
        <v>393</v>
      </c>
      <c r="U229" s="141"/>
      <c r="V229" s="75" t="s">
        <v>375</v>
      </c>
      <c r="W229" s="100" t="s">
        <v>375</v>
      </c>
      <c r="X229" s="100" t="s">
        <v>375</v>
      </c>
      <c r="Y229" s="138"/>
      <c r="Z229" s="138"/>
      <c r="AA229" s="102"/>
      <c r="AB229" s="96" t="s">
        <v>369</v>
      </c>
      <c r="AC229" s="99" t="s">
        <v>375</v>
      </c>
      <c r="AD229" s="98"/>
      <c r="AE229" s="99"/>
      <c r="AF229" s="99"/>
      <c r="AG229" s="98"/>
      <c r="AH229" s="103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478"/>
      <c r="AU229" s="477"/>
      <c r="AV229" s="477"/>
    </row>
    <row r="230" spans="1:48" ht="16.3">
      <c r="A230" s="246" t="s">
        <v>1</v>
      </c>
      <c r="B230" s="292">
        <f>SUM(J230+K230+L230+M230+N230+S230+V230+W230+X230+AA230+AI230+AJ230+AI230+AM230+AP230+AQ230+AS230+AT230+AU230+AV230+AN230)</f>
        <v>0</v>
      </c>
      <c r="C230" s="288">
        <f>B230</f>
        <v>0</v>
      </c>
      <c r="D230" s="133"/>
      <c r="E230" s="134"/>
      <c r="F230" s="135"/>
      <c r="G230" s="136"/>
      <c r="H230" s="481"/>
      <c r="I230" s="105"/>
      <c r="J230" s="75"/>
      <c r="K230" s="75"/>
      <c r="L230" s="75"/>
      <c r="M230" s="75"/>
      <c r="N230" s="75"/>
      <c r="O230" s="96"/>
      <c r="P230" s="105"/>
      <c r="Q230" s="96"/>
      <c r="R230" s="96"/>
      <c r="S230" s="75"/>
      <c r="T230" s="141"/>
      <c r="U230" s="141"/>
      <c r="V230" s="75"/>
      <c r="W230" s="100"/>
      <c r="X230" s="100"/>
      <c r="Y230" s="142"/>
      <c r="Z230" s="142"/>
      <c r="AA230" s="100"/>
      <c r="AB230" s="96">
        <v>1</v>
      </c>
      <c r="AC230" s="109"/>
      <c r="AD230" s="108"/>
      <c r="AE230" s="109"/>
      <c r="AF230" s="109"/>
      <c r="AG230" s="108"/>
      <c r="AH230" s="111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50"/>
      <c r="AU230" s="477"/>
      <c r="AV230" s="477"/>
    </row>
    <row r="231" spans="1:48" ht="16.3">
      <c r="A231" s="246" t="s">
        <v>2</v>
      </c>
      <c r="B231" s="292">
        <f>SUM(J231+K231+L231+M231+N231+S231+V231+W231+X231+AA231+AI231+AJ231+AI231+AM231+AP231+AQ231+AS231+AT231+AU231+AV231)</f>
        <v>4</v>
      </c>
      <c r="C231" s="288">
        <f t="shared" ref="C231:C234" si="31">B231</f>
        <v>4</v>
      </c>
      <c r="D231" s="133"/>
      <c r="E231" s="134"/>
      <c r="F231" s="135"/>
      <c r="G231" s="136"/>
      <c r="H231" s="481"/>
      <c r="I231" s="105"/>
      <c r="J231" s="75"/>
      <c r="K231" s="75"/>
      <c r="L231" s="75"/>
      <c r="M231" s="75"/>
      <c r="N231" s="75"/>
      <c r="O231" s="96"/>
      <c r="P231" s="105"/>
      <c r="Q231" s="96"/>
      <c r="R231" s="96">
        <v>1</v>
      </c>
      <c r="S231" s="75">
        <v>1</v>
      </c>
      <c r="T231" s="141"/>
      <c r="U231" s="141"/>
      <c r="V231" s="75">
        <v>1</v>
      </c>
      <c r="W231" s="100">
        <v>1</v>
      </c>
      <c r="X231" s="100">
        <v>1</v>
      </c>
      <c r="Y231" s="142"/>
      <c r="Z231" s="142"/>
      <c r="AA231" s="100"/>
      <c r="AB231" s="96"/>
      <c r="AC231" s="109">
        <v>1</v>
      </c>
      <c r="AD231" s="108"/>
      <c r="AE231" s="109"/>
      <c r="AF231" s="109"/>
      <c r="AG231" s="108"/>
      <c r="AH231" s="111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50"/>
      <c r="AU231" s="477"/>
      <c r="AV231" s="477"/>
    </row>
    <row r="232" spans="1:48" ht="16.3">
      <c r="A232" s="87" t="s">
        <v>363</v>
      </c>
      <c r="B232" s="289">
        <f>SUM(B230+B231)</f>
        <v>4</v>
      </c>
      <c r="C232" s="132">
        <f t="shared" si="31"/>
        <v>4</v>
      </c>
      <c r="D232" s="133"/>
      <c r="E232" s="134"/>
      <c r="F232" s="135"/>
      <c r="G232" s="136"/>
      <c r="H232" s="481"/>
      <c r="I232" s="105"/>
      <c r="J232" s="75"/>
      <c r="K232" s="75"/>
      <c r="L232" s="75"/>
      <c r="M232" s="75"/>
      <c r="N232" s="75"/>
      <c r="O232" s="96"/>
      <c r="P232" s="105"/>
      <c r="Q232" s="96"/>
      <c r="R232" s="96"/>
      <c r="S232" s="75"/>
      <c r="T232" s="141"/>
      <c r="U232" s="141"/>
      <c r="V232" s="75"/>
      <c r="W232" s="100"/>
      <c r="X232" s="100"/>
      <c r="Y232" s="142"/>
      <c r="Z232" s="142"/>
      <c r="AA232" s="100"/>
      <c r="AB232" s="96"/>
      <c r="AC232" s="109"/>
      <c r="AD232" s="108"/>
      <c r="AE232" s="109"/>
      <c r="AF232" s="109"/>
      <c r="AG232" s="108"/>
      <c r="AH232" s="111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50"/>
      <c r="AU232" s="477"/>
      <c r="AV232" s="477"/>
    </row>
    <row r="233" spans="1:48" ht="16.3">
      <c r="A233" s="87" t="s">
        <v>3</v>
      </c>
      <c r="B233" s="289">
        <f>SUM(J233+K233+L233+M233+N233+S233+V233+W233+X233+AA233+AI233+AJ233+AI233+AM233+AP233+AQ233+AS233+AT233+AU233+AV233)</f>
        <v>0</v>
      </c>
      <c r="C233" s="132">
        <f t="shared" si="31"/>
        <v>0</v>
      </c>
      <c r="D233" s="133"/>
      <c r="E233" s="134"/>
      <c r="F233" s="135"/>
      <c r="G233" s="136"/>
      <c r="H233" s="481"/>
      <c r="I233" s="105"/>
      <c r="J233" s="75"/>
      <c r="K233" s="75"/>
      <c r="L233" s="75"/>
      <c r="M233" s="75"/>
      <c r="N233" s="75"/>
      <c r="O233" s="96"/>
      <c r="P233" s="105"/>
      <c r="Q233" s="96"/>
      <c r="R233" s="96"/>
      <c r="S233" s="75"/>
      <c r="T233" s="141"/>
      <c r="U233" s="141"/>
      <c r="V233" s="75"/>
      <c r="W233" s="100"/>
      <c r="X233" s="100"/>
      <c r="Y233" s="142"/>
      <c r="Z233" s="142"/>
      <c r="AA233" s="100"/>
      <c r="AB233" s="96"/>
      <c r="AC233" s="109"/>
      <c r="AD233" s="108"/>
      <c r="AE233" s="109"/>
      <c r="AF233" s="109"/>
      <c r="AG233" s="108"/>
      <c r="AH233" s="111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50"/>
      <c r="AU233" s="477"/>
      <c r="AV233" s="477"/>
    </row>
    <row r="234" spans="1:48" ht="17" thickBot="1">
      <c r="A234" s="88" t="s">
        <v>4</v>
      </c>
      <c r="B234" s="290">
        <f>SUM(J234+K234+L234+M234+N234+S234+V234+W234+X234+AA234+AI234+AJ234+AI234+AM234+AP234+AQ234+AS234+AT234+AU234+AV234)</f>
        <v>0</v>
      </c>
      <c r="C234" s="143">
        <f t="shared" si="31"/>
        <v>0</v>
      </c>
      <c r="D234" s="144"/>
      <c r="E234" s="145"/>
      <c r="F234" s="146"/>
      <c r="G234" s="147"/>
      <c r="H234" s="482"/>
      <c r="I234" s="127"/>
      <c r="J234" s="112"/>
      <c r="K234" s="112"/>
      <c r="L234" s="112"/>
      <c r="M234" s="112"/>
      <c r="N234" s="112"/>
      <c r="O234" s="114"/>
      <c r="P234" s="127"/>
      <c r="Q234" s="114"/>
      <c r="R234" s="114"/>
      <c r="S234" s="112"/>
      <c r="T234" s="178"/>
      <c r="U234" s="178"/>
      <c r="V234" s="112"/>
      <c r="W234" s="116"/>
      <c r="X234" s="112"/>
      <c r="Y234" s="142"/>
      <c r="Z234" s="142"/>
      <c r="AA234" s="100"/>
      <c r="AB234" s="114"/>
      <c r="AC234" s="109"/>
      <c r="AD234" s="108"/>
      <c r="AE234" s="109"/>
      <c r="AF234" s="109"/>
      <c r="AG234" s="108"/>
      <c r="AH234" s="111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50"/>
      <c r="AU234" s="477"/>
      <c r="AV234" s="477"/>
    </row>
    <row r="235" spans="1:48" ht="21.1">
      <c r="A235" s="86" t="s">
        <v>34</v>
      </c>
      <c r="B235" s="289"/>
      <c r="C235" s="132"/>
      <c r="D235" s="133"/>
      <c r="E235" s="134"/>
      <c r="F235" s="135"/>
      <c r="G235" s="136"/>
      <c r="H235" s="483" t="s">
        <v>592</v>
      </c>
      <c r="I235" s="180"/>
      <c r="J235" s="122" t="s">
        <v>690</v>
      </c>
      <c r="K235" s="122" t="s">
        <v>690</v>
      </c>
      <c r="L235" s="122" t="s">
        <v>690</v>
      </c>
      <c r="M235" s="122" t="s">
        <v>690</v>
      </c>
      <c r="N235" s="122" t="s">
        <v>690</v>
      </c>
      <c r="O235" s="124"/>
      <c r="P235" s="180"/>
      <c r="Q235" s="124" t="s">
        <v>654</v>
      </c>
      <c r="R235" s="124"/>
      <c r="S235" s="122" t="s">
        <v>690</v>
      </c>
      <c r="T235" s="177" t="s">
        <v>863</v>
      </c>
      <c r="U235" s="177" t="s">
        <v>375</v>
      </c>
      <c r="V235" s="122" t="s">
        <v>690</v>
      </c>
      <c r="W235" s="122" t="s">
        <v>690</v>
      </c>
      <c r="X235" s="122" t="s">
        <v>690</v>
      </c>
      <c r="Y235" s="138" t="s">
        <v>863</v>
      </c>
      <c r="Z235" s="138" t="s">
        <v>863</v>
      </c>
      <c r="AA235" s="102" t="s">
        <v>690</v>
      </c>
      <c r="AB235" s="124"/>
      <c r="AC235" s="99"/>
      <c r="AD235" s="98"/>
      <c r="AE235" s="99" t="s">
        <v>654</v>
      </c>
      <c r="AF235" s="99" t="s">
        <v>375</v>
      </c>
      <c r="AG235" s="98"/>
      <c r="AH235" s="103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478"/>
      <c r="AU235" s="477"/>
      <c r="AV235" s="477"/>
    </row>
    <row r="236" spans="1:48" ht="16.3">
      <c r="A236" s="246" t="s">
        <v>1</v>
      </c>
      <c r="B236" s="292">
        <f>SUM(J236+K236+L236+M236+N236+S236+V236+W236+X236+AA236+AI236+AJ236+AI236+AM236+AP236+AQ236+AS236+AT236+AU236+AV236+AN236)+78</f>
        <v>88</v>
      </c>
      <c r="C236" s="288">
        <f>SUM(K236+L236+M236+N236+J236+S236+W236+X236+V236+AA236+AJ236+AI236+AJ236+AN236+AQ236+AP236+AT236+AU236+AV236+AS236+AM236)+96</f>
        <v>106</v>
      </c>
      <c r="D236" s="133"/>
      <c r="E236" s="134"/>
      <c r="F236" s="135"/>
      <c r="G236" s="136"/>
      <c r="H236" s="481">
        <v>1</v>
      </c>
      <c r="I236" s="105"/>
      <c r="J236" s="75">
        <v>1</v>
      </c>
      <c r="K236" s="75">
        <v>1</v>
      </c>
      <c r="L236" s="75">
        <v>1</v>
      </c>
      <c r="M236" s="75">
        <v>1</v>
      </c>
      <c r="N236" s="75">
        <v>1</v>
      </c>
      <c r="O236" s="96"/>
      <c r="P236" s="105"/>
      <c r="Q236" s="96">
        <v>1</v>
      </c>
      <c r="R236" s="96"/>
      <c r="S236" s="75">
        <v>1</v>
      </c>
      <c r="T236" s="141">
        <v>1</v>
      </c>
      <c r="U236" s="141"/>
      <c r="V236" s="75">
        <v>1</v>
      </c>
      <c r="W236" s="75">
        <v>1</v>
      </c>
      <c r="X236" s="75">
        <v>1</v>
      </c>
      <c r="Y236" s="142">
        <v>1</v>
      </c>
      <c r="Z236" s="142">
        <v>1</v>
      </c>
      <c r="AA236" s="100">
        <v>1</v>
      </c>
      <c r="AB236" s="96"/>
      <c r="AC236" s="109"/>
      <c r="AD236" s="108"/>
      <c r="AE236" s="109">
        <v>1</v>
      </c>
      <c r="AF236" s="109"/>
      <c r="AG236" s="108"/>
      <c r="AH236" s="111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50"/>
      <c r="AU236" s="477"/>
      <c r="AV236" s="477"/>
    </row>
    <row r="237" spans="1:48" ht="16.3">
      <c r="A237" s="246" t="s">
        <v>2</v>
      </c>
      <c r="B237" s="292">
        <f>SUM(J237+K237+L237+M237+N237+S237+V237+W237+X237+AA237+AI237+AJ237+AI237+AM237+AP237+AQ237+AS237+AT237+AU237+AV237)+41</f>
        <v>41</v>
      </c>
      <c r="C237" s="288">
        <f>SUM(K237+L237+M237+N237+J237+S237+W237+X237+V237+AA237+AJ237+AI237+AJ237+AN237+AQ237+AP237+AT237+AU237+AV237+AS237+AM237)+63</f>
        <v>63</v>
      </c>
      <c r="D237" s="133"/>
      <c r="E237" s="134"/>
      <c r="F237" s="135"/>
      <c r="G237" s="136"/>
      <c r="H237" s="481"/>
      <c r="I237" s="105"/>
      <c r="J237" s="75"/>
      <c r="K237" s="75"/>
      <c r="L237" s="75"/>
      <c r="M237" s="75"/>
      <c r="N237" s="75"/>
      <c r="O237" s="96"/>
      <c r="P237" s="105"/>
      <c r="Q237" s="96"/>
      <c r="R237" s="96"/>
      <c r="S237" s="75"/>
      <c r="T237" s="141"/>
      <c r="U237" s="141">
        <v>1</v>
      </c>
      <c r="V237" s="75"/>
      <c r="W237" s="75"/>
      <c r="X237" s="75"/>
      <c r="Y237" s="142"/>
      <c r="Z237" s="142"/>
      <c r="AA237" s="100"/>
      <c r="AB237" s="96"/>
      <c r="AC237" s="109"/>
      <c r="AD237" s="108"/>
      <c r="AE237" s="109"/>
      <c r="AF237" s="109">
        <v>1</v>
      </c>
      <c r="AG237" s="108"/>
      <c r="AH237" s="111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50"/>
      <c r="AU237" s="477"/>
      <c r="AV237" s="477"/>
    </row>
    <row r="238" spans="1:48" ht="16.3">
      <c r="A238" s="87" t="s">
        <v>363</v>
      </c>
      <c r="B238" s="289">
        <f>SUM(B236+B237)</f>
        <v>129</v>
      </c>
      <c r="C238" s="132">
        <f>SUM(C236+C237)</f>
        <v>169</v>
      </c>
      <c r="D238" s="133"/>
      <c r="E238" s="134"/>
      <c r="F238" s="135"/>
      <c r="G238" s="136"/>
      <c r="H238" s="481"/>
      <c r="I238" s="105"/>
      <c r="J238" s="75"/>
      <c r="K238" s="75"/>
      <c r="L238" s="75"/>
      <c r="M238" s="75"/>
      <c r="N238" s="75"/>
      <c r="O238" s="96"/>
      <c r="P238" s="105"/>
      <c r="Q238" s="96"/>
      <c r="R238" s="96"/>
      <c r="S238" s="75"/>
      <c r="T238" s="141"/>
      <c r="U238" s="141"/>
      <c r="V238" s="75"/>
      <c r="W238" s="75"/>
      <c r="X238" s="75"/>
      <c r="Y238" s="142"/>
      <c r="Z238" s="142"/>
      <c r="AA238" s="100"/>
      <c r="AB238" s="96"/>
      <c r="AC238" s="109"/>
      <c r="AD238" s="108"/>
      <c r="AE238" s="109"/>
      <c r="AF238" s="109"/>
      <c r="AG238" s="108"/>
      <c r="AH238" s="111"/>
      <c r="AI238" s="100"/>
      <c r="AJ238" s="100"/>
      <c r="AK238" s="100"/>
      <c r="AL238" s="100"/>
      <c r="AM238" s="100"/>
      <c r="AN238" s="100"/>
      <c r="AO238" s="100"/>
      <c r="AP238" s="100"/>
      <c r="AQ238" s="100"/>
      <c r="AR238" s="100"/>
      <c r="AS238" s="100"/>
      <c r="AT238" s="150"/>
      <c r="AU238" s="477"/>
      <c r="AV238" s="477"/>
    </row>
    <row r="239" spans="1:48" ht="16.3">
      <c r="A239" s="246" t="s">
        <v>362</v>
      </c>
      <c r="B239" s="292">
        <f>SUM(J239+K239+L239+M239+N239+S239+V239+W239+X239+AA239+AI239+AJ239+AI239+AM239+AP239+AQ239+AS239+AT239+AU239+AV239)+3</f>
        <v>3</v>
      </c>
      <c r="C239" s="288">
        <f>SUM(K239+L239+M239+N239+J239+S239+W239+X239+V239+AA239+AJ239+AI239+AJ239+AN239+AQ239+AP239+AT239+AU239+AV239+AS239+AM239)+4</f>
        <v>4</v>
      </c>
      <c r="D239" s="133"/>
      <c r="E239" s="134"/>
      <c r="F239" s="135"/>
      <c r="G239" s="136"/>
      <c r="H239" s="481"/>
      <c r="I239" s="105"/>
      <c r="J239" s="75"/>
      <c r="K239" s="75"/>
      <c r="L239" s="75"/>
      <c r="M239" s="75"/>
      <c r="N239" s="75"/>
      <c r="O239" s="96"/>
      <c r="P239" s="105"/>
      <c r="Q239" s="96"/>
      <c r="R239" s="96"/>
      <c r="S239" s="75"/>
      <c r="T239" s="141"/>
      <c r="U239" s="141"/>
      <c r="V239" s="75"/>
      <c r="W239" s="75"/>
      <c r="X239" s="75"/>
      <c r="Y239" s="142"/>
      <c r="Z239" s="142"/>
      <c r="AA239" s="100"/>
      <c r="AB239" s="96"/>
      <c r="AC239" s="109"/>
      <c r="AD239" s="108"/>
      <c r="AE239" s="109"/>
      <c r="AF239" s="109"/>
      <c r="AG239" s="108"/>
      <c r="AH239" s="111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100"/>
      <c r="AT239" s="150"/>
      <c r="AU239" s="477"/>
      <c r="AV239" s="477"/>
    </row>
    <row r="240" spans="1:48" ht="16.3">
      <c r="A240" s="246" t="s">
        <v>366</v>
      </c>
      <c r="B240" s="292">
        <f>SUM(J240+K240+L240+M240+N240+S240+V240+W240+X240+AA240+AI240+AJ240+AI240+AM240+AP240+AQ240+AS240+AT240+AU240+AV240)+2</f>
        <v>12</v>
      </c>
      <c r="C240" s="288">
        <f>SUM(K240+L240+M240+N240+J240+S240+W240+X240+V240+AA240+AJ240+AI240+AJ240+AN240+AQ240+AP240+AT240+AU240+AV240+AS240+AM240)+2</f>
        <v>12</v>
      </c>
      <c r="D240" s="133"/>
      <c r="E240" s="134"/>
      <c r="F240" s="135"/>
      <c r="G240" s="136"/>
      <c r="H240" s="481">
        <v>1</v>
      </c>
      <c r="I240" s="105"/>
      <c r="J240" s="75">
        <v>1</v>
      </c>
      <c r="K240" s="75">
        <v>1</v>
      </c>
      <c r="L240" s="75">
        <v>1</v>
      </c>
      <c r="M240" s="75">
        <v>1</v>
      </c>
      <c r="N240" s="75">
        <v>1</v>
      </c>
      <c r="O240" s="96"/>
      <c r="P240" s="105"/>
      <c r="Q240" s="96">
        <v>1</v>
      </c>
      <c r="R240" s="96"/>
      <c r="S240" s="75">
        <v>1</v>
      </c>
      <c r="T240" s="141">
        <v>1</v>
      </c>
      <c r="U240" s="141"/>
      <c r="V240" s="75">
        <v>1</v>
      </c>
      <c r="W240" s="75">
        <v>1</v>
      </c>
      <c r="X240" s="75">
        <v>1</v>
      </c>
      <c r="Y240" s="142">
        <v>1</v>
      </c>
      <c r="Z240" s="142">
        <v>1</v>
      </c>
      <c r="AA240" s="100">
        <v>1</v>
      </c>
      <c r="AB240" s="96"/>
      <c r="AC240" s="109"/>
      <c r="AD240" s="108"/>
      <c r="AE240" s="109">
        <v>1</v>
      </c>
      <c r="AF240" s="109"/>
      <c r="AG240" s="108"/>
      <c r="AH240" s="111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50"/>
      <c r="AU240" s="477"/>
      <c r="AV240" s="477"/>
    </row>
    <row r="241" spans="1:48" ht="16.3">
      <c r="A241" s="87" t="s">
        <v>3</v>
      </c>
      <c r="B241" s="289">
        <f>SUM(J241+K241+L241+M241+N241+S241+V241+W241+X241+AA241+AI241+AJ241+AI241+AM241+AP241+AQ241+AS241+AT241+AU241+AV241)+34</f>
        <v>36</v>
      </c>
      <c r="C241" s="132">
        <f>SUM(K241+L241+M241+N241+J241+S241+W241+X241+V241+AA241+AJ241+AI241+AJ241+AN241+AQ241+AP241+AT241+AU241+AV241+AS241+AM241)+40</f>
        <v>42</v>
      </c>
      <c r="D241" s="133"/>
      <c r="E241" s="134"/>
      <c r="F241" s="135"/>
      <c r="G241" s="136"/>
      <c r="H241" s="481">
        <v>1</v>
      </c>
      <c r="I241" s="105"/>
      <c r="J241" s="75"/>
      <c r="K241" s="75">
        <v>1</v>
      </c>
      <c r="L241" s="75"/>
      <c r="M241" s="75"/>
      <c r="N241" s="75"/>
      <c r="O241" s="96"/>
      <c r="P241" s="105"/>
      <c r="Q241" s="96"/>
      <c r="R241" s="96"/>
      <c r="S241" s="75"/>
      <c r="T241" s="141"/>
      <c r="U241" s="141"/>
      <c r="V241" s="75"/>
      <c r="W241" s="100"/>
      <c r="X241" s="100">
        <v>1</v>
      </c>
      <c r="Y241" s="142">
        <v>1</v>
      </c>
      <c r="Z241" s="142"/>
      <c r="AA241" s="100"/>
      <c r="AB241" s="96"/>
      <c r="AC241" s="109"/>
      <c r="AD241" s="108"/>
      <c r="AE241" s="150"/>
      <c r="AF241" s="109"/>
      <c r="AG241" s="108"/>
      <c r="AH241" s="111"/>
      <c r="AI241" s="100"/>
      <c r="AJ241" s="100"/>
      <c r="AK241" s="100"/>
      <c r="AL241" s="100"/>
      <c r="AM241" s="100"/>
      <c r="AN241" s="100"/>
      <c r="AO241" s="100"/>
      <c r="AP241" s="100"/>
      <c r="AQ241" s="100"/>
      <c r="AR241" s="100"/>
      <c r="AS241" s="100"/>
      <c r="AT241" s="150"/>
      <c r="AU241" s="477"/>
      <c r="AV241" s="477"/>
    </row>
    <row r="242" spans="1:48" ht="17" thickBot="1">
      <c r="A242" s="88" t="s">
        <v>4</v>
      </c>
      <c r="B242" s="290">
        <f>SUM(J242+K242+L242+M242+N242+S242+V242+W242+X242+AA242+AI242+AJ242+AI242+AM242+AP242+AQ242+AS242+AT242+AU242+AV242)+170</f>
        <v>180</v>
      </c>
      <c r="C242" s="143">
        <f>SUM(K242+L242+M242+N242+J242+S242+W242+X242+V242+AA242+AJ242+AI242+AJ242+AN242+AQ242+AP242+AT242+AU242+AV242+AS242+AM242)+200</f>
        <v>210</v>
      </c>
      <c r="D242" s="144"/>
      <c r="E242" s="145"/>
      <c r="F242" s="146"/>
      <c r="G242" s="147"/>
      <c r="H242" s="482">
        <v>5</v>
      </c>
      <c r="I242" s="127"/>
      <c r="J242" s="112"/>
      <c r="K242" s="112">
        <v>5</v>
      </c>
      <c r="L242" s="112"/>
      <c r="M242" s="112"/>
      <c r="N242" s="112"/>
      <c r="O242" s="114"/>
      <c r="P242" s="127"/>
      <c r="Q242" s="114"/>
      <c r="R242" s="114"/>
      <c r="S242" s="112"/>
      <c r="T242" s="178"/>
      <c r="U242" s="178"/>
      <c r="V242" s="112"/>
      <c r="W242" s="116"/>
      <c r="X242" s="116">
        <v>5</v>
      </c>
      <c r="Y242" s="149">
        <v>5</v>
      </c>
      <c r="Z242" s="149"/>
      <c r="AA242" s="116"/>
      <c r="AB242" s="114"/>
      <c r="AC242" s="118"/>
      <c r="AD242" s="117"/>
      <c r="AE242" s="118"/>
      <c r="AF242" s="118"/>
      <c r="AG242" s="117"/>
      <c r="AH242" s="121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76"/>
      <c r="AU242" s="477"/>
      <c r="AV242" s="477"/>
    </row>
    <row r="243" spans="1:48" ht="21.1">
      <c r="A243" s="82" t="s">
        <v>979</v>
      </c>
      <c r="B243" s="289"/>
      <c r="C243" s="132"/>
      <c r="D243" s="133"/>
      <c r="E243" s="134"/>
      <c r="F243" s="135"/>
      <c r="G243" s="136"/>
      <c r="H243" s="481" t="s">
        <v>1007</v>
      </c>
      <c r="I243" s="105"/>
      <c r="J243" s="75" t="s">
        <v>344</v>
      </c>
      <c r="K243" s="75" t="s">
        <v>344</v>
      </c>
      <c r="L243" s="75" t="s">
        <v>344</v>
      </c>
      <c r="M243" s="75" t="s">
        <v>344</v>
      </c>
      <c r="N243" s="75" t="s">
        <v>344</v>
      </c>
      <c r="O243" s="96" t="s">
        <v>344</v>
      </c>
      <c r="P243" s="105"/>
      <c r="Q243" s="96" t="s">
        <v>344</v>
      </c>
      <c r="R243" s="96" t="s">
        <v>344</v>
      </c>
      <c r="S243" s="75" t="s">
        <v>344</v>
      </c>
      <c r="T243" s="141" t="s">
        <v>344</v>
      </c>
      <c r="U243" s="141" t="s">
        <v>344</v>
      </c>
      <c r="V243" s="75" t="s">
        <v>344</v>
      </c>
      <c r="W243" s="100" t="s">
        <v>344</v>
      </c>
      <c r="X243" s="100" t="s">
        <v>344</v>
      </c>
      <c r="Y243" s="142" t="s">
        <v>344</v>
      </c>
      <c r="Z243" s="142" t="s">
        <v>719</v>
      </c>
      <c r="AA243" s="100"/>
      <c r="AB243" s="96" t="s">
        <v>439</v>
      </c>
      <c r="AC243" s="109" t="s">
        <v>371</v>
      </c>
      <c r="AD243" s="108"/>
      <c r="AE243" s="109"/>
      <c r="AF243" s="109"/>
      <c r="AG243" s="108"/>
      <c r="AH243" s="111"/>
      <c r="AI243" s="100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100"/>
      <c r="AT243" s="150"/>
      <c r="AU243" s="477"/>
      <c r="AV243" s="477"/>
    </row>
    <row r="244" spans="1:48" ht="16.3">
      <c r="A244" s="246" t="s">
        <v>1</v>
      </c>
      <c r="B244" s="292">
        <f>SUM(J244+K244+L244+M244+N244+S244+V244+W244+X244+AA244+AI244+AJ244+AI244+AM244+AP244+AQ244+AS244+AT244+AU244+AV244+AN244)</f>
        <v>0</v>
      </c>
      <c r="C244" s="288">
        <f>SUM(K244+L244+M244+N244+J244+S244+W244+X244+V244+AA244+AJ244+AI244+AJ244+AN244+AQ244+AP244+AT244+AU244+AV244+AS244+AM244)</f>
        <v>0</v>
      </c>
      <c r="D244" s="133"/>
      <c r="E244" s="134"/>
      <c r="F244" s="135"/>
      <c r="G244" s="136"/>
      <c r="H244" s="481"/>
      <c r="I244" s="105"/>
      <c r="J244" s="75"/>
      <c r="K244" s="75"/>
      <c r="L244" s="75"/>
      <c r="M244" s="75"/>
      <c r="N244" s="75"/>
      <c r="O244" s="96"/>
      <c r="P244" s="105"/>
      <c r="Q244" s="96"/>
      <c r="R244" s="96"/>
      <c r="S244" s="75"/>
      <c r="T244" s="141"/>
      <c r="U244" s="141"/>
      <c r="V244" s="75"/>
      <c r="W244" s="100"/>
      <c r="X244" s="100"/>
      <c r="Y244" s="142"/>
      <c r="Z244" s="142"/>
      <c r="AA244" s="100"/>
      <c r="AB244" s="96">
        <v>1</v>
      </c>
      <c r="AC244" s="109">
        <v>1</v>
      </c>
      <c r="AD244" s="108"/>
      <c r="AE244" s="109"/>
      <c r="AF244" s="109"/>
      <c r="AG244" s="108"/>
      <c r="AH244" s="111"/>
      <c r="AI244" s="100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100"/>
      <c r="AT244" s="150"/>
      <c r="AU244" s="477"/>
      <c r="AV244" s="477"/>
    </row>
    <row r="245" spans="1:48" ht="16.3">
      <c r="A245" s="246" t="s">
        <v>2</v>
      </c>
      <c r="B245" s="292">
        <f>SUM(J245+K245+L245+M245+N245+S245+V245+W245+X245+AA245+AI245+AJ245+AI245+AM245+AP245+AQ245+AS245+AT245+AU245+AV245)</f>
        <v>0</v>
      </c>
      <c r="C245" s="288">
        <f>SUM(K245+L245+M245+N245+J245+S245+W245+X245+V245+AA245+AJ245+AI245+AJ245+AN245+AQ245+AP245+AT245+AU245+AV245+AS245+AM245)</f>
        <v>0</v>
      </c>
      <c r="D245" s="133"/>
      <c r="E245" s="134"/>
      <c r="F245" s="135"/>
      <c r="G245" s="136"/>
      <c r="H245" s="481"/>
      <c r="I245" s="105"/>
      <c r="J245" s="75"/>
      <c r="K245" s="75"/>
      <c r="L245" s="75"/>
      <c r="M245" s="75"/>
      <c r="N245" s="75"/>
      <c r="O245" s="96"/>
      <c r="P245" s="105"/>
      <c r="Q245" s="96"/>
      <c r="R245" s="96"/>
      <c r="S245" s="75"/>
      <c r="T245" s="141"/>
      <c r="U245" s="141"/>
      <c r="V245" s="75"/>
      <c r="W245" s="100"/>
      <c r="X245" s="100"/>
      <c r="Y245" s="142"/>
      <c r="Z245" s="142"/>
      <c r="AA245" s="100"/>
      <c r="AB245" s="96"/>
      <c r="AC245" s="109"/>
      <c r="AD245" s="108"/>
      <c r="AE245" s="109"/>
      <c r="AF245" s="109"/>
      <c r="AG245" s="108"/>
      <c r="AH245" s="111"/>
      <c r="AI245" s="100"/>
      <c r="AJ245" s="100"/>
      <c r="AK245" s="100"/>
      <c r="AL245" s="100"/>
      <c r="AM245" s="100"/>
      <c r="AN245" s="100"/>
      <c r="AO245" s="100"/>
      <c r="AP245" s="100"/>
      <c r="AQ245" s="100"/>
      <c r="AR245" s="100"/>
      <c r="AS245" s="100"/>
      <c r="AT245" s="150"/>
      <c r="AU245" s="477"/>
      <c r="AV245" s="477"/>
    </row>
    <row r="246" spans="1:48" ht="16.3">
      <c r="A246" s="87" t="s">
        <v>363</v>
      </c>
      <c r="B246" s="289">
        <f>SUM(B244+B245)</f>
        <v>0</v>
      </c>
      <c r="C246" s="132">
        <f>SUM(C244+C245)</f>
        <v>0</v>
      </c>
      <c r="D246" s="133"/>
      <c r="E246" s="134"/>
      <c r="F246" s="135"/>
      <c r="G246" s="136"/>
      <c r="H246" s="481"/>
      <c r="I246" s="105"/>
      <c r="J246" s="75"/>
      <c r="K246" s="75"/>
      <c r="L246" s="75"/>
      <c r="M246" s="75"/>
      <c r="N246" s="75"/>
      <c r="O246" s="96"/>
      <c r="P246" s="105"/>
      <c r="Q246" s="96"/>
      <c r="R246" s="96"/>
      <c r="S246" s="75"/>
      <c r="T246" s="141"/>
      <c r="U246" s="141"/>
      <c r="V246" s="75"/>
      <c r="W246" s="100"/>
      <c r="X246" s="100"/>
      <c r="Y246" s="142"/>
      <c r="Z246" s="142"/>
      <c r="AA246" s="100"/>
      <c r="AB246" s="96"/>
      <c r="AC246" s="109"/>
      <c r="AD246" s="108"/>
      <c r="AE246" s="109"/>
      <c r="AF246" s="109"/>
      <c r="AG246" s="108"/>
      <c r="AH246" s="111"/>
      <c r="AI246" s="100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50"/>
      <c r="AU246" s="477"/>
      <c r="AV246" s="477"/>
    </row>
    <row r="247" spans="1:48" ht="16.3">
      <c r="A247" s="87" t="s">
        <v>3</v>
      </c>
      <c r="B247" s="289">
        <f>SUM(J247+K247+L247+M247+N247+S247+V247+W247+X247+AA247+AI247+AJ247+AI247+AM247+AP247+AQ247+AS247+AT247+AU247+AV247)</f>
        <v>0</v>
      </c>
      <c r="C247" s="132">
        <f>SUM(K247+L247+M247+N247+J247+S247+W247+X247+V247+AA247+AJ247+AI247+AJ247+AN247+AQ247+AP247+AT247+AU247+AV247+AS247+AM247)</f>
        <v>0</v>
      </c>
      <c r="D247" s="133"/>
      <c r="E247" s="134"/>
      <c r="F247" s="135"/>
      <c r="G247" s="136"/>
      <c r="H247" s="481"/>
      <c r="I247" s="105"/>
      <c r="J247" s="75"/>
      <c r="K247" s="75"/>
      <c r="L247" s="75"/>
      <c r="M247" s="75"/>
      <c r="N247" s="75"/>
      <c r="O247" s="96"/>
      <c r="P247" s="105"/>
      <c r="Q247" s="96"/>
      <c r="R247" s="96"/>
      <c r="S247" s="75"/>
      <c r="T247" s="141"/>
      <c r="U247" s="141"/>
      <c r="V247" s="75"/>
      <c r="W247" s="100"/>
      <c r="X247" s="100"/>
      <c r="Y247" s="142"/>
      <c r="Z247" s="142"/>
      <c r="AA247" s="100"/>
      <c r="AB247" s="96"/>
      <c r="AC247" s="109"/>
      <c r="AD247" s="108"/>
      <c r="AE247" s="109"/>
      <c r="AF247" s="109"/>
      <c r="AG247" s="108"/>
      <c r="AH247" s="111"/>
      <c r="AI247" s="100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50"/>
      <c r="AU247" s="477"/>
      <c r="AV247" s="477"/>
    </row>
    <row r="248" spans="1:48" ht="17" thickBot="1">
      <c r="A248" s="88" t="s">
        <v>4</v>
      </c>
      <c r="B248" s="290">
        <f>SUM(J248+K248+L248+M248+N248+S248+V248+W248+X248+AA248+AI248+AJ248+AI248+AM248+AP248+AQ248+AS248+AT248+AU248+AV248)</f>
        <v>0</v>
      </c>
      <c r="C248" s="143">
        <f>SUM(K248+L248+M248+N248+J248+S248+W248+X248+V248+AA248+AJ248+AI248+AJ248+AN248+AQ248+AP248+AT248+AU248+AV248+AS248+AM248)</f>
        <v>0</v>
      </c>
      <c r="D248" s="144"/>
      <c r="E248" s="145"/>
      <c r="F248" s="146"/>
      <c r="G248" s="147"/>
      <c r="H248" s="482"/>
      <c r="I248" s="127"/>
      <c r="J248" s="112"/>
      <c r="K248" s="112"/>
      <c r="L248" s="112"/>
      <c r="M248" s="112"/>
      <c r="N248" s="112"/>
      <c r="O248" s="114"/>
      <c r="P248" s="127"/>
      <c r="Q248" s="114"/>
      <c r="R248" s="114"/>
      <c r="S248" s="112"/>
      <c r="T248" s="178"/>
      <c r="U248" s="178"/>
      <c r="V248" s="112"/>
      <c r="W248" s="116"/>
      <c r="X248" s="116"/>
      <c r="Y248" s="149"/>
      <c r="Z248" s="149"/>
      <c r="AA248" s="116"/>
      <c r="AB248" s="114"/>
      <c r="AC248" s="118"/>
      <c r="AD248" s="117"/>
      <c r="AE248" s="118"/>
      <c r="AF248" s="118"/>
      <c r="AG248" s="117"/>
      <c r="AH248" s="121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76"/>
      <c r="AU248" s="580"/>
      <c r="AV248" s="580"/>
    </row>
    <row r="249" spans="1:48" ht="21.1">
      <c r="A249" s="82" t="s">
        <v>674</v>
      </c>
      <c r="B249" s="289"/>
      <c r="C249" s="132"/>
      <c r="D249" s="133"/>
      <c r="E249" s="134"/>
      <c r="F249" s="135"/>
      <c r="G249" s="136"/>
      <c r="H249" s="481" t="s">
        <v>361</v>
      </c>
      <c r="I249" s="105"/>
      <c r="J249" s="75" t="s">
        <v>344</v>
      </c>
      <c r="K249" s="75" t="s">
        <v>344</v>
      </c>
      <c r="L249" s="75" t="s">
        <v>344</v>
      </c>
      <c r="M249" s="75" t="s">
        <v>344</v>
      </c>
      <c r="N249" s="75" t="s">
        <v>344</v>
      </c>
      <c r="O249" s="96" t="s">
        <v>344</v>
      </c>
      <c r="P249" s="105"/>
      <c r="Q249" s="96" t="s">
        <v>344</v>
      </c>
      <c r="R249" s="96" t="s">
        <v>344</v>
      </c>
      <c r="S249" s="96" t="s">
        <v>1008</v>
      </c>
      <c r="T249" s="141"/>
      <c r="U249" s="141"/>
      <c r="V249" s="75"/>
      <c r="W249" s="100"/>
      <c r="X249" s="100"/>
      <c r="Y249" s="142"/>
      <c r="Z249" s="142"/>
      <c r="AA249" s="100"/>
      <c r="AB249" s="96"/>
      <c r="AC249" s="109" t="s">
        <v>432</v>
      </c>
      <c r="AD249" s="108"/>
      <c r="AE249" s="109"/>
      <c r="AF249" s="109" t="s">
        <v>375</v>
      </c>
      <c r="AG249" s="108"/>
      <c r="AH249" s="111"/>
      <c r="AI249" s="100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50"/>
      <c r="AU249" s="477"/>
      <c r="AV249" s="477"/>
    </row>
    <row r="250" spans="1:48" ht="16.3">
      <c r="A250" s="246" t="s">
        <v>1</v>
      </c>
      <c r="B250" s="292">
        <f>SUM(J250+K250+L250+M250+N250+S250+V250+W250+X250+AA250+AI250+AJ250+AI250+AM250+AP250+AQ250+AS250+AT250+AU250+AV250+AN250)</f>
        <v>0</v>
      </c>
      <c r="C250" s="288">
        <f>SUM(K250+L250+M250+N250+J250+S250+W250+X250+V250+AA250+AJ250+AI250+AJ250+AN250+AQ250+AP250+AT250+AU250+AV250+AS250+AM250)</f>
        <v>0</v>
      </c>
      <c r="D250" s="133"/>
      <c r="E250" s="134"/>
      <c r="F250" s="135"/>
      <c r="G250" s="136"/>
      <c r="H250" s="481"/>
      <c r="I250" s="105"/>
      <c r="J250" s="75"/>
      <c r="K250" s="75"/>
      <c r="L250" s="75"/>
      <c r="M250" s="75"/>
      <c r="N250" s="75"/>
      <c r="O250" s="96"/>
      <c r="P250" s="105"/>
      <c r="Q250" s="96"/>
      <c r="R250" s="96"/>
      <c r="S250" s="75"/>
      <c r="T250" s="141"/>
      <c r="U250" s="141"/>
      <c r="V250" s="75"/>
      <c r="W250" s="100"/>
      <c r="X250" s="100"/>
      <c r="Y250" s="142"/>
      <c r="Z250" s="142"/>
      <c r="AA250" s="100"/>
      <c r="AB250" s="96"/>
      <c r="AC250" s="109"/>
      <c r="AD250" s="108"/>
      <c r="AE250" s="109"/>
      <c r="AF250" s="109"/>
      <c r="AG250" s="108"/>
      <c r="AH250" s="111"/>
      <c r="AI250" s="100"/>
      <c r="AJ250" s="100"/>
      <c r="AK250" s="100"/>
      <c r="AL250" s="100"/>
      <c r="AM250" s="100"/>
      <c r="AN250" s="100"/>
      <c r="AO250" s="100"/>
      <c r="AP250" s="100"/>
      <c r="AQ250" s="100"/>
      <c r="AR250" s="100"/>
      <c r="AS250" s="100"/>
      <c r="AT250" s="150"/>
      <c r="AU250" s="477"/>
      <c r="AV250" s="477"/>
    </row>
    <row r="251" spans="1:48" ht="16.3">
      <c r="A251" s="246" t="s">
        <v>2</v>
      </c>
      <c r="B251" s="292">
        <f>SUM(J251+K251+L251+M251+N251+S251+V251+W251+X251+AA251+AI251+AJ251+AI251+AM251+AP251+AQ251+AS251+AT251+AU251+AV251)</f>
        <v>0</v>
      </c>
      <c r="C251" s="288">
        <f>SUM(K251+L251+M251+N251+J251+S251+W251+X251+V251+AA251+AJ251+AI251+AJ251+AN251+AQ251+AP251+AT251+AU251+AV251+AS251+AM251)</f>
        <v>0</v>
      </c>
      <c r="D251" s="133"/>
      <c r="E251" s="134"/>
      <c r="F251" s="135"/>
      <c r="G251" s="136"/>
      <c r="H251" s="481"/>
      <c r="I251" s="105"/>
      <c r="J251" s="75"/>
      <c r="K251" s="75"/>
      <c r="L251" s="75"/>
      <c r="M251" s="75"/>
      <c r="N251" s="75"/>
      <c r="O251" s="96"/>
      <c r="P251" s="105"/>
      <c r="Q251" s="96"/>
      <c r="R251" s="96"/>
      <c r="S251" s="75"/>
      <c r="T251" s="141"/>
      <c r="U251" s="141"/>
      <c r="V251" s="75"/>
      <c r="W251" s="100"/>
      <c r="X251" s="100"/>
      <c r="Y251" s="142"/>
      <c r="Z251" s="142"/>
      <c r="AA251" s="100"/>
      <c r="AB251" s="96"/>
      <c r="AC251" s="109">
        <v>1</v>
      </c>
      <c r="AD251" s="108"/>
      <c r="AE251" s="109"/>
      <c r="AF251" s="109">
        <v>1</v>
      </c>
      <c r="AG251" s="108"/>
      <c r="AH251" s="111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50"/>
      <c r="AU251" s="477"/>
      <c r="AV251" s="477"/>
    </row>
    <row r="252" spans="1:48" ht="16.3">
      <c r="A252" s="87" t="s">
        <v>363</v>
      </c>
      <c r="B252" s="289">
        <f>SUM(B250+B251)</f>
        <v>0</v>
      </c>
      <c r="C252" s="132">
        <f>SUM(C250+C251)</f>
        <v>0</v>
      </c>
      <c r="D252" s="133"/>
      <c r="E252" s="134"/>
      <c r="F252" s="135"/>
      <c r="G252" s="136"/>
      <c r="H252" s="481"/>
      <c r="I252" s="105"/>
      <c r="J252" s="75"/>
      <c r="K252" s="75"/>
      <c r="L252" s="75"/>
      <c r="M252" s="75"/>
      <c r="N252" s="75"/>
      <c r="O252" s="96"/>
      <c r="P252" s="105"/>
      <c r="Q252" s="96"/>
      <c r="R252" s="96"/>
      <c r="S252" s="75"/>
      <c r="T252" s="141"/>
      <c r="U252" s="141"/>
      <c r="V252" s="75"/>
      <c r="W252" s="100"/>
      <c r="X252" s="100"/>
      <c r="Y252" s="142"/>
      <c r="Z252" s="142"/>
      <c r="AA252" s="100"/>
      <c r="AB252" s="96"/>
      <c r="AC252" s="109"/>
      <c r="AD252" s="108"/>
      <c r="AE252" s="109"/>
      <c r="AF252" s="109"/>
      <c r="AG252" s="108"/>
      <c r="AH252" s="111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50"/>
      <c r="AU252" s="477"/>
      <c r="AV252" s="477"/>
    </row>
    <row r="253" spans="1:48" ht="16.3">
      <c r="A253" s="87" t="s">
        <v>3</v>
      </c>
      <c r="B253" s="289">
        <f>SUM(J253+K253+L253+M253+N253+S253+V253+W253+X253+AA253+AI253+AJ253+AI253+AM253+AP253+AQ253+AS253+AT253+AU253+AV253)</f>
        <v>0</v>
      </c>
      <c r="C253" s="132">
        <f>SUM(K253+L253+M253+N253+J253+S253+W253+X253+V253+AA253+AJ253+AI253+AJ253+AN253+AQ253+AP253+AT253+AU253+AV253+AS253+AM253)</f>
        <v>0</v>
      </c>
      <c r="D253" s="133"/>
      <c r="E253" s="134"/>
      <c r="F253" s="135"/>
      <c r="G253" s="136"/>
      <c r="H253" s="481"/>
      <c r="I253" s="105"/>
      <c r="J253" s="75"/>
      <c r="K253" s="75"/>
      <c r="L253" s="75"/>
      <c r="M253" s="75"/>
      <c r="N253" s="75"/>
      <c r="O253" s="96"/>
      <c r="P253" s="105"/>
      <c r="Q253" s="96"/>
      <c r="R253" s="96"/>
      <c r="S253" s="75"/>
      <c r="T253" s="141"/>
      <c r="U253" s="141"/>
      <c r="V253" s="75"/>
      <c r="W253" s="100"/>
      <c r="X253" s="100"/>
      <c r="Y253" s="142"/>
      <c r="Z253" s="142"/>
      <c r="AA253" s="100"/>
      <c r="AB253" s="96"/>
      <c r="AC253" s="109"/>
      <c r="AD253" s="108"/>
      <c r="AE253" s="109"/>
      <c r="AF253" s="109"/>
      <c r="AG253" s="108"/>
      <c r="AH253" s="111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50"/>
      <c r="AU253" s="477"/>
      <c r="AV253" s="477"/>
    </row>
    <row r="254" spans="1:48" ht="17" thickBot="1">
      <c r="A254" s="88" t="s">
        <v>4</v>
      </c>
      <c r="B254" s="290">
        <f>SUM(J254+K254+L254+M254+N254+S254+V254+W254+X254+AA254+AI254+AJ254+AI254+AM254+AP254+AQ254+AS254+AT254+AU254+AV254)</f>
        <v>0</v>
      </c>
      <c r="C254" s="143">
        <f>SUM(K254+L254+M254+N254+J254+S254+W254+X254+V254+AA254+AJ254+AI254+AJ254+AN254+AQ254+AP254+AT254+AU254+AV254+AS254+AM254)</f>
        <v>0</v>
      </c>
      <c r="D254" s="144"/>
      <c r="E254" s="145"/>
      <c r="F254" s="146"/>
      <c r="G254" s="147"/>
      <c r="H254" s="482"/>
      <c r="I254" s="127"/>
      <c r="J254" s="112"/>
      <c r="K254" s="112"/>
      <c r="L254" s="112"/>
      <c r="M254" s="112"/>
      <c r="N254" s="112"/>
      <c r="O254" s="114"/>
      <c r="P254" s="127"/>
      <c r="Q254" s="114"/>
      <c r="R254" s="114"/>
      <c r="S254" s="112"/>
      <c r="T254" s="178"/>
      <c r="U254" s="178"/>
      <c r="V254" s="112"/>
      <c r="W254" s="116"/>
      <c r="X254" s="116"/>
      <c r="Y254" s="149"/>
      <c r="Z254" s="149"/>
      <c r="AA254" s="116"/>
      <c r="AB254" s="114"/>
      <c r="AC254" s="118"/>
      <c r="AD254" s="117"/>
      <c r="AE254" s="118"/>
      <c r="AF254" s="118"/>
      <c r="AG254" s="117"/>
      <c r="AH254" s="121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76"/>
      <c r="AU254" s="580"/>
      <c r="AV254" s="580"/>
    </row>
    <row r="255" spans="1:48" ht="21.1">
      <c r="A255" s="82" t="s">
        <v>287</v>
      </c>
      <c r="B255" s="289"/>
      <c r="C255" s="132"/>
      <c r="D255" s="133"/>
      <c r="E255" s="134"/>
      <c r="F255" s="135"/>
      <c r="G255" s="136"/>
      <c r="H255" s="481"/>
      <c r="I255" s="105"/>
      <c r="J255" s="75"/>
      <c r="K255" s="75"/>
      <c r="L255" s="75"/>
      <c r="M255" s="75"/>
      <c r="N255" s="75"/>
      <c r="O255" s="96" t="s">
        <v>375</v>
      </c>
      <c r="P255" s="105"/>
      <c r="Q255" s="96" t="s">
        <v>375</v>
      </c>
      <c r="R255" s="96" t="s">
        <v>375</v>
      </c>
      <c r="S255" s="75" t="s">
        <v>339</v>
      </c>
      <c r="T255" s="141" t="s">
        <v>339</v>
      </c>
      <c r="U255" s="141" t="s">
        <v>339</v>
      </c>
      <c r="V255" s="75" t="s">
        <v>339</v>
      </c>
      <c r="W255" s="100" t="s">
        <v>339</v>
      </c>
      <c r="X255" s="100" t="s">
        <v>339</v>
      </c>
      <c r="Y255" s="142" t="s">
        <v>339</v>
      </c>
      <c r="Z255" s="142" t="s">
        <v>339</v>
      </c>
      <c r="AA255" s="100" t="s">
        <v>339</v>
      </c>
      <c r="AB255" s="96" t="s">
        <v>339</v>
      </c>
      <c r="AC255" s="109" t="s">
        <v>339</v>
      </c>
      <c r="AD255" s="108"/>
      <c r="AE255" s="109"/>
      <c r="AF255" s="109"/>
      <c r="AG255" s="108"/>
      <c r="AH255" s="111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50"/>
      <c r="AU255" s="477"/>
      <c r="AV255" s="477"/>
    </row>
    <row r="256" spans="1:48" ht="16.3">
      <c r="A256" s="246" t="s">
        <v>1</v>
      </c>
      <c r="B256" s="292">
        <f>SUM(J256+K256+L256+M256+N256+S256+V256+W256+X256+AA256+AI256+AJ256+AI256+AM256+AP256+AQ256+AS256+AT256+AU256+AV256+AN256)</f>
        <v>0</v>
      </c>
      <c r="C256" s="288">
        <f>SUM(K256+L256+M256+N256+J256+S256+W256+X256+V256+AA256+AJ256+AI256+AJ256+AN256+AQ256+AP256+AT256+AU256+AV256+AS256+AM256)+2</f>
        <v>2</v>
      </c>
      <c r="D256" s="133"/>
      <c r="E256" s="134"/>
      <c r="F256" s="135"/>
      <c r="G256" s="136"/>
      <c r="H256" s="481"/>
      <c r="I256" s="105"/>
      <c r="J256" s="75"/>
      <c r="K256" s="75"/>
      <c r="L256" s="75"/>
      <c r="M256" s="75"/>
      <c r="N256" s="75"/>
      <c r="O256" s="96"/>
      <c r="P256" s="105"/>
      <c r="Q256" s="96"/>
      <c r="R256" s="96"/>
      <c r="S256" s="75"/>
      <c r="T256" s="141"/>
      <c r="U256" s="141"/>
      <c r="V256" s="75"/>
      <c r="W256" s="100"/>
      <c r="X256" s="100"/>
      <c r="Y256" s="142"/>
      <c r="Z256" s="142"/>
      <c r="AA256" s="100"/>
      <c r="AB256" s="96"/>
      <c r="AC256" s="109"/>
      <c r="AD256" s="108"/>
      <c r="AE256" s="109"/>
      <c r="AF256" s="109"/>
      <c r="AG256" s="108"/>
      <c r="AH256" s="111"/>
      <c r="AI256" s="100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50"/>
      <c r="AU256" s="477"/>
      <c r="AV256" s="477"/>
    </row>
    <row r="257" spans="1:48" ht="16.3">
      <c r="A257" s="246" t="s">
        <v>2</v>
      </c>
      <c r="B257" s="292">
        <f>SUM(J257+K257+L257+M257+N257+S257+V257+W257+X257+AA257+AI257+AJ257+AI257+AM257+AP257+AQ257+AS257+AT257+AU257+AV257)</f>
        <v>0</v>
      </c>
      <c r="C257" s="288">
        <f>SUM(K257+L257+M257+N257+J257+S257+W257+X257+V257+AA257+AJ257+AI257+AJ257+AN257+AQ257+AP257+AT257+AU257+AV257+AS257+AM257)+4</f>
        <v>4</v>
      </c>
      <c r="D257" s="133"/>
      <c r="E257" s="134"/>
      <c r="F257" s="135"/>
      <c r="G257" s="136"/>
      <c r="H257" s="481"/>
      <c r="I257" s="105"/>
      <c r="J257" s="75"/>
      <c r="K257" s="75"/>
      <c r="L257" s="75"/>
      <c r="M257" s="75"/>
      <c r="N257" s="75"/>
      <c r="O257" s="96">
        <v>1</v>
      </c>
      <c r="P257" s="105"/>
      <c r="Q257" s="96">
        <v>1</v>
      </c>
      <c r="R257" s="96">
        <v>1</v>
      </c>
      <c r="S257" s="75"/>
      <c r="T257" s="141"/>
      <c r="U257" s="141"/>
      <c r="V257" s="75"/>
      <c r="W257" s="100"/>
      <c r="X257" s="100"/>
      <c r="Y257" s="142"/>
      <c r="Z257" s="142"/>
      <c r="AA257" s="100"/>
      <c r="AB257" s="96"/>
      <c r="AC257" s="109"/>
      <c r="AD257" s="108"/>
      <c r="AE257" s="109"/>
      <c r="AF257" s="109"/>
      <c r="AG257" s="108"/>
      <c r="AH257" s="111"/>
      <c r="AI257" s="100"/>
      <c r="AJ257" s="100"/>
      <c r="AK257" s="100"/>
      <c r="AL257" s="100"/>
      <c r="AM257" s="100"/>
      <c r="AN257" s="100"/>
      <c r="AO257" s="100"/>
      <c r="AP257" s="100"/>
      <c r="AQ257" s="100"/>
      <c r="AR257" s="100"/>
      <c r="AS257" s="100"/>
      <c r="AT257" s="150"/>
      <c r="AU257" s="477"/>
      <c r="AV257" s="477"/>
    </row>
    <row r="258" spans="1:48" ht="16.3">
      <c r="A258" s="87" t="s">
        <v>363</v>
      </c>
      <c r="B258" s="289">
        <f>SUM(B256+B257)</f>
        <v>0</v>
      </c>
      <c r="C258" s="132">
        <f>SUM(C256+C257)</f>
        <v>6</v>
      </c>
      <c r="D258" s="133"/>
      <c r="E258" s="134"/>
      <c r="F258" s="135"/>
      <c r="G258" s="136"/>
      <c r="H258" s="481"/>
      <c r="I258" s="105"/>
      <c r="J258" s="75"/>
      <c r="K258" s="75"/>
      <c r="L258" s="75"/>
      <c r="M258" s="75"/>
      <c r="N258" s="75"/>
      <c r="O258" s="96"/>
      <c r="P258" s="105"/>
      <c r="Q258" s="96"/>
      <c r="R258" s="96"/>
      <c r="S258" s="75"/>
      <c r="T258" s="141"/>
      <c r="U258" s="141"/>
      <c r="V258" s="75"/>
      <c r="W258" s="100"/>
      <c r="X258" s="100"/>
      <c r="Y258" s="142"/>
      <c r="Z258" s="142"/>
      <c r="AA258" s="100"/>
      <c r="AB258" s="96"/>
      <c r="AC258" s="109"/>
      <c r="AD258" s="108"/>
      <c r="AE258" s="109"/>
      <c r="AF258" s="109"/>
      <c r="AG258" s="108"/>
      <c r="AH258" s="111"/>
      <c r="AI258" s="100"/>
      <c r="AJ258" s="100"/>
      <c r="AK258" s="100"/>
      <c r="AL258" s="100"/>
      <c r="AM258" s="100"/>
      <c r="AN258" s="100"/>
      <c r="AO258" s="100"/>
      <c r="AP258" s="100"/>
      <c r="AQ258" s="100"/>
      <c r="AR258" s="100"/>
      <c r="AS258" s="100"/>
      <c r="AT258" s="150"/>
      <c r="AU258" s="477"/>
      <c r="AV258" s="477"/>
    </row>
    <row r="259" spans="1:48" ht="16.3">
      <c r="A259" s="87" t="s">
        <v>3</v>
      </c>
      <c r="B259" s="289">
        <f>SUM(J259+K259+L259+M259+N259+S259+V259+W259+X259+AA259+AI259+AJ259+AI259+AM259+AP259+AQ259+AS259+AT259+AU259+AV259)</f>
        <v>0</v>
      </c>
      <c r="C259" s="132">
        <f>SUM(K259+L259+M259+N259+J259+S259+W259+X259+V259+AA259+AJ259+AI259+AJ259+AN259+AQ259+AP259+AT259+AU259+AV259+AS259+AM259)</f>
        <v>0</v>
      </c>
      <c r="D259" s="133"/>
      <c r="E259" s="134"/>
      <c r="F259" s="135"/>
      <c r="G259" s="136"/>
      <c r="H259" s="481"/>
      <c r="I259" s="105"/>
      <c r="J259" s="75"/>
      <c r="K259" s="75"/>
      <c r="L259" s="75"/>
      <c r="M259" s="75"/>
      <c r="N259" s="75"/>
      <c r="O259" s="96"/>
      <c r="P259" s="105"/>
      <c r="Q259" s="96"/>
      <c r="R259" s="96"/>
      <c r="S259" s="75"/>
      <c r="T259" s="141"/>
      <c r="U259" s="141"/>
      <c r="V259" s="75"/>
      <c r="W259" s="100"/>
      <c r="X259" s="100"/>
      <c r="Y259" s="142"/>
      <c r="Z259" s="142"/>
      <c r="AA259" s="100"/>
      <c r="AB259" s="96"/>
      <c r="AC259" s="109"/>
      <c r="AD259" s="108"/>
      <c r="AE259" s="109"/>
      <c r="AF259" s="109"/>
      <c r="AG259" s="108"/>
      <c r="AH259" s="111"/>
      <c r="AI259" s="100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50"/>
      <c r="AU259" s="477"/>
      <c r="AV259" s="477"/>
    </row>
    <row r="260" spans="1:48" ht="17" thickBot="1">
      <c r="A260" s="88" t="s">
        <v>4</v>
      </c>
      <c r="B260" s="460">
        <f>SUM(J260+K260+L260+M260+N260+S260+V260+W260+X260+AA260+AI260+AJ260+AI260+AM260+AP260+AQ260+AS260+AT260+AU260+AV260)</f>
        <v>0</v>
      </c>
      <c r="C260" s="143">
        <f>SUM(K260+L260+M260+N260+J260+S260+W260+X260+V260+AA260+AJ260+AI260+AJ260+AN260+AQ260+AP260+AT260+AU260+AV260+AS260+AM260)</f>
        <v>0</v>
      </c>
      <c r="D260" s="144"/>
      <c r="E260" s="145"/>
      <c r="F260" s="146"/>
      <c r="G260" s="147"/>
      <c r="H260" s="482"/>
      <c r="I260" s="105"/>
      <c r="J260" s="112"/>
      <c r="K260" s="112"/>
      <c r="L260" s="75"/>
      <c r="M260" s="75"/>
      <c r="N260" s="75"/>
      <c r="O260" s="96"/>
      <c r="P260" s="105"/>
      <c r="Q260" s="96"/>
      <c r="R260" s="96"/>
      <c r="S260" s="75"/>
      <c r="T260" s="141"/>
      <c r="U260" s="141"/>
      <c r="V260" s="75"/>
      <c r="W260" s="100"/>
      <c r="X260" s="100"/>
      <c r="Y260" s="142"/>
      <c r="Z260" s="142"/>
      <c r="AA260" s="100"/>
      <c r="AB260" s="96"/>
      <c r="AC260" s="109"/>
      <c r="AD260" s="108"/>
      <c r="AE260" s="109"/>
      <c r="AF260" s="109"/>
      <c r="AG260" s="108"/>
      <c r="AH260" s="111"/>
      <c r="AI260" s="100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50"/>
      <c r="AU260" s="477"/>
      <c r="AV260" s="477"/>
    </row>
    <row r="261" spans="1:48" ht="21.1">
      <c r="A261" s="82" t="s">
        <v>189</v>
      </c>
      <c r="B261" s="289"/>
      <c r="C261" s="132"/>
      <c r="D261" s="133"/>
      <c r="E261" s="134"/>
      <c r="F261" s="135"/>
      <c r="G261" s="136"/>
      <c r="H261" s="481" t="s">
        <v>375</v>
      </c>
      <c r="I261" s="180"/>
      <c r="J261" s="75" t="s">
        <v>375</v>
      </c>
      <c r="K261" s="75" t="s">
        <v>375</v>
      </c>
      <c r="L261" s="122" t="s">
        <v>375</v>
      </c>
      <c r="M261" s="122" t="s">
        <v>375</v>
      </c>
      <c r="N261" s="122" t="s">
        <v>375</v>
      </c>
      <c r="O261" s="124" t="s">
        <v>654</v>
      </c>
      <c r="P261" s="180"/>
      <c r="Q261" s="124"/>
      <c r="R261" s="124" t="s">
        <v>654</v>
      </c>
      <c r="S261" s="122" t="s">
        <v>375</v>
      </c>
      <c r="T261" s="177" t="s">
        <v>375</v>
      </c>
      <c r="U261" s="177" t="s">
        <v>889</v>
      </c>
      <c r="V261" s="122" t="s">
        <v>375</v>
      </c>
      <c r="W261" s="102" t="s">
        <v>375</v>
      </c>
      <c r="X261" s="102" t="s">
        <v>375</v>
      </c>
      <c r="Y261" s="138" t="s">
        <v>375</v>
      </c>
      <c r="Z261" s="138" t="s">
        <v>375</v>
      </c>
      <c r="AA261" s="102" t="s">
        <v>375</v>
      </c>
      <c r="AB261" s="124"/>
      <c r="AC261" s="99" t="s">
        <v>730</v>
      </c>
      <c r="AD261" s="98"/>
      <c r="AE261" s="99" t="s">
        <v>375</v>
      </c>
      <c r="AF261" s="99" t="s">
        <v>654</v>
      </c>
      <c r="AG261" s="98"/>
      <c r="AH261" s="103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479"/>
      <c r="AU261" s="477"/>
      <c r="AV261" s="477"/>
    </row>
    <row r="262" spans="1:48" ht="16.3">
      <c r="A262" s="246" t="s">
        <v>1</v>
      </c>
      <c r="B262" s="292">
        <f>SUM(J262+K262+L262+M262+N262+S262+V262+W262+X262+AA262+AI262+AJ262+AI262+AM262+AP262+AQ262+AS262+AT262+AU262+AV262+AN262)+1</f>
        <v>1</v>
      </c>
      <c r="C262" s="288">
        <f>B262</f>
        <v>1</v>
      </c>
      <c r="D262" s="133"/>
      <c r="E262" s="134"/>
      <c r="F262" s="135"/>
      <c r="G262" s="136"/>
      <c r="H262" s="481"/>
      <c r="I262" s="105"/>
      <c r="J262" s="75"/>
      <c r="K262" s="75"/>
      <c r="L262" s="75"/>
      <c r="M262" s="75"/>
      <c r="N262" s="75"/>
      <c r="O262" s="96">
        <v>1</v>
      </c>
      <c r="P262" s="105"/>
      <c r="Q262" s="96"/>
      <c r="R262" s="96">
        <v>1</v>
      </c>
      <c r="S262" s="75"/>
      <c r="T262" s="141"/>
      <c r="U262" s="141">
        <v>1</v>
      </c>
      <c r="V262" s="75"/>
      <c r="W262" s="100"/>
      <c r="X262" s="100"/>
      <c r="Y262" s="142"/>
      <c r="Z262" s="142"/>
      <c r="AA262" s="100"/>
      <c r="AB262" s="96"/>
      <c r="AC262" s="109"/>
      <c r="AD262" s="108"/>
      <c r="AE262" s="109"/>
      <c r="AF262" s="109">
        <v>1</v>
      </c>
      <c r="AG262" s="108"/>
      <c r="AH262" s="111"/>
      <c r="AI262" s="100"/>
      <c r="AJ262" s="100"/>
      <c r="AK262" s="100"/>
      <c r="AL262" s="100"/>
      <c r="AM262" s="100"/>
      <c r="AN262" s="100"/>
      <c r="AO262" s="100"/>
      <c r="AP262" s="100"/>
      <c r="AQ262" s="100"/>
      <c r="AR262" s="100"/>
      <c r="AS262" s="100"/>
      <c r="AT262" s="150"/>
      <c r="AU262" s="477"/>
      <c r="AV262" s="477"/>
    </row>
    <row r="263" spans="1:48" ht="16.3">
      <c r="A263" s="246" t="s">
        <v>2</v>
      </c>
      <c r="B263" s="292">
        <f>SUM(J263+K263+L263+M263+N263+S263+V263+W263+X263+AA263+AI263+AJ263+AI263+AM263+AP263+AQ263+AS263+AT263+AU263+AV263)+10</f>
        <v>20</v>
      </c>
      <c r="C263" s="288">
        <f t="shared" ref="C263:C268" si="32">B263</f>
        <v>20</v>
      </c>
      <c r="D263" s="133"/>
      <c r="E263" s="134"/>
      <c r="F263" s="135"/>
      <c r="G263" s="136"/>
      <c r="H263" s="481">
        <v>1</v>
      </c>
      <c r="I263" s="105"/>
      <c r="J263" s="75">
        <v>1</v>
      </c>
      <c r="K263" s="75">
        <v>1</v>
      </c>
      <c r="L263" s="75">
        <v>1</v>
      </c>
      <c r="M263" s="75">
        <v>1</v>
      </c>
      <c r="N263" s="75">
        <v>1</v>
      </c>
      <c r="O263" s="96"/>
      <c r="P263" s="105"/>
      <c r="Q263" s="96"/>
      <c r="R263" s="96"/>
      <c r="S263" s="75">
        <v>1</v>
      </c>
      <c r="T263" s="141">
        <v>1</v>
      </c>
      <c r="U263" s="141"/>
      <c r="V263" s="75">
        <v>1</v>
      </c>
      <c r="W263" s="100">
        <v>1</v>
      </c>
      <c r="X263" s="100">
        <v>1</v>
      </c>
      <c r="Y263" s="142">
        <v>1</v>
      </c>
      <c r="Z263" s="142">
        <v>1</v>
      </c>
      <c r="AA263" s="100">
        <v>1</v>
      </c>
      <c r="AB263" s="96"/>
      <c r="AC263" s="109">
        <v>1</v>
      </c>
      <c r="AD263" s="108"/>
      <c r="AE263" s="109">
        <v>1</v>
      </c>
      <c r="AF263" s="109"/>
      <c r="AG263" s="108"/>
      <c r="AH263" s="111"/>
      <c r="AI263" s="100"/>
      <c r="AJ263" s="100"/>
      <c r="AK263" s="100"/>
      <c r="AL263" s="100"/>
      <c r="AM263" s="100"/>
      <c r="AN263" s="100"/>
      <c r="AO263" s="100"/>
      <c r="AP263" s="100"/>
      <c r="AQ263" s="100"/>
      <c r="AR263" s="100"/>
      <c r="AS263" s="100"/>
      <c r="AT263" s="150"/>
      <c r="AU263" s="477"/>
      <c r="AV263" s="477"/>
    </row>
    <row r="264" spans="1:48" ht="16.3">
      <c r="A264" s="87" t="s">
        <v>363</v>
      </c>
      <c r="B264" s="289">
        <f>SUM(B262+B263)</f>
        <v>21</v>
      </c>
      <c r="C264" s="132">
        <f t="shared" si="32"/>
        <v>21</v>
      </c>
      <c r="D264" s="133"/>
      <c r="E264" s="134"/>
      <c r="F264" s="135"/>
      <c r="G264" s="136"/>
      <c r="H264" s="481"/>
      <c r="I264" s="105"/>
      <c r="J264" s="75"/>
      <c r="K264" s="75"/>
      <c r="L264" s="75"/>
      <c r="M264" s="75"/>
      <c r="N264" s="75"/>
      <c r="O264" s="96"/>
      <c r="P264" s="105"/>
      <c r="Q264" s="96"/>
      <c r="R264" s="96"/>
      <c r="S264" s="75"/>
      <c r="T264" s="141"/>
      <c r="U264" s="141"/>
      <c r="V264" s="75"/>
      <c r="W264" s="100"/>
      <c r="X264" s="100"/>
      <c r="Y264" s="142"/>
      <c r="Z264" s="142"/>
      <c r="AA264" s="100"/>
      <c r="AB264" s="96"/>
      <c r="AC264" s="109"/>
      <c r="AD264" s="108"/>
      <c r="AE264" s="109"/>
      <c r="AF264" s="109"/>
      <c r="AG264" s="108"/>
      <c r="AH264" s="111"/>
      <c r="AI264" s="100"/>
      <c r="AJ264" s="100"/>
      <c r="AK264" s="100"/>
      <c r="AL264" s="100"/>
      <c r="AM264" s="100"/>
      <c r="AN264" s="100"/>
      <c r="AO264" s="100"/>
      <c r="AP264" s="100"/>
      <c r="AQ264" s="100"/>
      <c r="AR264" s="100"/>
      <c r="AS264" s="100"/>
      <c r="AT264" s="150"/>
      <c r="AU264" s="477"/>
      <c r="AV264" s="477"/>
    </row>
    <row r="265" spans="1:48" ht="16.3">
      <c r="A265" s="234" t="s">
        <v>366</v>
      </c>
      <c r="B265" s="292">
        <f>SUM(J265+K265+L265+M265+N265+S265+V265+W265+X265+AA265+AI265+AJ265+AI265+AM265+AP265+AQ265+AS265+AT265+AU265+AV265)</f>
        <v>0</v>
      </c>
      <c r="C265" s="288">
        <f t="shared" si="32"/>
        <v>0</v>
      </c>
      <c r="D265" s="133"/>
      <c r="E265" s="134"/>
      <c r="F265" s="135"/>
      <c r="G265" s="136"/>
      <c r="H265" s="481"/>
      <c r="I265" s="105"/>
      <c r="J265" s="75"/>
      <c r="K265" s="75"/>
      <c r="L265" s="75"/>
      <c r="M265" s="75"/>
      <c r="N265" s="75"/>
      <c r="O265" s="96"/>
      <c r="P265" s="105"/>
      <c r="Q265" s="96"/>
      <c r="R265" s="96"/>
      <c r="S265" s="75"/>
      <c r="T265" s="141"/>
      <c r="U265" s="141"/>
      <c r="V265" s="75"/>
      <c r="W265" s="100"/>
      <c r="X265" s="100"/>
      <c r="Y265" s="142"/>
      <c r="Z265" s="142"/>
      <c r="AA265" s="100"/>
      <c r="AB265" s="96"/>
      <c r="AC265" s="109"/>
      <c r="AD265" s="108"/>
      <c r="AE265" s="109"/>
      <c r="AF265" s="109">
        <v>1</v>
      </c>
      <c r="AG265" s="108"/>
      <c r="AH265" s="111"/>
      <c r="AI265" s="100"/>
      <c r="AJ265" s="100"/>
      <c r="AK265" s="100"/>
      <c r="AL265" s="100"/>
      <c r="AM265" s="100"/>
      <c r="AN265" s="100"/>
      <c r="AO265" s="100"/>
      <c r="AP265" s="100"/>
      <c r="AQ265" s="100"/>
      <c r="AR265" s="100"/>
      <c r="AS265" s="100"/>
      <c r="AT265" s="150"/>
      <c r="AU265" s="477"/>
      <c r="AV265" s="477"/>
    </row>
    <row r="266" spans="1:48" ht="16.3">
      <c r="A266" s="234" t="s">
        <v>362</v>
      </c>
      <c r="B266" s="292">
        <f>SUM(J266+K266+L266+M266+N266+S266+V266+W266+X266+AA266+AI266+AJ266+AI266+AM266+AP266+AQ266+AS266+AT266+AU266+AV266)</f>
        <v>0</v>
      </c>
      <c r="C266" s="288">
        <f t="shared" ref="C266" si="33">B266</f>
        <v>0</v>
      </c>
      <c r="D266" s="133"/>
      <c r="E266" s="134"/>
      <c r="F266" s="135"/>
      <c r="G266" s="136"/>
      <c r="H266" s="481"/>
      <c r="I266" s="105"/>
      <c r="J266" s="75"/>
      <c r="K266" s="75"/>
      <c r="L266" s="75"/>
      <c r="M266" s="75"/>
      <c r="N266" s="75"/>
      <c r="O266" s="96"/>
      <c r="P266" s="105"/>
      <c r="Q266" s="96"/>
      <c r="R266" s="96"/>
      <c r="S266" s="75"/>
      <c r="T266" s="141"/>
      <c r="U266" s="141">
        <v>1</v>
      </c>
      <c r="V266" s="75"/>
      <c r="W266" s="100"/>
      <c r="X266" s="100"/>
      <c r="Y266" s="142"/>
      <c r="Z266" s="142"/>
      <c r="AA266" s="100"/>
      <c r="AB266" s="96"/>
      <c r="AC266" s="109"/>
      <c r="AD266" s="108"/>
      <c r="AE266" s="109"/>
      <c r="AF266" s="109"/>
      <c r="AG266" s="108"/>
      <c r="AH266" s="111"/>
      <c r="AI266" s="100"/>
      <c r="AJ266" s="100"/>
      <c r="AK266" s="100"/>
      <c r="AL266" s="100"/>
      <c r="AM266" s="100"/>
      <c r="AN266" s="100"/>
      <c r="AO266" s="100"/>
      <c r="AP266" s="100"/>
      <c r="AQ266" s="100"/>
      <c r="AR266" s="100"/>
      <c r="AS266" s="100"/>
      <c r="AT266" s="150"/>
      <c r="AU266" s="477"/>
      <c r="AV266" s="477"/>
    </row>
    <row r="267" spans="1:48" ht="16.3">
      <c r="A267" s="87" t="s">
        <v>3</v>
      </c>
      <c r="B267" s="289">
        <f>SUM(J267+K267+L267+M267+N267+S267+V267+W267+X267+AA267+AI267+AJ267+AI267+AM267+AP267+AQ267+AS267+AT267+AU267+AV267)</f>
        <v>0</v>
      </c>
      <c r="C267" s="132">
        <f t="shared" si="32"/>
        <v>0</v>
      </c>
      <c r="D267" s="133"/>
      <c r="E267" s="134"/>
      <c r="F267" s="135"/>
      <c r="G267" s="136"/>
      <c r="H267" s="481"/>
      <c r="I267" s="105"/>
      <c r="J267" s="75"/>
      <c r="K267" s="75"/>
      <c r="L267" s="75"/>
      <c r="M267" s="75"/>
      <c r="N267" s="75"/>
      <c r="O267" s="96">
        <v>1</v>
      </c>
      <c r="P267" s="105"/>
      <c r="Q267" s="96"/>
      <c r="R267" s="96"/>
      <c r="S267" s="75"/>
      <c r="T267" s="141"/>
      <c r="U267" s="141"/>
      <c r="V267" s="75"/>
      <c r="W267" s="100"/>
      <c r="X267" s="100"/>
      <c r="Y267" s="142"/>
      <c r="Z267" s="142"/>
      <c r="AA267" s="100"/>
      <c r="AB267" s="96"/>
      <c r="AC267" s="109"/>
      <c r="AD267" s="108"/>
      <c r="AE267" s="109">
        <v>1</v>
      </c>
      <c r="AF267" s="109"/>
      <c r="AG267" s="108"/>
      <c r="AH267" s="111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100"/>
      <c r="AT267" s="150"/>
      <c r="AU267" s="477"/>
      <c r="AV267" s="477"/>
    </row>
    <row r="268" spans="1:48" ht="17" thickBot="1">
      <c r="A268" s="88" t="s">
        <v>4</v>
      </c>
      <c r="B268" s="290">
        <f>SUM(J268+K268+L268+M268+N268+S268+V268+W268+X268+AA268+AI268+AJ268+AI268+AM268+AP268+AQ268+AS268+AT268+AU268+AV268)</f>
        <v>0</v>
      </c>
      <c r="C268" s="143">
        <f t="shared" si="32"/>
        <v>0</v>
      </c>
      <c r="D268" s="144"/>
      <c r="E268" s="145"/>
      <c r="F268" s="146"/>
      <c r="G268" s="147"/>
      <c r="H268" s="482"/>
      <c r="I268" s="127"/>
      <c r="J268" s="112"/>
      <c r="K268" s="112"/>
      <c r="L268" s="112"/>
      <c r="M268" s="112"/>
      <c r="N268" s="112"/>
      <c r="O268" s="114">
        <v>5</v>
      </c>
      <c r="P268" s="127"/>
      <c r="Q268" s="114"/>
      <c r="R268" s="114"/>
      <c r="S268" s="112"/>
      <c r="T268" s="178"/>
      <c r="U268" s="178"/>
      <c r="V268" s="112"/>
      <c r="W268" s="116"/>
      <c r="X268" s="116"/>
      <c r="Y268" s="178"/>
      <c r="Z268" s="149"/>
      <c r="AA268" s="116"/>
      <c r="AB268" s="114"/>
      <c r="AC268" s="118"/>
      <c r="AD268" s="117"/>
      <c r="AE268" s="118">
        <v>5</v>
      </c>
      <c r="AF268" s="118"/>
      <c r="AG268" s="117"/>
      <c r="AH268" s="121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76"/>
      <c r="AU268" s="477"/>
      <c r="AV268" s="477"/>
    </row>
    <row r="269" spans="1:48" ht="21.1">
      <c r="A269" s="82" t="s">
        <v>981</v>
      </c>
      <c r="B269" s="289"/>
      <c r="C269" s="132"/>
      <c r="D269" s="133"/>
      <c r="E269" s="134"/>
      <c r="F269" s="135"/>
      <c r="G269" s="136"/>
      <c r="H269" s="481" t="s">
        <v>982</v>
      </c>
      <c r="I269" s="105"/>
      <c r="J269" s="75" t="s">
        <v>344</v>
      </c>
      <c r="K269" s="75" t="s">
        <v>344</v>
      </c>
      <c r="L269" s="75" t="s">
        <v>344</v>
      </c>
      <c r="M269" s="75" t="s">
        <v>344</v>
      </c>
      <c r="N269" s="75" t="s">
        <v>344</v>
      </c>
      <c r="O269" s="96" t="s">
        <v>344</v>
      </c>
      <c r="P269" s="105"/>
      <c r="Q269" s="96" t="s">
        <v>344</v>
      </c>
      <c r="R269" s="96" t="s">
        <v>344</v>
      </c>
      <c r="S269" s="75" t="s">
        <v>344</v>
      </c>
      <c r="T269" s="141" t="s">
        <v>344</v>
      </c>
      <c r="U269" s="141" t="s">
        <v>344</v>
      </c>
      <c r="V269" s="75" t="s">
        <v>344</v>
      </c>
      <c r="W269" s="100" t="s">
        <v>344</v>
      </c>
      <c r="X269" s="100" t="s">
        <v>344</v>
      </c>
      <c r="Y269" s="142" t="s">
        <v>344</v>
      </c>
      <c r="Z269" s="142" t="s">
        <v>344</v>
      </c>
      <c r="AA269" s="100" t="s">
        <v>344</v>
      </c>
      <c r="AB269" s="96" t="s">
        <v>432</v>
      </c>
      <c r="AC269" s="109"/>
      <c r="AD269" s="108"/>
      <c r="AE269" s="109"/>
      <c r="AF269" s="109"/>
      <c r="AG269" s="108"/>
      <c r="AH269" s="111"/>
      <c r="AI269" s="100"/>
      <c r="AJ269" s="100"/>
      <c r="AK269" s="100"/>
      <c r="AL269" s="100"/>
      <c r="AM269" s="100"/>
      <c r="AN269" s="100"/>
      <c r="AO269" s="100"/>
      <c r="AP269" s="100"/>
      <c r="AQ269" s="100"/>
      <c r="AR269" s="100"/>
      <c r="AS269" s="100"/>
      <c r="AT269" s="150"/>
      <c r="AU269" s="477"/>
      <c r="AV269" s="477"/>
    </row>
    <row r="270" spans="1:48" ht="16.3">
      <c r="A270" s="246" t="s">
        <v>1</v>
      </c>
      <c r="B270" s="289"/>
      <c r="C270" s="132"/>
      <c r="D270" s="133"/>
      <c r="E270" s="134"/>
      <c r="F270" s="135"/>
      <c r="G270" s="136"/>
      <c r="H270" s="481"/>
      <c r="I270" s="105"/>
      <c r="J270" s="75"/>
      <c r="K270" s="75"/>
      <c r="L270" s="75"/>
      <c r="M270" s="75"/>
      <c r="N270" s="75"/>
      <c r="O270" s="96"/>
      <c r="P270" s="105"/>
      <c r="Q270" s="96"/>
      <c r="R270" s="96"/>
      <c r="S270" s="75"/>
      <c r="T270" s="141"/>
      <c r="U270" s="141"/>
      <c r="V270" s="75"/>
      <c r="W270" s="100"/>
      <c r="X270" s="100"/>
      <c r="Y270" s="142"/>
      <c r="Z270" s="142"/>
      <c r="AA270" s="100"/>
      <c r="AB270" s="96"/>
      <c r="AC270" s="109"/>
      <c r="AD270" s="108"/>
      <c r="AE270" s="109"/>
      <c r="AF270" s="109"/>
      <c r="AG270" s="108"/>
      <c r="AH270" s="111"/>
      <c r="AI270" s="100"/>
      <c r="AJ270" s="100"/>
      <c r="AK270" s="100"/>
      <c r="AL270" s="100"/>
      <c r="AM270" s="100"/>
      <c r="AN270" s="100"/>
      <c r="AO270" s="100"/>
      <c r="AP270" s="100"/>
      <c r="AQ270" s="100"/>
      <c r="AR270" s="100"/>
      <c r="AS270" s="100"/>
      <c r="AT270" s="150"/>
      <c r="AU270" s="477"/>
      <c r="AV270" s="477"/>
    </row>
    <row r="271" spans="1:48" ht="16.3">
      <c r="A271" s="246" t="s">
        <v>2</v>
      </c>
      <c r="B271" s="289"/>
      <c r="C271" s="132"/>
      <c r="D271" s="133"/>
      <c r="E271" s="134"/>
      <c r="F271" s="135"/>
      <c r="G271" s="136"/>
      <c r="H271" s="481"/>
      <c r="I271" s="105"/>
      <c r="J271" s="75"/>
      <c r="K271" s="75"/>
      <c r="L271" s="75"/>
      <c r="M271" s="75"/>
      <c r="N271" s="75"/>
      <c r="O271" s="96"/>
      <c r="P271" s="105"/>
      <c r="Q271" s="96"/>
      <c r="R271" s="96"/>
      <c r="S271" s="75"/>
      <c r="T271" s="141"/>
      <c r="U271" s="141"/>
      <c r="V271" s="75"/>
      <c r="W271" s="100"/>
      <c r="X271" s="100"/>
      <c r="Y271" s="142"/>
      <c r="Z271" s="142"/>
      <c r="AA271" s="100"/>
      <c r="AB271" s="96">
        <v>1</v>
      </c>
      <c r="AC271" s="109"/>
      <c r="AD271" s="108"/>
      <c r="AE271" s="109"/>
      <c r="AF271" s="109"/>
      <c r="AG271" s="108"/>
      <c r="AH271" s="111"/>
      <c r="AI271" s="100"/>
      <c r="AJ271" s="100"/>
      <c r="AK271" s="100"/>
      <c r="AL271" s="100"/>
      <c r="AM271" s="100"/>
      <c r="AN271" s="100"/>
      <c r="AO271" s="100"/>
      <c r="AP271" s="100"/>
      <c r="AQ271" s="100"/>
      <c r="AR271" s="100"/>
      <c r="AS271" s="100"/>
      <c r="AT271" s="150"/>
      <c r="AU271" s="477"/>
      <c r="AV271" s="477"/>
    </row>
    <row r="272" spans="1:48" ht="16.3">
      <c r="A272" s="87" t="s">
        <v>363</v>
      </c>
      <c r="B272" s="289"/>
      <c r="C272" s="132"/>
      <c r="D272" s="133"/>
      <c r="E272" s="134"/>
      <c r="F272" s="135"/>
      <c r="G272" s="136"/>
      <c r="H272" s="481"/>
      <c r="I272" s="105"/>
      <c r="J272" s="75"/>
      <c r="K272" s="75"/>
      <c r="L272" s="75"/>
      <c r="M272" s="75"/>
      <c r="N272" s="75"/>
      <c r="O272" s="96"/>
      <c r="P272" s="105"/>
      <c r="Q272" s="96"/>
      <c r="R272" s="96"/>
      <c r="S272" s="75"/>
      <c r="T272" s="141"/>
      <c r="U272" s="141"/>
      <c r="V272" s="75"/>
      <c r="W272" s="100"/>
      <c r="X272" s="100"/>
      <c r="Y272" s="142"/>
      <c r="Z272" s="142"/>
      <c r="AA272" s="100"/>
      <c r="AB272" s="96"/>
      <c r="AC272" s="109"/>
      <c r="AD272" s="108"/>
      <c r="AE272" s="109"/>
      <c r="AF272" s="109"/>
      <c r="AG272" s="108"/>
      <c r="AH272" s="111"/>
      <c r="AI272" s="100"/>
      <c r="AJ272" s="100"/>
      <c r="AK272" s="100"/>
      <c r="AL272" s="100"/>
      <c r="AM272" s="100"/>
      <c r="AN272" s="100"/>
      <c r="AO272" s="100"/>
      <c r="AP272" s="100"/>
      <c r="AQ272" s="100"/>
      <c r="AR272" s="100"/>
      <c r="AS272" s="100"/>
      <c r="AT272" s="150"/>
      <c r="AU272" s="477"/>
      <c r="AV272" s="477"/>
    </row>
    <row r="273" spans="1:48" ht="16.3">
      <c r="A273" s="246" t="s">
        <v>362</v>
      </c>
      <c r="B273" s="289"/>
      <c r="C273" s="132"/>
      <c r="D273" s="133"/>
      <c r="E273" s="134"/>
      <c r="F273" s="135"/>
      <c r="G273" s="136"/>
      <c r="H273" s="481"/>
      <c r="I273" s="105"/>
      <c r="J273" s="75"/>
      <c r="K273" s="75"/>
      <c r="L273" s="75"/>
      <c r="M273" s="75"/>
      <c r="N273" s="75"/>
      <c r="O273" s="96"/>
      <c r="P273" s="105"/>
      <c r="Q273" s="96"/>
      <c r="R273" s="96"/>
      <c r="S273" s="75"/>
      <c r="T273" s="141"/>
      <c r="U273" s="141"/>
      <c r="V273" s="75"/>
      <c r="W273" s="100"/>
      <c r="X273" s="100"/>
      <c r="Y273" s="142"/>
      <c r="Z273" s="142"/>
      <c r="AA273" s="100"/>
      <c r="AB273" s="96"/>
      <c r="AC273" s="109"/>
      <c r="AD273" s="108"/>
      <c r="AE273" s="109"/>
      <c r="AF273" s="109"/>
      <c r="AG273" s="108"/>
      <c r="AH273" s="111"/>
      <c r="AI273" s="100"/>
      <c r="AJ273" s="100"/>
      <c r="AK273" s="100"/>
      <c r="AL273" s="100"/>
      <c r="AM273" s="100"/>
      <c r="AN273" s="100"/>
      <c r="AO273" s="100"/>
      <c r="AP273" s="100"/>
      <c r="AQ273" s="100"/>
      <c r="AR273" s="100"/>
      <c r="AS273" s="100"/>
      <c r="AT273" s="150"/>
      <c r="AU273" s="477"/>
      <c r="AV273" s="477"/>
    </row>
    <row r="274" spans="1:48" ht="16.3">
      <c r="A274" s="87" t="s">
        <v>3</v>
      </c>
      <c r="B274" s="289"/>
      <c r="C274" s="132"/>
      <c r="D274" s="133"/>
      <c r="E274" s="134"/>
      <c r="F274" s="135"/>
      <c r="G274" s="136"/>
      <c r="H274" s="481"/>
      <c r="I274" s="105"/>
      <c r="J274" s="75"/>
      <c r="K274" s="75"/>
      <c r="L274" s="75"/>
      <c r="M274" s="75"/>
      <c r="N274" s="75"/>
      <c r="O274" s="96"/>
      <c r="P274" s="105"/>
      <c r="Q274" s="96"/>
      <c r="R274" s="96"/>
      <c r="S274" s="75"/>
      <c r="T274" s="141"/>
      <c r="U274" s="141"/>
      <c r="V274" s="75"/>
      <c r="W274" s="100"/>
      <c r="X274" s="100"/>
      <c r="Y274" s="142"/>
      <c r="Z274" s="142"/>
      <c r="AA274" s="100"/>
      <c r="AB274" s="96"/>
      <c r="AC274" s="109"/>
      <c r="AD274" s="108"/>
      <c r="AE274" s="109"/>
      <c r="AF274" s="109"/>
      <c r="AG274" s="108"/>
      <c r="AH274" s="111"/>
      <c r="AI274" s="100"/>
      <c r="AJ274" s="100"/>
      <c r="AK274" s="100"/>
      <c r="AL274" s="100"/>
      <c r="AM274" s="100"/>
      <c r="AN274" s="100"/>
      <c r="AO274" s="100"/>
      <c r="AP274" s="100"/>
      <c r="AQ274" s="100"/>
      <c r="AR274" s="100"/>
      <c r="AS274" s="100"/>
      <c r="AT274" s="150"/>
      <c r="AU274" s="477"/>
      <c r="AV274" s="477"/>
    </row>
    <row r="275" spans="1:48" ht="17" thickBot="1">
      <c r="A275" s="88" t="s">
        <v>4</v>
      </c>
      <c r="B275" s="290"/>
      <c r="C275" s="143"/>
      <c r="D275" s="144"/>
      <c r="E275" s="145"/>
      <c r="F275" s="146"/>
      <c r="G275" s="147"/>
      <c r="H275" s="482"/>
      <c r="I275" s="127"/>
      <c r="J275" s="112"/>
      <c r="K275" s="112"/>
      <c r="L275" s="112"/>
      <c r="M275" s="112"/>
      <c r="N275" s="112"/>
      <c r="O275" s="114"/>
      <c r="P275" s="127"/>
      <c r="Q275" s="114"/>
      <c r="R275" s="114"/>
      <c r="S275" s="112"/>
      <c r="T275" s="178"/>
      <c r="U275" s="178"/>
      <c r="V275" s="112"/>
      <c r="W275" s="116"/>
      <c r="X275" s="116"/>
      <c r="Y275" s="149"/>
      <c r="Z275" s="149"/>
      <c r="AA275" s="116"/>
      <c r="AB275" s="114"/>
      <c r="AC275" s="118"/>
      <c r="AD275" s="117"/>
      <c r="AE275" s="118"/>
      <c r="AF275" s="118"/>
      <c r="AG275" s="117"/>
      <c r="AH275" s="121"/>
      <c r="AI275" s="116"/>
      <c r="AJ275" s="116"/>
      <c r="AK275" s="116"/>
      <c r="AL275" s="112"/>
      <c r="AM275" s="100"/>
      <c r="AN275" s="100"/>
      <c r="AO275" s="100"/>
      <c r="AP275" s="100"/>
      <c r="AQ275" s="100"/>
      <c r="AR275" s="100"/>
      <c r="AS275" s="100"/>
      <c r="AT275" s="150"/>
      <c r="AU275" s="477"/>
      <c r="AV275" s="477"/>
    </row>
    <row r="276" spans="1:48" ht="21.1">
      <c r="A276" s="82" t="s">
        <v>246</v>
      </c>
      <c r="B276" s="289"/>
      <c r="C276" s="132"/>
      <c r="D276" s="133"/>
      <c r="E276" s="134"/>
      <c r="F276" s="135"/>
      <c r="G276" s="136"/>
      <c r="H276" s="481" t="s">
        <v>339</v>
      </c>
      <c r="I276" s="105"/>
      <c r="J276" s="75" t="s">
        <v>339</v>
      </c>
      <c r="K276" s="75" t="s">
        <v>339</v>
      </c>
      <c r="L276" s="75" t="s">
        <v>339</v>
      </c>
      <c r="M276" s="75" t="s">
        <v>339</v>
      </c>
      <c r="N276" s="75" t="s">
        <v>339</v>
      </c>
      <c r="O276" s="96" t="s">
        <v>339</v>
      </c>
      <c r="P276" s="105"/>
      <c r="Q276" s="96" t="s">
        <v>339</v>
      </c>
      <c r="R276" s="96">
        <v>4</v>
      </c>
      <c r="S276" s="75"/>
      <c r="T276" s="141"/>
      <c r="U276" s="141"/>
      <c r="V276" s="75"/>
      <c r="W276" s="100"/>
      <c r="X276" s="100"/>
      <c r="Y276" s="142" t="s">
        <v>372</v>
      </c>
      <c r="Z276" s="142"/>
      <c r="AA276" s="100"/>
      <c r="AB276" s="96">
        <v>4</v>
      </c>
      <c r="AC276" s="109" t="s">
        <v>372</v>
      </c>
      <c r="AD276" s="108"/>
      <c r="AE276" s="109" t="s">
        <v>375</v>
      </c>
      <c r="AF276" s="109" t="s">
        <v>372</v>
      </c>
      <c r="AG276" s="108"/>
      <c r="AH276" s="111"/>
      <c r="AI276" s="100"/>
      <c r="AJ276" s="100"/>
      <c r="AK276" s="100"/>
      <c r="AL276" s="100"/>
      <c r="AM276" s="102"/>
      <c r="AN276" s="102"/>
      <c r="AO276" s="102"/>
      <c r="AP276" s="102"/>
      <c r="AQ276" s="102"/>
      <c r="AR276" s="102"/>
      <c r="AS276" s="102"/>
      <c r="AT276" s="478"/>
      <c r="AU276" s="477"/>
      <c r="AV276" s="477"/>
    </row>
    <row r="277" spans="1:48" ht="16.3">
      <c r="A277" s="246" t="s">
        <v>1</v>
      </c>
      <c r="B277" s="292">
        <f>SUM(J277+K277+L277+M277+N277+S277+V277+W277+X277+AA277+AI277+AJ277+AI277+AM277+AP277+AQ277+AS277+AT277+AU277+AV277+AN277)+5</f>
        <v>5</v>
      </c>
      <c r="C277" s="288">
        <f>SUM(K277+L277+M277+N277+J277+S277+W277+X277+V277+AA277+AJ277+AI277+AJ277+AN277+AQ277+AP277+AT277+AU277+AV277+AS277+AM277)+13</f>
        <v>13</v>
      </c>
      <c r="D277" s="133"/>
      <c r="E277" s="134"/>
      <c r="F277" s="135"/>
      <c r="G277" s="136"/>
      <c r="H277" s="481"/>
      <c r="I277" s="105"/>
      <c r="J277" s="75"/>
      <c r="K277" s="75"/>
      <c r="L277" s="75"/>
      <c r="M277" s="75"/>
      <c r="N277" s="75"/>
      <c r="O277" s="96"/>
      <c r="P277" s="105"/>
      <c r="Q277" s="96"/>
      <c r="R277" s="96">
        <v>1</v>
      </c>
      <c r="S277" s="75"/>
      <c r="T277" s="141"/>
      <c r="U277" s="141"/>
      <c r="V277" s="75"/>
      <c r="W277" s="100"/>
      <c r="X277" s="100"/>
      <c r="Y277" s="142">
        <v>1</v>
      </c>
      <c r="Z277" s="142"/>
      <c r="AA277" s="100"/>
      <c r="AB277" s="96">
        <v>1</v>
      </c>
      <c r="AC277" s="109">
        <v>1</v>
      </c>
      <c r="AD277" s="108"/>
      <c r="AE277" s="109"/>
      <c r="AF277" s="109">
        <v>1</v>
      </c>
      <c r="AG277" s="108"/>
      <c r="AH277" s="111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50"/>
      <c r="AU277" s="477"/>
      <c r="AV277" s="477"/>
    </row>
    <row r="278" spans="1:48" ht="16.3">
      <c r="A278" s="246" t="s">
        <v>2</v>
      </c>
      <c r="B278" s="292">
        <f>SUM(J278+K278+L278+M278+N278+S278+V278+W278+X278+AA278+AI278+AJ278+AI278+AM278+AP278+AQ278+AS278+AT278+AU278+AV278)+5</f>
        <v>5</v>
      </c>
      <c r="C278" s="288">
        <f>SUM(K278+L278+M278+N278+J278+S278+W278+X278+V278+AA278+AJ278+AI278+AJ278+AN278+AQ278+AP278+AT278+AU278+AV278+AS278+AM278)+29</f>
        <v>29</v>
      </c>
      <c r="D278" s="133"/>
      <c r="E278" s="134"/>
      <c r="F278" s="135"/>
      <c r="G278" s="136"/>
      <c r="H278" s="481"/>
      <c r="I278" s="105"/>
      <c r="J278" s="75"/>
      <c r="K278" s="75"/>
      <c r="L278" s="75"/>
      <c r="M278" s="75"/>
      <c r="N278" s="75"/>
      <c r="O278" s="96"/>
      <c r="P278" s="105"/>
      <c r="Q278" s="96"/>
      <c r="R278" s="96"/>
      <c r="S278" s="75"/>
      <c r="T278" s="141"/>
      <c r="U278" s="141"/>
      <c r="V278" s="75"/>
      <c r="W278" s="100"/>
      <c r="X278" s="100"/>
      <c r="Y278" s="142"/>
      <c r="Z278" s="142"/>
      <c r="AA278" s="100"/>
      <c r="AB278" s="96"/>
      <c r="AC278" s="109"/>
      <c r="AD278" s="108"/>
      <c r="AE278" s="109">
        <v>1</v>
      </c>
      <c r="AF278" s="109"/>
      <c r="AG278" s="108"/>
      <c r="AH278" s="111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50"/>
      <c r="AU278" s="477"/>
      <c r="AV278" s="477"/>
    </row>
    <row r="279" spans="1:48" ht="16.3">
      <c r="A279" s="87" t="s">
        <v>363</v>
      </c>
      <c r="B279" s="289">
        <f>SUM(B277+B278)</f>
        <v>10</v>
      </c>
      <c r="C279" s="132">
        <f>SUM(C277+C278)</f>
        <v>42</v>
      </c>
      <c r="D279" s="133"/>
      <c r="E279" s="134"/>
      <c r="F279" s="135"/>
      <c r="G279" s="136"/>
      <c r="H279" s="481"/>
      <c r="I279" s="105"/>
      <c r="J279" s="75"/>
      <c r="K279" s="75"/>
      <c r="L279" s="75"/>
      <c r="M279" s="75"/>
      <c r="N279" s="75"/>
      <c r="O279" s="96"/>
      <c r="P279" s="105"/>
      <c r="Q279" s="96"/>
      <c r="R279" s="96"/>
      <c r="S279" s="75"/>
      <c r="T279" s="141"/>
      <c r="U279" s="141"/>
      <c r="V279" s="75"/>
      <c r="W279" s="100"/>
      <c r="X279" s="100"/>
      <c r="Y279" s="142"/>
      <c r="Z279" s="142"/>
      <c r="AA279" s="100"/>
      <c r="AB279" s="96"/>
      <c r="AC279" s="109"/>
      <c r="AD279" s="108"/>
      <c r="AE279" s="109"/>
      <c r="AF279" s="109"/>
      <c r="AG279" s="108"/>
      <c r="AH279" s="111"/>
      <c r="AI279" s="100"/>
      <c r="AJ279" s="100"/>
      <c r="AK279" s="100"/>
      <c r="AL279" s="100"/>
      <c r="AM279" s="100"/>
      <c r="AN279" s="100"/>
      <c r="AO279" s="100"/>
      <c r="AP279" s="100"/>
      <c r="AQ279" s="100"/>
      <c r="AR279" s="100"/>
      <c r="AS279" s="100"/>
      <c r="AT279" s="150"/>
      <c r="AU279" s="477"/>
      <c r="AV279" s="477"/>
    </row>
    <row r="280" spans="1:48" ht="16.3">
      <c r="A280" s="246" t="s">
        <v>362</v>
      </c>
      <c r="B280" s="292">
        <f>SUM(J280+K280+L280+M280+N280+S280+V280+W280+X280+AA280+AI280+AJ280+AI280+AM280+AP280+AQ280+AS280+AT280+AU280+AV280)+1</f>
        <v>1</v>
      </c>
      <c r="C280" s="288">
        <f>SUM(K280+L280+M280+N280+J280+S280+W280+X280+V280+AA280+AJ280+AI280+AJ280+AN280+AQ280+AP280+AT280+AU280+AV280+AS280+AM280)+1</f>
        <v>1</v>
      </c>
      <c r="D280" s="133"/>
      <c r="E280" s="134"/>
      <c r="F280" s="135"/>
      <c r="G280" s="136"/>
      <c r="H280" s="481"/>
      <c r="I280" s="105"/>
      <c r="J280" s="75"/>
      <c r="K280" s="75"/>
      <c r="L280" s="75"/>
      <c r="M280" s="75"/>
      <c r="N280" s="75"/>
      <c r="O280" s="96"/>
      <c r="P280" s="105"/>
      <c r="Q280" s="96"/>
      <c r="R280" s="96"/>
      <c r="S280" s="75"/>
      <c r="T280" s="141"/>
      <c r="U280" s="141"/>
      <c r="V280" s="75"/>
      <c r="W280" s="100"/>
      <c r="X280" s="100"/>
      <c r="Y280" s="142"/>
      <c r="Z280" s="142"/>
      <c r="AA280" s="100"/>
      <c r="AB280" s="96"/>
      <c r="AC280" s="109"/>
      <c r="AD280" s="108"/>
      <c r="AE280" s="109"/>
      <c r="AF280" s="109"/>
      <c r="AG280" s="108"/>
      <c r="AH280" s="111"/>
      <c r="AI280" s="100"/>
      <c r="AJ280" s="100"/>
      <c r="AK280" s="100"/>
      <c r="AL280" s="100"/>
      <c r="AM280" s="100"/>
      <c r="AN280" s="100"/>
      <c r="AO280" s="100"/>
      <c r="AP280" s="100"/>
      <c r="AQ280" s="100"/>
      <c r="AR280" s="100"/>
      <c r="AS280" s="100"/>
      <c r="AT280" s="150"/>
      <c r="AU280" s="477"/>
      <c r="AV280" s="477"/>
    </row>
    <row r="281" spans="1:48" ht="16.3">
      <c r="A281" s="87" t="s">
        <v>3</v>
      </c>
      <c r="B281" s="289">
        <f>SUM(J281+K281+L281+M281+N281+S281+V281+W281+X281+AA281+AI281+AJ281+AI281+AM281+AP281+AQ281+AS281+AT281+AU281+AV281)+1</f>
        <v>1</v>
      </c>
      <c r="C281" s="132">
        <f>SUM(K281+L281+M281+N281+J281+S281+W281+X281+V281+AA281+AJ281+AI281+AJ281+AN281+AQ281+AP281+AT281+AU281+AV281+AS281+AM281)+1</f>
        <v>1</v>
      </c>
      <c r="D281" s="133"/>
      <c r="E281" s="134"/>
      <c r="F281" s="135"/>
      <c r="G281" s="136"/>
      <c r="H281" s="481"/>
      <c r="I281" s="105"/>
      <c r="J281" s="75"/>
      <c r="K281" s="75"/>
      <c r="L281" s="75"/>
      <c r="M281" s="75"/>
      <c r="N281" s="75"/>
      <c r="O281" s="96"/>
      <c r="P281" s="105"/>
      <c r="Q281" s="96"/>
      <c r="R281" s="96"/>
      <c r="S281" s="75"/>
      <c r="T281" s="141"/>
      <c r="U281" s="141"/>
      <c r="V281" s="75"/>
      <c r="W281" s="100"/>
      <c r="X281" s="100"/>
      <c r="Y281" s="142"/>
      <c r="Z281" s="142"/>
      <c r="AA281" s="100"/>
      <c r="AB281" s="96"/>
      <c r="AC281" s="109">
        <v>1</v>
      </c>
      <c r="AD281" s="108"/>
      <c r="AE281" s="109"/>
      <c r="AF281" s="109"/>
      <c r="AG281" s="108"/>
      <c r="AH281" s="111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100"/>
      <c r="AT281" s="150"/>
      <c r="AU281" s="477"/>
      <c r="AV281" s="477"/>
    </row>
    <row r="282" spans="1:48" ht="17" thickBot="1">
      <c r="A282" s="88" t="s">
        <v>4</v>
      </c>
      <c r="B282" s="290">
        <f>SUM(J282+K282+L282+M282+N282+S282+V282+W282+X282+AA282+AI282+AJ282+AI282+AM282+AP282+AQ282+AS282+AT282+AU282+AV282)+5</f>
        <v>5</v>
      </c>
      <c r="C282" s="143">
        <f>SUM(K282+L282+M282+N282+J282+S282+W282+X282+V282+AA282+AJ282+AI282+AJ282+AN282+AQ282+AP282+AT282+AU282+AV282+AS282+AM282)+5</f>
        <v>5</v>
      </c>
      <c r="D282" s="144"/>
      <c r="E282" s="145"/>
      <c r="F282" s="146"/>
      <c r="G282" s="147"/>
      <c r="H282" s="482"/>
      <c r="I282" s="127"/>
      <c r="J282" s="112"/>
      <c r="K282" s="112"/>
      <c r="L282" s="112"/>
      <c r="M282" s="112"/>
      <c r="N282" s="112"/>
      <c r="O282" s="114"/>
      <c r="P282" s="127"/>
      <c r="Q282" s="114"/>
      <c r="R282" s="114"/>
      <c r="S282" s="112"/>
      <c r="T282" s="178"/>
      <c r="U282" s="178"/>
      <c r="V282" s="112"/>
      <c r="W282" s="116"/>
      <c r="X282" s="112"/>
      <c r="Y282" s="142"/>
      <c r="Z282" s="142"/>
      <c r="AA282" s="100"/>
      <c r="AB282" s="114"/>
      <c r="AC282" s="109">
        <v>5</v>
      </c>
      <c r="AD282" s="108"/>
      <c r="AE282" s="109"/>
      <c r="AF282" s="109"/>
      <c r="AG282" s="108"/>
      <c r="AH282" s="111"/>
      <c r="AI282" s="100"/>
      <c r="AJ282" s="100"/>
      <c r="AK282" s="100"/>
      <c r="AL282" s="100"/>
      <c r="AM282" s="100"/>
      <c r="AN282" s="100"/>
      <c r="AO282" s="100"/>
      <c r="AP282" s="100"/>
      <c r="AQ282" s="100"/>
      <c r="AR282" s="100"/>
      <c r="AS282" s="100"/>
      <c r="AT282" s="150"/>
      <c r="AU282" s="477"/>
      <c r="AV282" s="477"/>
    </row>
    <row r="283" spans="1:48" ht="21.1">
      <c r="A283" s="82" t="s">
        <v>35</v>
      </c>
      <c r="B283" s="289"/>
      <c r="C283" s="132"/>
      <c r="D283" s="133"/>
      <c r="E283" s="134"/>
      <c r="F283" s="135"/>
      <c r="G283" s="136"/>
      <c r="H283" s="481" t="s">
        <v>375</v>
      </c>
      <c r="I283" s="105"/>
      <c r="J283" s="75"/>
      <c r="K283" s="75"/>
      <c r="L283" s="75"/>
      <c r="M283" s="75"/>
      <c r="N283" s="75"/>
      <c r="O283" s="96" t="s">
        <v>387</v>
      </c>
      <c r="P283" s="105"/>
      <c r="Q283" s="96"/>
      <c r="R283" s="96">
        <v>5</v>
      </c>
      <c r="S283" s="75" t="s">
        <v>375</v>
      </c>
      <c r="T283" s="141"/>
      <c r="U283" s="141" t="s">
        <v>375</v>
      </c>
      <c r="V283" s="75" t="s">
        <v>387</v>
      </c>
      <c r="W283" s="75" t="s">
        <v>387</v>
      </c>
      <c r="X283" s="100"/>
      <c r="Y283" s="138" t="s">
        <v>387</v>
      </c>
      <c r="Z283" s="138"/>
      <c r="AA283" s="102"/>
      <c r="AB283" s="96" t="s">
        <v>375</v>
      </c>
      <c r="AC283" s="99" t="s">
        <v>375</v>
      </c>
      <c r="AD283" s="98"/>
      <c r="AE283" s="99"/>
      <c r="AF283" s="99"/>
      <c r="AG283" s="98"/>
      <c r="AH283" s="103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478"/>
      <c r="AU283" s="477"/>
      <c r="AV283" s="477"/>
    </row>
    <row r="284" spans="1:48" ht="16.3">
      <c r="A284" s="246" t="s">
        <v>1</v>
      </c>
      <c r="B284" s="292">
        <f>SUM(J284+K284+L284+M284+N284+S284+V284+W284+X284+AA284+AI284+AJ284+AI284+AM284+AP284+AQ284+AS284+AT284+AU284+AV284+AN284)+43</f>
        <v>45</v>
      </c>
      <c r="C284" s="288">
        <f>SUM(K284+L284+M284+N284+J284+S284+W284+X284+V284+AA284+AJ284+AI284+AJ284+AN284+AQ284+AP284+AT284+AU284+AV284+AS284+AM284)+71</f>
        <v>73</v>
      </c>
      <c r="D284" s="133"/>
      <c r="E284" s="134"/>
      <c r="F284" s="135"/>
      <c r="G284" s="136"/>
      <c r="H284" s="481"/>
      <c r="I284" s="105"/>
      <c r="J284" s="75"/>
      <c r="K284" s="75"/>
      <c r="L284" s="75"/>
      <c r="M284" s="75"/>
      <c r="N284" s="75"/>
      <c r="O284" s="96">
        <v>1</v>
      </c>
      <c r="P284" s="105"/>
      <c r="Q284" s="96"/>
      <c r="R284" s="96">
        <v>1</v>
      </c>
      <c r="S284" s="75"/>
      <c r="T284" s="141"/>
      <c r="U284" s="141"/>
      <c r="V284" s="75">
        <v>1</v>
      </c>
      <c r="W284" s="100">
        <v>1</v>
      </c>
      <c r="X284" s="100"/>
      <c r="Y284" s="142">
        <v>1</v>
      </c>
      <c r="Z284" s="142"/>
      <c r="AA284" s="100"/>
      <c r="AB284" s="96"/>
      <c r="AC284" s="109"/>
      <c r="AD284" s="108"/>
      <c r="AE284" s="109"/>
      <c r="AF284" s="109"/>
      <c r="AG284" s="108"/>
      <c r="AH284" s="111"/>
      <c r="AI284" s="100"/>
      <c r="AJ284" s="100"/>
      <c r="AK284" s="100"/>
      <c r="AL284" s="100"/>
      <c r="AM284" s="100"/>
      <c r="AN284" s="100"/>
      <c r="AO284" s="100"/>
      <c r="AP284" s="100"/>
      <c r="AQ284" s="100"/>
      <c r="AR284" s="100"/>
      <c r="AS284" s="100"/>
      <c r="AT284" s="150"/>
      <c r="AU284" s="477"/>
      <c r="AV284" s="477"/>
    </row>
    <row r="285" spans="1:48" ht="16.3">
      <c r="A285" s="246" t="s">
        <v>2</v>
      </c>
      <c r="B285" s="292">
        <f>SUM(J285+K285+L285+M285+N285+S285+V285+W285+X285+AA285+AI285+AJ285+AI285+AM285+AP285+AQ285+AS285+AT285+AU285+AV285)+4</f>
        <v>5</v>
      </c>
      <c r="C285" s="288">
        <f>SUM(K285+L285+M285+N285+J285+S285+W285+X285+V285+AA285+AJ285+AI285+AJ285+AN285+AQ285+AP285+AT285+AU285+AV285+AS285+AM285)+35</f>
        <v>36</v>
      </c>
      <c r="D285" s="133"/>
      <c r="E285" s="134"/>
      <c r="F285" s="135"/>
      <c r="G285" s="136"/>
      <c r="H285" s="481">
        <v>1</v>
      </c>
      <c r="I285" s="105"/>
      <c r="J285" s="75"/>
      <c r="K285" s="75"/>
      <c r="L285" s="75"/>
      <c r="M285" s="75"/>
      <c r="N285" s="75"/>
      <c r="O285" s="96"/>
      <c r="P285" s="105"/>
      <c r="Q285" s="96"/>
      <c r="R285" s="96"/>
      <c r="S285" s="75">
        <v>1</v>
      </c>
      <c r="T285" s="141"/>
      <c r="U285" s="141">
        <v>1</v>
      </c>
      <c r="V285" s="75"/>
      <c r="W285" s="100"/>
      <c r="X285" s="100"/>
      <c r="Y285" s="142"/>
      <c r="Z285" s="142"/>
      <c r="AA285" s="100"/>
      <c r="AB285" s="96">
        <v>1</v>
      </c>
      <c r="AC285" s="109">
        <v>1</v>
      </c>
      <c r="AD285" s="108"/>
      <c r="AE285" s="109"/>
      <c r="AF285" s="109"/>
      <c r="AG285" s="108"/>
      <c r="AH285" s="111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100"/>
      <c r="AT285" s="150"/>
      <c r="AU285" s="477"/>
      <c r="AV285" s="477"/>
    </row>
    <row r="286" spans="1:48" ht="16.3">
      <c r="A286" s="87" t="s">
        <v>363</v>
      </c>
      <c r="B286" s="289">
        <f>SUM(B284+B285)</f>
        <v>50</v>
      </c>
      <c r="C286" s="132">
        <f>SUM(C284+C285)</f>
        <v>109</v>
      </c>
      <c r="D286" s="133"/>
      <c r="E286" s="134"/>
      <c r="F286" s="135"/>
      <c r="G286" s="136"/>
      <c r="H286" s="481"/>
      <c r="I286" s="105"/>
      <c r="J286" s="75"/>
      <c r="K286" s="75"/>
      <c r="L286" s="75"/>
      <c r="M286" s="75"/>
      <c r="N286" s="75"/>
      <c r="O286" s="96"/>
      <c r="P286" s="105"/>
      <c r="Q286" s="96"/>
      <c r="R286" s="96"/>
      <c r="S286" s="75"/>
      <c r="T286" s="141"/>
      <c r="U286" s="141"/>
      <c r="V286" s="75"/>
      <c r="W286" s="100"/>
      <c r="X286" s="100"/>
      <c r="Y286" s="142"/>
      <c r="Z286" s="142"/>
      <c r="AA286" s="100"/>
      <c r="AB286" s="96"/>
      <c r="AC286" s="109"/>
      <c r="AD286" s="108"/>
      <c r="AE286" s="109"/>
      <c r="AF286" s="109"/>
      <c r="AG286" s="108"/>
      <c r="AH286" s="111"/>
      <c r="AI286" s="100"/>
      <c r="AJ286" s="100"/>
      <c r="AK286" s="100"/>
      <c r="AL286" s="100"/>
      <c r="AM286" s="100"/>
      <c r="AN286" s="100"/>
      <c r="AO286" s="100"/>
      <c r="AP286" s="100"/>
      <c r="AQ286" s="100"/>
      <c r="AR286" s="100"/>
      <c r="AS286" s="100"/>
      <c r="AT286" s="150"/>
      <c r="AU286" s="477"/>
      <c r="AV286" s="477"/>
    </row>
    <row r="287" spans="1:48" ht="16.3">
      <c r="A287" s="246" t="s">
        <v>362</v>
      </c>
      <c r="B287" s="292">
        <f>SUM(J287+K287+L287+M287+N287+S287+V287+W287+X287+AA287+AI287+AJ287+AI287+AM287+AP287+AQ287+AS287+AT287+AU287+AV287)+1</f>
        <v>1</v>
      </c>
      <c r="C287" s="288">
        <f>SUM(K287+L287+M287+N287+J287+S287+W287+X287+V287+AA287+AJ287+AI287+AJ287+AN287+AQ287+AP287+AT287+AU287+AV287+AS287+AM287)+1</f>
        <v>1</v>
      </c>
      <c r="D287" s="133"/>
      <c r="E287" s="134"/>
      <c r="F287" s="135"/>
      <c r="G287" s="136"/>
      <c r="H287" s="481"/>
      <c r="I287" s="105"/>
      <c r="J287" s="75"/>
      <c r="K287" s="75"/>
      <c r="L287" s="75"/>
      <c r="M287" s="75"/>
      <c r="N287" s="75"/>
      <c r="O287" s="96"/>
      <c r="P287" s="105"/>
      <c r="Q287" s="96"/>
      <c r="R287" s="96"/>
      <c r="S287" s="75"/>
      <c r="T287" s="141"/>
      <c r="U287" s="141"/>
      <c r="V287" s="75"/>
      <c r="W287" s="100"/>
      <c r="X287" s="100"/>
      <c r="Y287" s="142"/>
      <c r="Z287" s="142"/>
      <c r="AA287" s="100"/>
      <c r="AB287" s="96"/>
      <c r="AC287" s="109"/>
      <c r="AD287" s="108"/>
      <c r="AE287" s="109"/>
      <c r="AF287" s="109"/>
      <c r="AG287" s="108"/>
      <c r="AH287" s="111"/>
      <c r="AI287" s="100"/>
      <c r="AJ287" s="100"/>
      <c r="AK287" s="100"/>
      <c r="AL287" s="100"/>
      <c r="AM287" s="100"/>
      <c r="AN287" s="100"/>
      <c r="AO287" s="100"/>
      <c r="AP287" s="100"/>
      <c r="AQ287" s="100"/>
      <c r="AR287" s="100"/>
      <c r="AS287" s="100"/>
      <c r="AT287" s="150"/>
      <c r="AU287" s="477"/>
      <c r="AV287" s="477"/>
    </row>
    <row r="288" spans="1:48" ht="16.3">
      <c r="A288" s="87" t="s">
        <v>3</v>
      </c>
      <c r="B288" s="289">
        <f>SUM(J288+K288+L288+M288+N288+S288+V288+W288+X288+AA288+AI288+AJ288+AI288+AM288+AP288+AQ288+AS288+AT288+AU288+AV288)+1</f>
        <v>1</v>
      </c>
      <c r="C288" s="132">
        <f>SUM(K288+L288+M288+N288+J288+S288+W288+X288+V288+AA288+AJ288+AI288+AJ288+AN288+AQ288+AP288+AT288+AU288+AV288+AS288+AM288)+1</f>
        <v>1</v>
      </c>
      <c r="D288" s="133"/>
      <c r="E288" s="134"/>
      <c r="F288" s="135"/>
      <c r="G288" s="136"/>
      <c r="H288" s="481"/>
      <c r="I288" s="105"/>
      <c r="J288" s="75"/>
      <c r="K288" s="75"/>
      <c r="L288" s="75"/>
      <c r="M288" s="75"/>
      <c r="N288" s="75"/>
      <c r="O288" s="96"/>
      <c r="P288" s="105"/>
      <c r="Q288" s="96"/>
      <c r="R288" s="96"/>
      <c r="S288" s="75"/>
      <c r="T288" s="141"/>
      <c r="U288" s="141"/>
      <c r="V288" s="75"/>
      <c r="W288" s="100"/>
      <c r="X288" s="100"/>
      <c r="Y288" s="142"/>
      <c r="Z288" s="142"/>
      <c r="AA288" s="100"/>
      <c r="AB288" s="96"/>
      <c r="AC288" s="109"/>
      <c r="AD288" s="108"/>
      <c r="AE288" s="109"/>
      <c r="AF288" s="109"/>
      <c r="AG288" s="108"/>
      <c r="AH288" s="111"/>
      <c r="AI288" s="100"/>
      <c r="AJ288" s="100"/>
      <c r="AK288" s="100"/>
      <c r="AL288" s="100"/>
      <c r="AM288" s="100"/>
      <c r="AN288" s="100"/>
      <c r="AO288" s="100"/>
      <c r="AP288" s="100"/>
      <c r="AQ288" s="100"/>
      <c r="AR288" s="100"/>
      <c r="AS288" s="100"/>
      <c r="AT288" s="150"/>
      <c r="AU288" s="477"/>
      <c r="AV288" s="477"/>
    </row>
    <row r="289" spans="1:48" ht="17" thickBot="1">
      <c r="A289" s="88" t="s">
        <v>4</v>
      </c>
      <c r="B289" s="290">
        <f>SUM(J289+K289+L289+M289+N289+S289+V289+W289+X289+AA289+AI289+AJ289+AI289+AM289+AP289+AQ289+AS289+AT289+AU289+AV289)+5</f>
        <v>5</v>
      </c>
      <c r="C289" s="143">
        <f>SUM(K289+L289+M289+N289+J289+S289+W289+X289+V289+AA289+AJ289+AI289+AJ289+AN289+AQ289+AP289+AT289+AU289+AV289+AS289+AM289)+5</f>
        <v>5</v>
      </c>
      <c r="D289" s="144"/>
      <c r="E289" s="145"/>
      <c r="F289" s="146"/>
      <c r="G289" s="147"/>
      <c r="H289" s="482"/>
      <c r="I289" s="127"/>
      <c r="J289" s="112"/>
      <c r="K289" s="112"/>
      <c r="L289" s="112"/>
      <c r="M289" s="112"/>
      <c r="N289" s="112"/>
      <c r="O289" s="114"/>
      <c r="P289" s="127"/>
      <c r="Q289" s="114"/>
      <c r="R289" s="114"/>
      <c r="S289" s="112"/>
      <c r="T289" s="178"/>
      <c r="U289" s="178"/>
      <c r="V289" s="112"/>
      <c r="W289" s="116"/>
      <c r="X289" s="112"/>
      <c r="Y289" s="149"/>
      <c r="Z289" s="149"/>
      <c r="AA289" s="116"/>
      <c r="AB289" s="114"/>
      <c r="AC289" s="118"/>
      <c r="AD289" s="117"/>
      <c r="AE289" s="118"/>
      <c r="AF289" s="118"/>
      <c r="AG289" s="117"/>
      <c r="AH289" s="121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76"/>
      <c r="AU289" s="477"/>
      <c r="AV289" s="477"/>
    </row>
    <row r="290" spans="1:48" ht="21.1">
      <c r="A290" s="82" t="s">
        <v>67</v>
      </c>
      <c r="B290" s="289"/>
      <c r="C290" s="132"/>
      <c r="D290" s="133"/>
      <c r="E290" s="134"/>
      <c r="F290" s="135"/>
      <c r="G290" s="136"/>
      <c r="H290" s="481" t="s">
        <v>339</v>
      </c>
      <c r="I290" s="105"/>
      <c r="J290" s="75" t="s">
        <v>432</v>
      </c>
      <c r="K290" s="75">
        <v>5</v>
      </c>
      <c r="L290" s="75" t="s">
        <v>387</v>
      </c>
      <c r="M290" s="75" t="s">
        <v>387</v>
      </c>
      <c r="N290" s="75" t="s">
        <v>387</v>
      </c>
      <c r="O290" s="96"/>
      <c r="P290" s="105"/>
      <c r="Q290" s="96"/>
      <c r="R290" s="96"/>
      <c r="S290" s="75"/>
      <c r="T290" s="141"/>
      <c r="U290" s="141"/>
      <c r="V290" s="75" t="s">
        <v>339</v>
      </c>
      <c r="W290" s="100" t="s">
        <v>339</v>
      </c>
      <c r="X290" s="100" t="s">
        <v>339</v>
      </c>
      <c r="Y290" s="142" t="s">
        <v>339</v>
      </c>
      <c r="Z290" s="142" t="s">
        <v>339</v>
      </c>
      <c r="AA290" s="100" t="s">
        <v>339</v>
      </c>
      <c r="AB290" s="96" t="s">
        <v>339</v>
      </c>
      <c r="AC290" s="109" t="s">
        <v>339</v>
      </c>
      <c r="AD290" s="108"/>
      <c r="AE290" s="109"/>
      <c r="AF290" s="109"/>
      <c r="AG290" s="108"/>
      <c r="AH290" s="111"/>
      <c r="AI290" s="100"/>
      <c r="AJ290" s="100"/>
      <c r="AK290" s="100"/>
      <c r="AL290" s="100"/>
      <c r="AM290" s="100"/>
      <c r="AN290" s="100"/>
      <c r="AO290" s="100"/>
      <c r="AP290" s="100"/>
      <c r="AQ290" s="100"/>
      <c r="AR290" s="100"/>
      <c r="AS290" s="100"/>
      <c r="AT290" s="150"/>
      <c r="AU290" s="477"/>
      <c r="AV290" s="477"/>
    </row>
    <row r="291" spans="1:48" ht="16.3">
      <c r="A291" s="246" t="s">
        <v>1</v>
      </c>
      <c r="B291" s="292">
        <f>SUM(J291+K291+L291+M291+N291+S291+V291+W291+X291+AA291+AI291+AJ291+AI291+AM291+AP291+AQ291+AS291+AT291+AU291+AV291+AN291)</f>
        <v>4</v>
      </c>
      <c r="C291" s="288">
        <f>SUM(K291+L291+M291+N291+J291+S291+W291+X291+V291+AA291+AJ291+AI291+AJ291+AN291+AQ291+AP291+AT291+AU291+AV291+AS291+AM291)+81</f>
        <v>85</v>
      </c>
      <c r="D291" s="133"/>
      <c r="E291" s="134"/>
      <c r="F291" s="135"/>
      <c r="G291" s="136"/>
      <c r="H291" s="481"/>
      <c r="I291" s="105"/>
      <c r="J291" s="75"/>
      <c r="K291" s="75">
        <v>1</v>
      </c>
      <c r="L291" s="75">
        <v>1</v>
      </c>
      <c r="M291" s="75">
        <v>1</v>
      </c>
      <c r="N291" s="75">
        <v>1</v>
      </c>
      <c r="O291" s="96"/>
      <c r="P291" s="105"/>
      <c r="Q291" s="96"/>
      <c r="R291" s="96"/>
      <c r="S291" s="75"/>
      <c r="T291" s="141"/>
      <c r="U291" s="141"/>
      <c r="V291" s="75"/>
      <c r="W291" s="100"/>
      <c r="X291" s="100"/>
      <c r="Y291" s="142"/>
      <c r="Z291" s="142"/>
      <c r="AA291" s="100"/>
      <c r="AB291" s="96"/>
      <c r="AC291" s="109"/>
      <c r="AD291" s="108"/>
      <c r="AE291" s="109"/>
      <c r="AF291" s="109"/>
      <c r="AG291" s="108"/>
      <c r="AH291" s="111"/>
      <c r="AI291" s="100"/>
      <c r="AJ291" s="100"/>
      <c r="AK291" s="100"/>
      <c r="AL291" s="100"/>
      <c r="AM291" s="100"/>
      <c r="AN291" s="100"/>
      <c r="AO291" s="100"/>
      <c r="AP291" s="100"/>
      <c r="AQ291" s="100"/>
      <c r="AR291" s="100"/>
      <c r="AS291" s="100"/>
      <c r="AT291" s="150"/>
      <c r="AU291" s="477"/>
      <c r="AV291" s="477"/>
    </row>
    <row r="292" spans="1:48" ht="16.3">
      <c r="A292" s="246" t="s">
        <v>2</v>
      </c>
      <c r="B292" s="292">
        <f>SUM(J292+K292+L292+M292+N292+S292+V292+W292+X292+AA292+AI292+AJ292+AI292+AM292+AP292+AQ292+AS292+AT292+AU292+AV292)</f>
        <v>1</v>
      </c>
      <c r="C292" s="288">
        <f>SUM(K292+L292+M292+N292+J292+S292+W292+X292+V292+AA292+AJ292+AI292+AJ292+AN292+AQ292+AP292+AT292+AU292+AV292+AS292+AM292)+49</f>
        <v>50</v>
      </c>
      <c r="D292" s="133"/>
      <c r="E292" s="134"/>
      <c r="F292" s="135"/>
      <c r="G292" s="136"/>
      <c r="H292" s="481"/>
      <c r="I292" s="105"/>
      <c r="J292" s="75">
        <v>1</v>
      </c>
      <c r="K292" s="75"/>
      <c r="L292" s="75"/>
      <c r="M292" s="75"/>
      <c r="N292" s="75"/>
      <c r="O292" s="96"/>
      <c r="P292" s="105"/>
      <c r="Q292" s="96"/>
      <c r="R292" s="96"/>
      <c r="S292" s="75"/>
      <c r="T292" s="141"/>
      <c r="U292" s="141"/>
      <c r="V292" s="75"/>
      <c r="W292" s="100"/>
      <c r="X292" s="100"/>
      <c r="Y292" s="142"/>
      <c r="Z292" s="142"/>
      <c r="AA292" s="100"/>
      <c r="AB292" s="96"/>
      <c r="AC292" s="109"/>
      <c r="AD292" s="108"/>
      <c r="AE292" s="109"/>
      <c r="AF292" s="109"/>
      <c r="AG292" s="108"/>
      <c r="AH292" s="111"/>
      <c r="AI292" s="100"/>
      <c r="AJ292" s="100"/>
      <c r="AK292" s="100"/>
      <c r="AL292" s="100"/>
      <c r="AM292" s="100"/>
      <c r="AN292" s="100"/>
      <c r="AO292" s="100"/>
      <c r="AP292" s="100"/>
      <c r="AQ292" s="100"/>
      <c r="AR292" s="100"/>
      <c r="AS292" s="100"/>
      <c r="AT292" s="150"/>
      <c r="AU292" s="477"/>
      <c r="AV292" s="477"/>
    </row>
    <row r="293" spans="1:48" ht="16.3">
      <c r="A293" s="87" t="s">
        <v>363</v>
      </c>
      <c r="B293" s="289">
        <f>SUM(B291+B292)</f>
        <v>5</v>
      </c>
      <c r="C293" s="132">
        <f>SUM(C291+C292)</f>
        <v>135</v>
      </c>
      <c r="D293" s="133"/>
      <c r="E293" s="134"/>
      <c r="F293" s="135"/>
      <c r="G293" s="136"/>
      <c r="H293" s="481"/>
      <c r="I293" s="105"/>
      <c r="J293" s="75"/>
      <c r="K293" s="75"/>
      <c r="L293" s="75"/>
      <c r="M293" s="75"/>
      <c r="N293" s="75"/>
      <c r="O293" s="96"/>
      <c r="P293" s="105"/>
      <c r="Q293" s="96"/>
      <c r="R293" s="96"/>
      <c r="S293" s="75"/>
      <c r="T293" s="141"/>
      <c r="U293" s="141"/>
      <c r="V293" s="75"/>
      <c r="W293" s="100"/>
      <c r="X293" s="100"/>
      <c r="Y293" s="142"/>
      <c r="Z293" s="142"/>
      <c r="AA293" s="100"/>
      <c r="AB293" s="96"/>
      <c r="AC293" s="109"/>
      <c r="AD293" s="108"/>
      <c r="AE293" s="109"/>
      <c r="AF293" s="109"/>
      <c r="AG293" s="108"/>
      <c r="AH293" s="111"/>
      <c r="AI293" s="100"/>
      <c r="AJ293" s="100"/>
      <c r="AK293" s="100"/>
      <c r="AL293" s="100"/>
      <c r="AM293" s="100"/>
      <c r="AN293" s="100"/>
      <c r="AO293" s="100"/>
      <c r="AP293" s="100"/>
      <c r="AQ293" s="100"/>
      <c r="AR293" s="100"/>
      <c r="AS293" s="100"/>
      <c r="AT293" s="150"/>
      <c r="AU293" s="477"/>
      <c r="AV293" s="477"/>
    </row>
    <row r="294" spans="1:48" ht="16.3">
      <c r="A294" s="246" t="s">
        <v>362</v>
      </c>
      <c r="B294" s="292">
        <f>SUM(J294+K294+L294+M294+N294+S294+V294+W294+X294+AA294+AI294+AJ294+AI294+AM294+AP294+AQ294+AS294+AT294+AU294+AV294)</f>
        <v>0</v>
      </c>
      <c r="C294" s="288">
        <f>SUM(K294+L294+M294+N294+J294+S294+W294+X294+V294+AA294+AJ294+AI294+AJ294+AN294+AQ294+AP294+AT294+AU294+AV294+AS294+AM294)+3</f>
        <v>3</v>
      </c>
      <c r="D294" s="133"/>
      <c r="E294" s="134"/>
      <c r="F294" s="135"/>
      <c r="G294" s="136"/>
      <c r="H294" s="481"/>
      <c r="I294" s="105"/>
      <c r="J294" s="75"/>
      <c r="K294" s="75"/>
      <c r="L294" s="75"/>
      <c r="M294" s="75"/>
      <c r="N294" s="75"/>
      <c r="O294" s="96"/>
      <c r="P294" s="105"/>
      <c r="Q294" s="96"/>
      <c r="R294" s="96"/>
      <c r="S294" s="75"/>
      <c r="T294" s="141"/>
      <c r="U294" s="141"/>
      <c r="V294" s="75"/>
      <c r="W294" s="100"/>
      <c r="X294" s="100"/>
      <c r="Y294" s="142"/>
      <c r="Z294" s="142"/>
      <c r="AA294" s="100"/>
      <c r="AB294" s="96"/>
      <c r="AC294" s="109"/>
      <c r="AD294" s="108"/>
      <c r="AE294" s="109"/>
      <c r="AF294" s="109"/>
      <c r="AG294" s="108"/>
      <c r="AH294" s="111"/>
      <c r="AI294" s="100"/>
      <c r="AJ294" s="100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50"/>
      <c r="AU294" s="477"/>
      <c r="AV294" s="477"/>
    </row>
    <row r="295" spans="1:48" ht="16.3">
      <c r="A295" s="87" t="s">
        <v>3</v>
      </c>
      <c r="B295" s="289">
        <f>SUM(J295+K295+L295+M295+N295+S295+V295+W295+X295+AA295+AI295+AJ295+AI295+AM295+AP295+AQ295+AS295+AT295+AU295+AV295)</f>
        <v>1</v>
      </c>
      <c r="C295" s="132">
        <f>SUM(K295+L295+M295+N295+J295+S295+W295+X295+V295+AA295+AJ295+AI295+AJ295+AN295+AQ295+AP295+AT295+AU295+AV295+AS295+AM295)+13</f>
        <v>14</v>
      </c>
      <c r="D295" s="133"/>
      <c r="E295" s="134"/>
      <c r="F295" s="135"/>
      <c r="G295" s="136"/>
      <c r="H295" s="481"/>
      <c r="I295" s="105"/>
      <c r="J295" s="75">
        <v>1</v>
      </c>
      <c r="K295" s="75"/>
      <c r="L295" s="75"/>
      <c r="M295" s="75"/>
      <c r="N295" s="75"/>
      <c r="O295" s="96"/>
      <c r="P295" s="105"/>
      <c r="Q295" s="96"/>
      <c r="R295" s="96"/>
      <c r="S295" s="75"/>
      <c r="T295" s="141"/>
      <c r="U295" s="141"/>
      <c r="V295" s="75"/>
      <c r="W295" s="100"/>
      <c r="X295" s="100"/>
      <c r="Y295" s="142"/>
      <c r="Z295" s="142"/>
      <c r="AA295" s="100"/>
      <c r="AB295" s="96"/>
      <c r="AC295" s="109"/>
      <c r="AD295" s="108"/>
      <c r="AE295" s="109"/>
      <c r="AF295" s="109"/>
      <c r="AG295" s="108"/>
      <c r="AH295" s="111"/>
      <c r="AI295" s="100"/>
      <c r="AJ295" s="100"/>
      <c r="AK295" s="100"/>
      <c r="AL295" s="100"/>
      <c r="AM295" s="100"/>
      <c r="AN295" s="100"/>
      <c r="AO295" s="100"/>
      <c r="AP295" s="100"/>
      <c r="AQ295" s="100"/>
      <c r="AR295" s="100"/>
      <c r="AS295" s="100"/>
      <c r="AT295" s="150"/>
      <c r="AU295" s="477"/>
      <c r="AV295" s="477"/>
    </row>
    <row r="296" spans="1:48" ht="17" thickBot="1">
      <c r="A296" s="88" t="s">
        <v>4</v>
      </c>
      <c r="B296" s="290">
        <f>SUM(J296+K296+L296+M296+N296+S296+V296+W296+X296+AA296+AI296+AJ296+AI296+AM296+AP296+AQ296+AS296+AT296+AU296+AV296)</f>
        <v>5</v>
      </c>
      <c r="C296" s="143">
        <f>SUM(K296+L296+M296+N296+J296+S296+W296+X296+V296+AA296+AJ296+AI296+AJ296+AN296+AQ296+AP296+AT296+AU296+AV296+AS296+AM296)+65</f>
        <v>70</v>
      </c>
      <c r="D296" s="144"/>
      <c r="E296" s="145"/>
      <c r="F296" s="146"/>
      <c r="G296" s="147"/>
      <c r="H296" s="482"/>
      <c r="I296" s="127"/>
      <c r="J296" s="112">
        <v>5</v>
      </c>
      <c r="K296" s="112"/>
      <c r="L296" s="112"/>
      <c r="M296" s="112"/>
      <c r="N296" s="112"/>
      <c r="O296" s="114"/>
      <c r="P296" s="127"/>
      <c r="Q296" s="114"/>
      <c r="R296" s="114"/>
      <c r="S296" s="112"/>
      <c r="T296" s="178"/>
      <c r="U296" s="178"/>
      <c r="V296" s="112"/>
      <c r="W296" s="116"/>
      <c r="X296" s="116"/>
      <c r="Y296" s="149"/>
      <c r="Z296" s="142"/>
      <c r="AA296" s="100"/>
      <c r="AB296" s="114"/>
      <c r="AC296" s="109"/>
      <c r="AD296" s="108"/>
      <c r="AE296" s="109"/>
      <c r="AF296" s="109"/>
      <c r="AG296" s="108"/>
      <c r="AH296" s="111"/>
      <c r="AI296" s="100"/>
      <c r="AJ296" s="100"/>
      <c r="AK296" s="100"/>
      <c r="AL296" s="100"/>
      <c r="AM296" s="100"/>
      <c r="AN296" s="100"/>
      <c r="AO296" s="100"/>
      <c r="AP296" s="100"/>
      <c r="AQ296" s="100"/>
      <c r="AR296" s="100"/>
      <c r="AS296" s="100"/>
      <c r="AT296" s="150"/>
      <c r="AU296" s="477"/>
      <c r="AV296" s="477"/>
    </row>
    <row r="297" spans="1:48" ht="21.1">
      <c r="A297" s="82" t="s">
        <v>114</v>
      </c>
      <c r="B297" s="289"/>
      <c r="C297" s="132"/>
      <c r="D297" s="133"/>
      <c r="E297" s="134"/>
      <c r="F297" s="135"/>
      <c r="G297" s="136"/>
      <c r="H297" s="481"/>
      <c r="I297" s="105"/>
      <c r="J297" s="75"/>
      <c r="K297" s="75"/>
      <c r="L297" s="75"/>
      <c r="M297" s="75"/>
      <c r="N297" s="75"/>
      <c r="O297" s="96"/>
      <c r="P297" s="105"/>
      <c r="Q297" s="96"/>
      <c r="R297" s="96"/>
      <c r="S297" s="75"/>
      <c r="T297" s="141"/>
      <c r="U297" s="141"/>
      <c r="V297" s="75" t="s">
        <v>339</v>
      </c>
      <c r="W297" s="100" t="s">
        <v>339</v>
      </c>
      <c r="X297" s="100" t="s">
        <v>339</v>
      </c>
      <c r="Y297" s="142" t="s">
        <v>339</v>
      </c>
      <c r="Z297" s="138" t="s">
        <v>339</v>
      </c>
      <c r="AA297" s="102" t="s">
        <v>339</v>
      </c>
      <c r="AB297" s="96" t="s">
        <v>339</v>
      </c>
      <c r="AC297" s="99" t="s">
        <v>339</v>
      </c>
      <c r="AD297" s="98"/>
      <c r="AE297" s="99" t="s">
        <v>339</v>
      </c>
      <c r="AF297" s="99" t="s">
        <v>375</v>
      </c>
      <c r="AG297" s="98"/>
      <c r="AH297" s="103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478"/>
      <c r="AU297" s="477"/>
      <c r="AV297" s="477"/>
    </row>
    <row r="298" spans="1:48" ht="16.3">
      <c r="A298" s="246" t="s">
        <v>1</v>
      </c>
      <c r="B298" s="292">
        <f>SUM(J298+K298+L298+M298+N298+S298+V298+W298+X298+AA298+AI298+AJ298+AI298+AM298+AP298+AQ298+AS298+AT298+AU298+AV298+AN298)+18</f>
        <v>18</v>
      </c>
      <c r="C298" s="288">
        <f>SUM(K298+L298+M298+N298+J298+S298+W298+X298+V298+AA298+AJ298+AI298+AJ298+AN298+AQ298+AP298+AT298+AU298+AV298+AS298+AM298)+23</f>
        <v>23</v>
      </c>
      <c r="D298" s="133"/>
      <c r="E298" s="134"/>
      <c r="F298" s="135"/>
      <c r="G298" s="136"/>
      <c r="H298" s="481"/>
      <c r="I298" s="105"/>
      <c r="J298" s="75"/>
      <c r="K298" s="75"/>
      <c r="L298" s="75"/>
      <c r="M298" s="75"/>
      <c r="N298" s="75"/>
      <c r="O298" s="96"/>
      <c r="P298" s="105"/>
      <c r="Q298" s="96"/>
      <c r="R298" s="96"/>
      <c r="S298" s="75"/>
      <c r="T298" s="141"/>
      <c r="U298" s="141"/>
      <c r="V298" s="75"/>
      <c r="W298" s="100"/>
      <c r="X298" s="100"/>
      <c r="Y298" s="142"/>
      <c r="Z298" s="142"/>
      <c r="AA298" s="100"/>
      <c r="AB298" s="96"/>
      <c r="AC298" s="109"/>
      <c r="AD298" s="108"/>
      <c r="AE298" s="109"/>
      <c r="AF298" s="109"/>
      <c r="AG298" s="108"/>
      <c r="AH298" s="111"/>
      <c r="AI298" s="100"/>
      <c r="AJ298" s="100"/>
      <c r="AK298" s="100"/>
      <c r="AL298" s="100"/>
      <c r="AM298" s="100"/>
      <c r="AN298" s="100"/>
      <c r="AO298" s="100"/>
      <c r="AP298" s="100"/>
      <c r="AQ298" s="100"/>
      <c r="AR298" s="100"/>
      <c r="AS298" s="100"/>
      <c r="AT298" s="150"/>
      <c r="AU298" s="477"/>
      <c r="AV298" s="477"/>
    </row>
    <row r="299" spans="1:48" ht="16.3">
      <c r="A299" s="246" t="s">
        <v>2</v>
      </c>
      <c r="B299" s="292">
        <f>SUM(J299+K299+L299+M299+N299+S299+V299+W299+X299+AA299+AI299+AJ299+AI299+AM299+AP299+AQ299+AS299+AT299+AU299+AV299)+6</f>
        <v>6</v>
      </c>
      <c r="C299" s="288">
        <f>SUM(K299+L299+M299+N299+J299+S299+W299+X299+V299+AA299+AJ299+AI299+AJ299+AN299+AQ299+AP299+AT299+AU299+AV299+AS299+AM299)+21</f>
        <v>21</v>
      </c>
      <c r="D299" s="133"/>
      <c r="E299" s="134"/>
      <c r="F299" s="135"/>
      <c r="G299" s="136"/>
      <c r="H299" s="481"/>
      <c r="I299" s="105"/>
      <c r="J299" s="75"/>
      <c r="K299" s="75"/>
      <c r="L299" s="75"/>
      <c r="M299" s="75"/>
      <c r="N299" s="75"/>
      <c r="O299" s="96"/>
      <c r="P299" s="105"/>
      <c r="Q299" s="96"/>
      <c r="R299" s="96"/>
      <c r="S299" s="75"/>
      <c r="T299" s="141"/>
      <c r="U299" s="141"/>
      <c r="V299" s="75"/>
      <c r="W299" s="100"/>
      <c r="X299" s="100"/>
      <c r="Y299" s="142"/>
      <c r="Z299" s="142"/>
      <c r="AA299" s="100"/>
      <c r="AB299" s="96"/>
      <c r="AC299" s="109"/>
      <c r="AD299" s="108"/>
      <c r="AE299" s="109"/>
      <c r="AF299" s="109">
        <v>1</v>
      </c>
      <c r="AG299" s="108"/>
      <c r="AH299" s="111"/>
      <c r="AI299" s="100"/>
      <c r="AJ299" s="100"/>
      <c r="AK299" s="100"/>
      <c r="AL299" s="100"/>
      <c r="AM299" s="100"/>
      <c r="AN299" s="100"/>
      <c r="AO299" s="100"/>
      <c r="AP299" s="100"/>
      <c r="AQ299" s="100"/>
      <c r="AR299" s="100"/>
      <c r="AS299" s="100"/>
      <c r="AT299" s="150"/>
      <c r="AU299" s="477"/>
      <c r="AV299" s="477"/>
    </row>
    <row r="300" spans="1:48" ht="16.3">
      <c r="A300" s="87" t="s">
        <v>363</v>
      </c>
      <c r="B300" s="289">
        <f>SUM(B298+B299)</f>
        <v>24</v>
      </c>
      <c r="C300" s="132">
        <f>SUM(C298+C299)</f>
        <v>44</v>
      </c>
      <c r="D300" s="133"/>
      <c r="E300" s="134"/>
      <c r="F300" s="135"/>
      <c r="G300" s="136"/>
      <c r="H300" s="481"/>
      <c r="I300" s="105"/>
      <c r="J300" s="75"/>
      <c r="K300" s="75"/>
      <c r="L300" s="75"/>
      <c r="M300" s="75"/>
      <c r="N300" s="75"/>
      <c r="O300" s="96"/>
      <c r="P300" s="105"/>
      <c r="Q300" s="96"/>
      <c r="R300" s="96"/>
      <c r="S300" s="75"/>
      <c r="T300" s="141"/>
      <c r="U300" s="141"/>
      <c r="V300" s="75"/>
      <c r="W300" s="100"/>
      <c r="X300" s="100"/>
      <c r="Y300" s="142"/>
      <c r="Z300" s="142"/>
      <c r="AA300" s="100"/>
      <c r="AB300" s="96"/>
      <c r="AC300" s="109"/>
      <c r="AD300" s="108"/>
      <c r="AE300" s="109"/>
      <c r="AF300" s="109"/>
      <c r="AG300" s="108"/>
      <c r="AH300" s="111"/>
      <c r="AI300" s="100"/>
      <c r="AJ300" s="100"/>
      <c r="AK300" s="100"/>
      <c r="AL300" s="100"/>
      <c r="AM300" s="100"/>
      <c r="AN300" s="100"/>
      <c r="AO300" s="100"/>
      <c r="AP300" s="100"/>
      <c r="AQ300" s="100"/>
      <c r="AR300" s="100"/>
      <c r="AS300" s="100"/>
      <c r="AT300" s="150"/>
      <c r="AU300" s="477"/>
      <c r="AV300" s="477"/>
    </row>
    <row r="301" spans="1:48" ht="16.3">
      <c r="A301" s="246" t="s">
        <v>366</v>
      </c>
      <c r="B301" s="292">
        <f>SUM(J301+K301+L301+M301+N301+S301+V301+W301+X301+AA301+AI301+AJ301+AI301+AM301+AP301+AQ301+AS301+AT301+AU301+AV301)</f>
        <v>0</v>
      </c>
      <c r="C301" s="288">
        <f>SUM(K301+L301+M301+N301+J301+S301+W301+X301+V301+AA301+AJ301+AI301+AJ301+AN301+AQ301+AP301+AT301+AU301+AV301+AS301+AM301)+1</f>
        <v>1</v>
      </c>
      <c r="D301" s="133"/>
      <c r="E301" s="134"/>
      <c r="F301" s="135"/>
      <c r="G301" s="136"/>
      <c r="H301" s="481"/>
      <c r="I301" s="105"/>
      <c r="J301" s="75"/>
      <c r="K301" s="75"/>
      <c r="L301" s="75"/>
      <c r="M301" s="75"/>
      <c r="N301" s="75"/>
      <c r="O301" s="96"/>
      <c r="P301" s="105"/>
      <c r="Q301" s="96"/>
      <c r="R301" s="96"/>
      <c r="S301" s="75"/>
      <c r="T301" s="141"/>
      <c r="U301" s="141"/>
      <c r="V301" s="75"/>
      <c r="W301" s="100"/>
      <c r="X301" s="100"/>
      <c r="Y301" s="142"/>
      <c r="Z301" s="142"/>
      <c r="AA301" s="100"/>
      <c r="AB301" s="96"/>
      <c r="AC301" s="109"/>
      <c r="AD301" s="108"/>
      <c r="AE301" s="109"/>
      <c r="AF301" s="109"/>
      <c r="AG301" s="108"/>
      <c r="AH301" s="111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50"/>
      <c r="AU301" s="477"/>
      <c r="AV301" s="477"/>
    </row>
    <row r="302" spans="1:48" ht="16.3">
      <c r="A302" s="87" t="s">
        <v>3</v>
      </c>
      <c r="B302" s="289">
        <f>SUM(J302+K302+L302+M302+N302+S302+V302+W302+X302+AA302+AI302+AJ302+AI302+AM302+AP302+AQ302+AS302+AT302+AU302+AV302)+1</f>
        <v>1</v>
      </c>
      <c r="C302" s="132">
        <f>SUM(K302+L302+M302+N302+J302+S302+W302+X302+V302+AA302+AJ302+AI302+AJ302+AN302+AQ302+AP302+AT302+AU302+AV302+AS302+AM302)+1</f>
        <v>1</v>
      </c>
      <c r="D302" s="133"/>
      <c r="E302" s="134"/>
      <c r="F302" s="135"/>
      <c r="G302" s="136"/>
      <c r="H302" s="481"/>
      <c r="I302" s="105"/>
      <c r="J302" s="75"/>
      <c r="K302" s="75"/>
      <c r="L302" s="75"/>
      <c r="M302" s="75"/>
      <c r="N302" s="75"/>
      <c r="O302" s="96"/>
      <c r="P302" s="105"/>
      <c r="Q302" s="96"/>
      <c r="R302" s="96"/>
      <c r="S302" s="75"/>
      <c r="T302" s="141"/>
      <c r="U302" s="141"/>
      <c r="V302" s="75"/>
      <c r="W302" s="100"/>
      <c r="X302" s="100"/>
      <c r="Y302" s="142"/>
      <c r="Z302" s="142"/>
      <c r="AA302" s="100"/>
      <c r="AB302" s="96"/>
      <c r="AC302" s="109"/>
      <c r="AD302" s="108"/>
      <c r="AE302" s="109"/>
      <c r="AF302" s="109"/>
      <c r="AG302" s="108"/>
      <c r="AH302" s="111"/>
      <c r="AI302" s="100"/>
      <c r="AJ302" s="100"/>
      <c r="AK302" s="100"/>
      <c r="AL302" s="100"/>
      <c r="AM302" s="100"/>
      <c r="AN302" s="100"/>
      <c r="AO302" s="100"/>
      <c r="AP302" s="100"/>
      <c r="AQ302" s="100"/>
      <c r="AR302" s="100"/>
      <c r="AS302" s="100"/>
      <c r="AT302" s="150"/>
      <c r="AU302" s="477"/>
      <c r="AV302" s="477"/>
    </row>
    <row r="303" spans="1:48" ht="17" thickBot="1">
      <c r="A303" s="88" t="s">
        <v>4</v>
      </c>
      <c r="B303" s="290">
        <f>SUM(J303+K303+L303+M303+N303+S303+V303+W303+X303+AA303+AI303+AJ303+AI303+AM303+AP303+AQ303+AS303+AT303+AU303+AV303)+5</f>
        <v>5</v>
      </c>
      <c r="C303" s="143">
        <f>SUM(K303+L303+M303+N303+J303+S303+W303+X303+V303+AA303+AJ303+AI303+AJ303+AN303+AQ303+AP303+AT303+AU303+AV303+AS303+AM303)+5</f>
        <v>5</v>
      </c>
      <c r="D303" s="144"/>
      <c r="E303" s="145"/>
      <c r="F303" s="146"/>
      <c r="G303" s="147"/>
      <c r="H303" s="482"/>
      <c r="I303" s="127"/>
      <c r="J303" s="112"/>
      <c r="K303" s="112"/>
      <c r="L303" s="112"/>
      <c r="M303" s="112"/>
      <c r="N303" s="112"/>
      <c r="O303" s="114"/>
      <c r="P303" s="127"/>
      <c r="Q303" s="114"/>
      <c r="R303" s="114"/>
      <c r="S303" s="112"/>
      <c r="T303" s="178"/>
      <c r="U303" s="178"/>
      <c r="V303" s="112"/>
      <c r="W303" s="116"/>
      <c r="X303" s="112"/>
      <c r="Y303" s="149"/>
      <c r="Z303" s="149"/>
      <c r="AA303" s="116"/>
      <c r="AB303" s="114"/>
      <c r="AC303" s="118"/>
      <c r="AD303" s="117"/>
      <c r="AE303" s="118"/>
      <c r="AF303" s="118"/>
      <c r="AG303" s="117"/>
      <c r="AH303" s="121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76"/>
      <c r="AU303" s="477"/>
      <c r="AV303" s="477"/>
    </row>
    <row r="304" spans="1:48" ht="21.1">
      <c r="A304" s="82" t="s">
        <v>289</v>
      </c>
      <c r="B304" s="289"/>
      <c r="C304" s="132"/>
      <c r="D304" s="133"/>
      <c r="E304" s="134"/>
      <c r="F304" s="135"/>
      <c r="G304" s="136"/>
      <c r="H304" s="481"/>
      <c r="I304" s="105"/>
      <c r="J304" s="75"/>
      <c r="K304" s="75"/>
      <c r="L304" s="75"/>
      <c r="M304" s="75"/>
      <c r="N304" s="75"/>
      <c r="O304" s="96" t="s">
        <v>375</v>
      </c>
      <c r="P304" s="105"/>
      <c r="Q304" s="96" t="s">
        <v>375</v>
      </c>
      <c r="R304" s="96">
        <v>6</v>
      </c>
      <c r="S304" s="75"/>
      <c r="T304" s="141"/>
      <c r="U304" s="141"/>
      <c r="V304" s="75"/>
      <c r="W304" s="100"/>
      <c r="X304" s="100"/>
      <c r="Y304" s="138"/>
      <c r="Z304" s="138"/>
      <c r="AA304" s="102"/>
      <c r="AB304" s="96"/>
      <c r="AC304" s="99">
        <v>6</v>
      </c>
      <c r="AD304" s="98"/>
      <c r="AE304" s="99" t="s">
        <v>382</v>
      </c>
      <c r="AF304" s="99"/>
      <c r="AG304" s="98"/>
      <c r="AH304" s="103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478"/>
      <c r="AU304" s="477"/>
      <c r="AV304" s="477"/>
    </row>
    <row r="305" spans="1:48" ht="16.3">
      <c r="A305" s="246" t="s">
        <v>1</v>
      </c>
      <c r="B305" s="292">
        <f>SUM(J305+K305+L305+M305+N305+S305+V305+W305+X305+AA305+AI305+AJ305+AI305+AM305+AP305+AQ305+AS305+AT305+AU305+AV305+AN305)</f>
        <v>0</v>
      </c>
      <c r="C305" s="288">
        <f>B305</f>
        <v>0</v>
      </c>
      <c r="D305" s="133"/>
      <c r="E305" s="134"/>
      <c r="F305" s="135"/>
      <c r="G305" s="136"/>
      <c r="H305" s="481"/>
      <c r="I305" s="105"/>
      <c r="J305" s="75"/>
      <c r="K305" s="75"/>
      <c r="L305" s="75"/>
      <c r="M305" s="75"/>
      <c r="N305" s="75"/>
      <c r="O305" s="96"/>
      <c r="P305" s="105"/>
      <c r="Q305" s="96"/>
      <c r="R305" s="96">
        <v>1</v>
      </c>
      <c r="S305" s="75"/>
      <c r="T305" s="141"/>
      <c r="U305" s="141"/>
      <c r="V305" s="75"/>
      <c r="W305" s="100"/>
      <c r="X305" s="100"/>
      <c r="Y305" s="142"/>
      <c r="Z305" s="142"/>
      <c r="AA305" s="100"/>
      <c r="AB305" s="96"/>
      <c r="AC305" s="109">
        <v>1</v>
      </c>
      <c r="AD305" s="108"/>
      <c r="AE305" s="109">
        <v>1</v>
      </c>
      <c r="AF305" s="109"/>
      <c r="AG305" s="108"/>
      <c r="AH305" s="111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50"/>
      <c r="AU305" s="477"/>
      <c r="AV305" s="477"/>
    </row>
    <row r="306" spans="1:48" ht="16.3">
      <c r="A306" s="246" t="s">
        <v>2</v>
      </c>
      <c r="B306" s="292">
        <f>SUM(J306+K306+L306+M306+N306+S306+V306+W306+X306+AA306+AI306+AJ306+AI306+AM306+AP306+AQ306+AS306+AT306+AU306+AV306)+4</f>
        <v>4</v>
      </c>
      <c r="C306" s="288">
        <f t="shared" ref="C306:C309" si="34">B306</f>
        <v>4</v>
      </c>
      <c r="D306" s="133"/>
      <c r="E306" s="134"/>
      <c r="F306" s="135"/>
      <c r="G306" s="136"/>
      <c r="H306" s="481"/>
      <c r="I306" s="105"/>
      <c r="J306" s="75"/>
      <c r="K306" s="75"/>
      <c r="L306" s="75"/>
      <c r="M306" s="75"/>
      <c r="N306" s="75"/>
      <c r="O306" s="96">
        <v>1</v>
      </c>
      <c r="P306" s="105"/>
      <c r="Q306" s="96">
        <v>1</v>
      </c>
      <c r="R306" s="96"/>
      <c r="S306" s="75"/>
      <c r="T306" s="141"/>
      <c r="U306" s="141"/>
      <c r="V306" s="75"/>
      <c r="W306" s="100"/>
      <c r="X306" s="100"/>
      <c r="Y306" s="142"/>
      <c r="Z306" s="142"/>
      <c r="AA306" s="100"/>
      <c r="AB306" s="96"/>
      <c r="AC306" s="109"/>
      <c r="AD306" s="108"/>
      <c r="AE306" s="109"/>
      <c r="AF306" s="109"/>
      <c r="AG306" s="108"/>
      <c r="AH306" s="111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50"/>
      <c r="AU306" s="477"/>
      <c r="AV306" s="477"/>
    </row>
    <row r="307" spans="1:48" ht="16.3">
      <c r="A307" s="87" t="s">
        <v>363</v>
      </c>
      <c r="B307" s="289">
        <f>SUM(B305+B306)</f>
        <v>4</v>
      </c>
      <c r="C307" s="132">
        <f t="shared" si="34"/>
        <v>4</v>
      </c>
      <c r="D307" s="133"/>
      <c r="E307" s="134"/>
      <c r="F307" s="135"/>
      <c r="G307" s="136"/>
      <c r="H307" s="481"/>
      <c r="I307" s="105"/>
      <c r="J307" s="75"/>
      <c r="K307" s="75"/>
      <c r="L307" s="75"/>
      <c r="M307" s="75"/>
      <c r="N307" s="75"/>
      <c r="O307" s="96"/>
      <c r="P307" s="105"/>
      <c r="Q307" s="96"/>
      <c r="R307" s="96"/>
      <c r="S307" s="75"/>
      <c r="T307" s="141"/>
      <c r="U307" s="141"/>
      <c r="V307" s="75"/>
      <c r="W307" s="100"/>
      <c r="X307" s="100"/>
      <c r="Y307" s="142"/>
      <c r="Z307" s="142"/>
      <c r="AA307" s="100"/>
      <c r="AB307" s="96"/>
      <c r="AC307" s="109"/>
      <c r="AD307" s="108"/>
      <c r="AE307" s="109"/>
      <c r="AF307" s="109"/>
      <c r="AG307" s="108"/>
      <c r="AH307" s="111"/>
      <c r="AI307" s="100"/>
      <c r="AJ307" s="100"/>
      <c r="AK307" s="100"/>
      <c r="AL307" s="100"/>
      <c r="AM307" s="100"/>
      <c r="AN307" s="100"/>
      <c r="AO307" s="100"/>
      <c r="AP307" s="100"/>
      <c r="AQ307" s="100"/>
      <c r="AR307" s="100"/>
      <c r="AS307" s="100"/>
      <c r="AT307" s="150"/>
      <c r="AU307" s="477"/>
      <c r="AV307" s="477"/>
    </row>
    <row r="308" spans="1:48" ht="16.3">
      <c r="A308" s="87" t="s">
        <v>3</v>
      </c>
      <c r="B308" s="289">
        <f>SUM(J308+K308+L308+M308+N308+S308+V308+W308+X308+AA308+AI308+AJ308+AI308+AM308+AP308+AQ308+AS308+AT308+AU308+AV308)</f>
        <v>0</v>
      </c>
      <c r="C308" s="132">
        <f t="shared" si="34"/>
        <v>0</v>
      </c>
      <c r="D308" s="133"/>
      <c r="E308" s="134"/>
      <c r="F308" s="135"/>
      <c r="G308" s="136"/>
      <c r="H308" s="481"/>
      <c r="I308" s="105"/>
      <c r="J308" s="75"/>
      <c r="K308" s="75"/>
      <c r="L308" s="75"/>
      <c r="M308" s="75"/>
      <c r="N308" s="75"/>
      <c r="O308" s="96"/>
      <c r="P308" s="105"/>
      <c r="Q308" s="96"/>
      <c r="R308" s="96"/>
      <c r="S308" s="75"/>
      <c r="T308" s="141"/>
      <c r="U308" s="141"/>
      <c r="V308" s="75"/>
      <c r="W308" s="100"/>
      <c r="X308" s="100"/>
      <c r="Y308" s="142"/>
      <c r="Z308" s="142"/>
      <c r="AA308" s="100"/>
      <c r="AB308" s="96"/>
      <c r="AC308" s="109"/>
      <c r="AD308" s="108"/>
      <c r="AE308" s="109"/>
      <c r="AF308" s="109"/>
      <c r="AG308" s="108"/>
      <c r="AH308" s="111"/>
      <c r="AI308" s="100"/>
      <c r="AJ308" s="100"/>
      <c r="AK308" s="100"/>
      <c r="AL308" s="100"/>
      <c r="AM308" s="100"/>
      <c r="AN308" s="100"/>
      <c r="AO308" s="100"/>
      <c r="AP308" s="100"/>
      <c r="AQ308" s="100"/>
      <c r="AR308" s="100"/>
      <c r="AS308" s="100"/>
      <c r="AT308" s="150"/>
      <c r="AU308" s="477"/>
      <c r="AV308" s="477"/>
    </row>
    <row r="309" spans="1:48" ht="17" thickBot="1">
      <c r="A309" s="88" t="s">
        <v>4</v>
      </c>
      <c r="B309" s="290">
        <f>SUM(J309+K309+L309+M309+N309+S309+V309+W309+X309+AA309+AI309+AJ309+AI309+AM309+AP309+AQ309+AS309+AT309+AU309+AV309)</f>
        <v>0</v>
      </c>
      <c r="C309" s="143">
        <f t="shared" si="34"/>
        <v>0</v>
      </c>
      <c r="D309" s="144"/>
      <c r="E309" s="145"/>
      <c r="F309" s="146"/>
      <c r="G309" s="147"/>
      <c r="H309" s="482"/>
      <c r="I309" s="127"/>
      <c r="J309" s="112"/>
      <c r="K309" s="112"/>
      <c r="L309" s="112"/>
      <c r="M309" s="112"/>
      <c r="N309" s="112"/>
      <c r="O309" s="114"/>
      <c r="P309" s="127"/>
      <c r="Q309" s="114"/>
      <c r="R309" s="114"/>
      <c r="S309" s="112"/>
      <c r="T309" s="178"/>
      <c r="U309" s="178"/>
      <c r="V309" s="112"/>
      <c r="W309" s="116"/>
      <c r="X309" s="112"/>
      <c r="Y309" s="149"/>
      <c r="Z309" s="149"/>
      <c r="AA309" s="116"/>
      <c r="AB309" s="114"/>
      <c r="AC309" s="118"/>
      <c r="AD309" s="117"/>
      <c r="AE309" s="118"/>
      <c r="AF309" s="118"/>
      <c r="AG309" s="117"/>
      <c r="AH309" s="121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76"/>
      <c r="AU309" s="477"/>
      <c r="AV309" s="477"/>
    </row>
    <row r="310" spans="1:48" ht="21.1">
      <c r="A310" s="82" t="s">
        <v>502</v>
      </c>
      <c r="B310" s="289"/>
      <c r="C310" s="132"/>
      <c r="D310" s="133"/>
      <c r="E310" s="134"/>
      <c r="F310" s="135"/>
      <c r="G310" s="136"/>
      <c r="H310" s="481">
        <v>4</v>
      </c>
      <c r="I310" s="105"/>
      <c r="J310" s="75" t="s">
        <v>372</v>
      </c>
      <c r="K310" s="75" t="s">
        <v>375</v>
      </c>
      <c r="L310" s="75" t="s">
        <v>375</v>
      </c>
      <c r="M310" s="75" t="s">
        <v>375</v>
      </c>
      <c r="N310" s="75" t="s">
        <v>375</v>
      </c>
      <c r="O310" s="96">
        <v>4</v>
      </c>
      <c r="P310" s="105"/>
      <c r="Q310" s="96">
        <v>4</v>
      </c>
      <c r="R310" s="96"/>
      <c r="S310" s="75">
        <v>4</v>
      </c>
      <c r="T310" s="141" t="s">
        <v>372</v>
      </c>
      <c r="U310" s="141" t="s">
        <v>372</v>
      </c>
      <c r="V310" s="75">
        <v>4</v>
      </c>
      <c r="W310" s="100">
        <v>4</v>
      </c>
      <c r="X310" s="100">
        <v>4</v>
      </c>
      <c r="Y310" s="142">
        <v>6</v>
      </c>
      <c r="Z310" s="142">
        <v>4</v>
      </c>
      <c r="AA310" s="100" t="s">
        <v>372</v>
      </c>
      <c r="AB310" s="96"/>
      <c r="AC310" s="109"/>
      <c r="AD310" s="108"/>
      <c r="AE310" s="109">
        <v>5</v>
      </c>
      <c r="AF310" s="109">
        <v>5</v>
      </c>
      <c r="AG310" s="108"/>
      <c r="AH310" s="111"/>
      <c r="AI310" s="100"/>
      <c r="AJ310" s="100"/>
      <c r="AK310" s="100"/>
      <c r="AL310" s="100"/>
      <c r="AM310" s="100"/>
      <c r="AN310" s="100"/>
      <c r="AO310" s="100"/>
      <c r="AP310" s="100"/>
      <c r="AQ310" s="100"/>
      <c r="AR310" s="100"/>
      <c r="AS310" s="100"/>
      <c r="AT310" s="150"/>
      <c r="AU310" s="477"/>
      <c r="AV310" s="477"/>
    </row>
    <row r="311" spans="1:48" ht="16.3">
      <c r="A311" s="246" t="s">
        <v>1</v>
      </c>
      <c r="B311" s="292">
        <f>SUM(J311+K311+L311+M311+N311+S311+V311+W311+X311+AA311+AI311+AJ311+AI311+AM311+AP311+AQ311+AS311+AT311+AU311+AV311+AN311)</f>
        <v>6</v>
      </c>
      <c r="C311" s="288">
        <f>B311</f>
        <v>6</v>
      </c>
      <c r="D311" s="133"/>
      <c r="E311" s="134"/>
      <c r="F311" s="135"/>
      <c r="G311" s="136"/>
      <c r="H311" s="481">
        <v>1</v>
      </c>
      <c r="I311" s="105"/>
      <c r="J311" s="75">
        <v>1</v>
      </c>
      <c r="K311" s="75"/>
      <c r="L311" s="75"/>
      <c r="M311" s="75"/>
      <c r="N311" s="75"/>
      <c r="O311" s="96">
        <v>1</v>
      </c>
      <c r="P311" s="105"/>
      <c r="Q311" s="96">
        <v>1</v>
      </c>
      <c r="R311" s="96"/>
      <c r="S311" s="75">
        <v>1</v>
      </c>
      <c r="T311" s="141">
        <v>1</v>
      </c>
      <c r="U311" s="141">
        <v>1</v>
      </c>
      <c r="V311" s="75">
        <v>1</v>
      </c>
      <c r="W311" s="100">
        <v>1</v>
      </c>
      <c r="X311" s="100">
        <v>1</v>
      </c>
      <c r="Y311" s="142">
        <v>1</v>
      </c>
      <c r="Z311" s="142">
        <v>1</v>
      </c>
      <c r="AA311" s="100">
        <v>1</v>
      </c>
      <c r="AB311" s="96"/>
      <c r="AC311" s="109"/>
      <c r="AD311" s="108"/>
      <c r="AE311" s="109">
        <v>1</v>
      </c>
      <c r="AF311" s="109">
        <v>1</v>
      </c>
      <c r="AG311" s="108"/>
      <c r="AH311" s="111"/>
      <c r="AI311" s="100"/>
      <c r="AJ311" s="100"/>
      <c r="AK311" s="100"/>
      <c r="AL311" s="100"/>
      <c r="AM311" s="100"/>
      <c r="AN311" s="100"/>
      <c r="AO311" s="100"/>
      <c r="AP311" s="100"/>
      <c r="AQ311" s="100"/>
      <c r="AR311" s="100"/>
      <c r="AS311" s="100"/>
      <c r="AT311" s="150"/>
      <c r="AU311" s="477"/>
      <c r="AV311" s="477"/>
    </row>
    <row r="312" spans="1:48" ht="16.3">
      <c r="A312" s="246" t="s">
        <v>2</v>
      </c>
      <c r="B312" s="292">
        <f>SUM(J312+K312+L312+M312+N312+S312+V312+W312+X312+AA312+AI312+AJ312+AI312+AM312+AP312+AQ312+AS312+AT312+AU312+AV312)+4</f>
        <v>8</v>
      </c>
      <c r="C312" s="288">
        <f t="shared" ref="C312:C315" si="35">B312</f>
        <v>8</v>
      </c>
      <c r="D312" s="133"/>
      <c r="E312" s="134"/>
      <c r="F312" s="135"/>
      <c r="G312" s="136"/>
      <c r="H312" s="481"/>
      <c r="I312" s="105"/>
      <c r="J312" s="75"/>
      <c r="K312" s="75">
        <v>1</v>
      </c>
      <c r="L312" s="75">
        <v>1</v>
      </c>
      <c r="M312" s="75">
        <v>1</v>
      </c>
      <c r="N312" s="75">
        <v>1</v>
      </c>
      <c r="O312" s="96"/>
      <c r="P312" s="105"/>
      <c r="Q312" s="96"/>
      <c r="R312" s="96"/>
      <c r="S312" s="75"/>
      <c r="T312" s="141"/>
      <c r="U312" s="141"/>
      <c r="V312" s="75"/>
      <c r="W312" s="100"/>
      <c r="X312" s="100"/>
      <c r="Y312" s="142"/>
      <c r="Z312" s="142"/>
      <c r="AA312" s="100"/>
      <c r="AB312" s="96"/>
      <c r="AC312" s="109"/>
      <c r="AD312" s="108"/>
      <c r="AE312" s="109"/>
      <c r="AF312" s="109"/>
      <c r="AG312" s="108"/>
      <c r="AH312" s="111"/>
      <c r="AI312" s="100"/>
      <c r="AJ312" s="100"/>
      <c r="AK312" s="100"/>
      <c r="AL312" s="100"/>
      <c r="AM312" s="100"/>
      <c r="AN312" s="100"/>
      <c r="AO312" s="100"/>
      <c r="AP312" s="100"/>
      <c r="AQ312" s="100"/>
      <c r="AR312" s="100"/>
      <c r="AS312" s="100"/>
      <c r="AT312" s="150"/>
      <c r="AU312" s="477"/>
      <c r="AV312" s="477"/>
    </row>
    <row r="313" spans="1:48" ht="16.3">
      <c r="A313" s="87" t="s">
        <v>363</v>
      </c>
      <c r="B313" s="289">
        <f>SUM(B311+B312)</f>
        <v>14</v>
      </c>
      <c r="C313" s="132">
        <f t="shared" si="35"/>
        <v>14</v>
      </c>
      <c r="D313" s="133"/>
      <c r="E313" s="134"/>
      <c r="F313" s="135"/>
      <c r="G313" s="136"/>
      <c r="H313" s="481"/>
      <c r="I313" s="105"/>
      <c r="J313" s="75"/>
      <c r="K313" s="75"/>
      <c r="L313" s="75"/>
      <c r="M313" s="75"/>
      <c r="N313" s="75"/>
      <c r="O313" s="96"/>
      <c r="P313" s="105"/>
      <c r="Q313" s="96"/>
      <c r="R313" s="96"/>
      <c r="S313" s="75"/>
      <c r="T313" s="141"/>
      <c r="U313" s="141"/>
      <c r="V313" s="75"/>
      <c r="W313" s="100"/>
      <c r="X313" s="100"/>
      <c r="Y313" s="142"/>
      <c r="Z313" s="142"/>
      <c r="AA313" s="100"/>
      <c r="AB313" s="96"/>
      <c r="AC313" s="109"/>
      <c r="AD313" s="108"/>
      <c r="AE313" s="109"/>
      <c r="AF313" s="109"/>
      <c r="AG313" s="108"/>
      <c r="AH313" s="111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S313" s="100"/>
      <c r="AT313" s="150"/>
      <c r="AU313" s="477"/>
      <c r="AV313" s="477"/>
    </row>
    <row r="314" spans="1:48" ht="16.3">
      <c r="A314" s="87" t="s">
        <v>3</v>
      </c>
      <c r="B314" s="289">
        <f>SUM(J314+K314+L314+M314+N314+S314+V314+W314+X314+AA314+AI314+AJ314+AI314+AM314+AP314+AQ314+AS314+AT314+AU314+AV314)</f>
        <v>1</v>
      </c>
      <c r="C314" s="132">
        <f t="shared" si="35"/>
        <v>1</v>
      </c>
      <c r="D314" s="133"/>
      <c r="E314" s="134"/>
      <c r="F314" s="135"/>
      <c r="G314" s="136"/>
      <c r="H314" s="481"/>
      <c r="I314" s="105"/>
      <c r="J314" s="75"/>
      <c r="K314" s="75"/>
      <c r="L314" s="75"/>
      <c r="M314" s="75"/>
      <c r="N314" s="75"/>
      <c r="O314" s="96"/>
      <c r="P314" s="105"/>
      <c r="Q314" s="96"/>
      <c r="R314" s="96"/>
      <c r="S314" s="75"/>
      <c r="T314" s="141"/>
      <c r="U314" s="141"/>
      <c r="V314" s="75"/>
      <c r="W314" s="100"/>
      <c r="X314" s="100"/>
      <c r="Y314" s="142"/>
      <c r="Z314" s="142"/>
      <c r="AA314" s="100">
        <v>1</v>
      </c>
      <c r="AB314" s="96"/>
      <c r="AC314" s="109"/>
      <c r="AD314" s="108"/>
      <c r="AE314" s="109"/>
      <c r="AF314" s="109"/>
      <c r="AG314" s="108"/>
      <c r="AH314" s="111"/>
      <c r="AI314" s="100"/>
      <c r="AJ314" s="100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50"/>
      <c r="AU314" s="477"/>
      <c r="AV314" s="477"/>
    </row>
    <row r="315" spans="1:48" ht="17" thickBot="1">
      <c r="A315" s="88" t="s">
        <v>4</v>
      </c>
      <c r="B315" s="290">
        <f>SUM(J315+K315+L315+M315+N315+S315+V315+W315+X315+AA315+AI315+AJ315+AI315+AM315+AP315+AQ315+AS315+AT315+AU315+AV315)</f>
        <v>5</v>
      </c>
      <c r="C315" s="143">
        <f t="shared" si="35"/>
        <v>5</v>
      </c>
      <c r="D315" s="144"/>
      <c r="E315" s="145"/>
      <c r="F315" s="146"/>
      <c r="G315" s="147"/>
      <c r="H315" s="482"/>
      <c r="I315" s="127"/>
      <c r="J315" s="112"/>
      <c r="K315" s="112"/>
      <c r="L315" s="112"/>
      <c r="M315" s="112"/>
      <c r="N315" s="112"/>
      <c r="O315" s="114"/>
      <c r="P315" s="127"/>
      <c r="Q315" s="114"/>
      <c r="R315" s="114"/>
      <c r="S315" s="112"/>
      <c r="T315" s="178"/>
      <c r="U315" s="178"/>
      <c r="V315" s="112"/>
      <c r="W315" s="116"/>
      <c r="X315" s="116"/>
      <c r="Y315" s="149"/>
      <c r="Z315" s="149"/>
      <c r="AA315" s="116">
        <v>5</v>
      </c>
      <c r="AB315" s="114"/>
      <c r="AC315" s="118"/>
      <c r="AD315" s="117"/>
      <c r="AE315" s="118"/>
      <c r="AF315" s="118"/>
      <c r="AG315" s="117"/>
      <c r="AH315" s="121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76"/>
      <c r="AU315" s="477"/>
      <c r="AV315" s="477"/>
    </row>
    <row r="316" spans="1:48" ht="21.1">
      <c r="A316" s="82" t="s">
        <v>268</v>
      </c>
      <c r="B316" s="289"/>
      <c r="C316" s="132"/>
      <c r="D316" s="133"/>
      <c r="E316" s="134"/>
      <c r="F316" s="135"/>
      <c r="G316" s="136"/>
      <c r="H316" s="481"/>
      <c r="I316" s="105"/>
      <c r="J316" s="75"/>
      <c r="K316" s="75"/>
      <c r="L316" s="75"/>
      <c r="M316" s="75"/>
      <c r="N316" s="75"/>
      <c r="O316" s="96"/>
      <c r="P316" s="105"/>
      <c r="Q316" s="96"/>
      <c r="R316" s="96" t="s">
        <v>375</v>
      </c>
      <c r="S316" s="75"/>
      <c r="T316" s="141" t="s">
        <v>375</v>
      </c>
      <c r="U316" s="141">
        <v>5</v>
      </c>
      <c r="V316" s="75" t="s">
        <v>375</v>
      </c>
      <c r="W316" s="100" t="s">
        <v>375</v>
      </c>
      <c r="X316" s="100" t="s">
        <v>375</v>
      </c>
      <c r="Y316" s="142" t="s">
        <v>375</v>
      </c>
      <c r="Z316" s="142" t="s">
        <v>375</v>
      </c>
      <c r="AA316" s="100" t="s">
        <v>375</v>
      </c>
      <c r="AB316" s="96">
        <v>5</v>
      </c>
      <c r="AC316" s="109" t="s">
        <v>387</v>
      </c>
      <c r="AD316" s="108"/>
      <c r="AE316" s="109"/>
      <c r="AF316" s="109"/>
      <c r="AG316" s="108"/>
      <c r="AH316" s="111"/>
      <c r="AI316" s="100"/>
      <c r="AJ316" s="100"/>
      <c r="AK316" s="100"/>
      <c r="AL316" s="100"/>
      <c r="AM316" s="100"/>
      <c r="AN316" s="100"/>
      <c r="AO316" s="100"/>
      <c r="AP316" s="100"/>
      <c r="AQ316" s="100"/>
      <c r="AR316" s="100"/>
      <c r="AS316" s="100"/>
      <c r="AT316" s="150"/>
      <c r="AU316" s="477"/>
      <c r="AV316" s="477"/>
    </row>
    <row r="317" spans="1:48" ht="16.3">
      <c r="A317" s="246" t="s">
        <v>1</v>
      </c>
      <c r="B317" s="292">
        <f>SUM(J317+K317+L317+M317+N317+S317+V317+W317+X317+AA317+AI317+AJ317+AI317+AM317+AP317+AQ317+AS317+AT317+AU317+AV317+AN317)</f>
        <v>0</v>
      </c>
      <c r="C317" s="288">
        <f>B317</f>
        <v>0</v>
      </c>
      <c r="D317" s="133"/>
      <c r="E317" s="134"/>
      <c r="F317" s="135"/>
      <c r="G317" s="136"/>
      <c r="H317" s="481"/>
      <c r="I317" s="105"/>
      <c r="J317" s="75"/>
      <c r="K317" s="75"/>
      <c r="L317" s="75"/>
      <c r="M317" s="75"/>
      <c r="N317" s="75"/>
      <c r="O317" s="96"/>
      <c r="P317" s="105"/>
      <c r="Q317" s="96"/>
      <c r="R317" s="96"/>
      <c r="S317" s="75"/>
      <c r="T317" s="141"/>
      <c r="U317" s="141">
        <v>1</v>
      </c>
      <c r="V317" s="75"/>
      <c r="W317" s="100"/>
      <c r="X317" s="100"/>
      <c r="Y317" s="142"/>
      <c r="Z317" s="142"/>
      <c r="AA317" s="100"/>
      <c r="AB317" s="96">
        <v>1</v>
      </c>
      <c r="AC317" s="109">
        <v>1</v>
      </c>
      <c r="AD317" s="108"/>
      <c r="AE317" s="109"/>
      <c r="AF317" s="109"/>
      <c r="AG317" s="108"/>
      <c r="AH317" s="111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50"/>
      <c r="AU317" s="477"/>
      <c r="AV317" s="477"/>
    </row>
    <row r="318" spans="1:48" ht="16.3">
      <c r="A318" s="246" t="s">
        <v>2</v>
      </c>
      <c r="B318" s="292">
        <f>SUM(J318+K318+L318+M318+N318+S318+V318+W318+X318+AA318+AI318+AJ318+AI318+AM318+AP318+AQ318+AS318+AT318+AU318+AV318)</f>
        <v>4</v>
      </c>
      <c r="C318" s="288">
        <f t="shared" ref="C318:C321" si="36">B318</f>
        <v>4</v>
      </c>
      <c r="D318" s="133"/>
      <c r="E318" s="134"/>
      <c r="F318" s="135"/>
      <c r="G318" s="136"/>
      <c r="H318" s="481"/>
      <c r="I318" s="105"/>
      <c r="J318" s="75"/>
      <c r="K318" s="75"/>
      <c r="L318" s="75"/>
      <c r="M318" s="75"/>
      <c r="N318" s="75"/>
      <c r="O318" s="96"/>
      <c r="P318" s="105"/>
      <c r="Q318" s="96"/>
      <c r="R318" s="96">
        <v>1</v>
      </c>
      <c r="S318" s="75"/>
      <c r="T318" s="141">
        <v>1</v>
      </c>
      <c r="U318" s="141"/>
      <c r="V318" s="75">
        <v>1</v>
      </c>
      <c r="W318" s="100">
        <v>1</v>
      </c>
      <c r="X318" s="100">
        <v>1</v>
      </c>
      <c r="Y318" s="142">
        <v>1</v>
      </c>
      <c r="Z318" s="142">
        <v>1</v>
      </c>
      <c r="AA318" s="100">
        <v>1</v>
      </c>
      <c r="AB318" s="96"/>
      <c r="AC318" s="109"/>
      <c r="AD318" s="108"/>
      <c r="AE318" s="109"/>
      <c r="AF318" s="109"/>
      <c r="AG318" s="108"/>
      <c r="AH318" s="111"/>
      <c r="AI318" s="100"/>
      <c r="AJ318" s="100"/>
      <c r="AK318" s="100"/>
      <c r="AL318" s="100"/>
      <c r="AM318" s="100"/>
      <c r="AN318" s="100"/>
      <c r="AO318" s="100"/>
      <c r="AP318" s="100"/>
      <c r="AQ318" s="100"/>
      <c r="AR318" s="100"/>
      <c r="AS318" s="100"/>
      <c r="AT318" s="150"/>
      <c r="AU318" s="477"/>
      <c r="AV318" s="477"/>
    </row>
    <row r="319" spans="1:48" ht="16.3">
      <c r="A319" s="87" t="s">
        <v>363</v>
      </c>
      <c r="B319" s="289">
        <f>SUM(B317+B318)</f>
        <v>4</v>
      </c>
      <c r="C319" s="132">
        <f t="shared" si="36"/>
        <v>4</v>
      </c>
      <c r="D319" s="133"/>
      <c r="E319" s="134"/>
      <c r="F319" s="135"/>
      <c r="G319" s="136"/>
      <c r="H319" s="481"/>
      <c r="I319" s="105"/>
      <c r="J319" s="75"/>
      <c r="K319" s="75"/>
      <c r="L319" s="75"/>
      <c r="M319" s="75"/>
      <c r="N319" s="75"/>
      <c r="O319" s="96"/>
      <c r="P319" s="105"/>
      <c r="Q319" s="96"/>
      <c r="R319" s="96"/>
      <c r="S319" s="75"/>
      <c r="T319" s="141"/>
      <c r="U319" s="141"/>
      <c r="V319" s="75"/>
      <c r="W319" s="100"/>
      <c r="X319" s="100"/>
      <c r="Y319" s="142"/>
      <c r="Z319" s="142"/>
      <c r="AA319" s="100"/>
      <c r="AB319" s="96"/>
      <c r="AC319" s="109"/>
      <c r="AD319" s="108"/>
      <c r="AE319" s="109"/>
      <c r="AF319" s="109"/>
      <c r="AG319" s="108"/>
      <c r="AH319" s="111"/>
      <c r="AI319" s="100"/>
      <c r="AJ319" s="100"/>
      <c r="AK319" s="100"/>
      <c r="AL319" s="100"/>
      <c r="AM319" s="100"/>
      <c r="AN319" s="100"/>
      <c r="AO319" s="100"/>
      <c r="AP319" s="100"/>
      <c r="AQ319" s="100"/>
      <c r="AR319" s="100"/>
      <c r="AS319" s="100"/>
      <c r="AT319" s="150"/>
      <c r="AU319" s="477"/>
      <c r="AV319" s="477"/>
    </row>
    <row r="320" spans="1:48" ht="16.3">
      <c r="A320" s="87" t="s">
        <v>3</v>
      </c>
      <c r="B320" s="289">
        <f>SUM(J320+K320+L320+M320+N320+S320+V320+W320+X320+AA320+AI320+AJ320+AI320+AM320+AP320+AQ320+AS320+AT320+AU320+AV320)</f>
        <v>0</v>
      </c>
      <c r="C320" s="132">
        <f t="shared" si="36"/>
        <v>0</v>
      </c>
      <c r="D320" s="133"/>
      <c r="E320" s="134"/>
      <c r="F320" s="135"/>
      <c r="G320" s="136"/>
      <c r="H320" s="481"/>
      <c r="I320" s="105"/>
      <c r="J320" s="75"/>
      <c r="K320" s="75"/>
      <c r="L320" s="75"/>
      <c r="M320" s="75"/>
      <c r="N320" s="75"/>
      <c r="O320" s="96"/>
      <c r="P320" s="105"/>
      <c r="Q320" s="96"/>
      <c r="R320" s="96"/>
      <c r="S320" s="75"/>
      <c r="T320" s="141"/>
      <c r="U320" s="141"/>
      <c r="V320" s="75"/>
      <c r="W320" s="100"/>
      <c r="X320" s="100"/>
      <c r="Y320" s="142"/>
      <c r="Z320" s="142"/>
      <c r="AA320" s="100"/>
      <c r="AB320" s="96"/>
      <c r="AC320" s="109"/>
      <c r="AD320" s="108"/>
      <c r="AE320" s="109"/>
      <c r="AF320" s="109"/>
      <c r="AG320" s="108"/>
      <c r="AH320" s="111"/>
      <c r="AI320" s="100"/>
      <c r="AJ320" s="100"/>
      <c r="AK320" s="100"/>
      <c r="AL320" s="100"/>
      <c r="AM320" s="100"/>
      <c r="AN320" s="100"/>
      <c r="AO320" s="100"/>
      <c r="AP320" s="100"/>
      <c r="AQ320" s="100"/>
      <c r="AR320" s="100"/>
      <c r="AS320" s="100"/>
      <c r="AT320" s="150"/>
      <c r="AU320" s="477"/>
      <c r="AV320" s="477"/>
    </row>
    <row r="321" spans="1:48" ht="17" thickBot="1">
      <c r="A321" s="88" t="s">
        <v>4</v>
      </c>
      <c r="B321" s="290">
        <f>SUM(J321+K321+L321+M321+N321+S321+V321+W321+X321+AA321+AI321+AJ321+AI321+AM321+AP321+AQ321+AS321+AT321+AU321+AV321)</f>
        <v>0</v>
      </c>
      <c r="C321" s="143">
        <f t="shared" si="36"/>
        <v>0</v>
      </c>
      <c r="D321" s="144"/>
      <c r="E321" s="145"/>
      <c r="F321" s="146"/>
      <c r="G321" s="147"/>
      <c r="H321" s="482"/>
      <c r="I321" s="127"/>
      <c r="J321" s="112"/>
      <c r="K321" s="112"/>
      <c r="L321" s="112"/>
      <c r="M321" s="112"/>
      <c r="N321" s="112"/>
      <c r="O321" s="114"/>
      <c r="P321" s="127"/>
      <c r="Q321" s="114"/>
      <c r="R321" s="114"/>
      <c r="S321" s="112"/>
      <c r="T321" s="178"/>
      <c r="U321" s="178"/>
      <c r="V321" s="112"/>
      <c r="W321" s="116"/>
      <c r="X321" s="116"/>
      <c r="Y321" s="149"/>
      <c r="Z321" s="149"/>
      <c r="AA321" s="116"/>
      <c r="AB321" s="114"/>
      <c r="AC321" s="118"/>
      <c r="AD321" s="117"/>
      <c r="AE321" s="118"/>
      <c r="AF321" s="118"/>
      <c r="AG321" s="117"/>
      <c r="AH321" s="121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76"/>
      <c r="AU321" s="477"/>
      <c r="AV321" s="477"/>
    </row>
    <row r="322" spans="1:48" ht="21.1">
      <c r="A322" s="82" t="s">
        <v>467</v>
      </c>
      <c r="B322" s="289"/>
      <c r="C322" s="132"/>
      <c r="D322" s="133"/>
      <c r="E322" s="134"/>
      <c r="F322" s="135"/>
      <c r="G322" s="136"/>
      <c r="H322" s="481" t="s">
        <v>387</v>
      </c>
      <c r="I322" s="105"/>
      <c r="J322" s="75">
        <v>5</v>
      </c>
      <c r="K322" s="75" t="s">
        <v>372</v>
      </c>
      <c r="L322" s="75">
        <v>4</v>
      </c>
      <c r="M322" s="75" t="s">
        <v>372</v>
      </c>
      <c r="N322" s="75">
        <v>4</v>
      </c>
      <c r="O322" s="96"/>
      <c r="P322" s="105"/>
      <c r="Q322" s="96">
        <v>5</v>
      </c>
      <c r="R322" s="96"/>
      <c r="S322" s="75" t="s">
        <v>387</v>
      </c>
      <c r="T322" s="141">
        <v>5</v>
      </c>
      <c r="U322" s="141" t="s">
        <v>375</v>
      </c>
      <c r="V322" s="75" t="s">
        <v>339</v>
      </c>
      <c r="W322" s="100"/>
      <c r="X322" s="100" t="s">
        <v>437</v>
      </c>
      <c r="Y322" s="142" t="s">
        <v>703</v>
      </c>
      <c r="Z322" s="142" t="s">
        <v>949</v>
      </c>
      <c r="AA322" s="100">
        <v>5</v>
      </c>
      <c r="AB322" s="96"/>
      <c r="AC322" s="109"/>
      <c r="AD322" s="108"/>
      <c r="AE322" s="109" t="s">
        <v>372</v>
      </c>
      <c r="AF322" s="109"/>
      <c r="AG322" s="108"/>
      <c r="AH322" s="111"/>
      <c r="AI322" s="100"/>
      <c r="AJ322" s="100"/>
      <c r="AK322" s="100"/>
      <c r="AL322" s="100"/>
      <c r="AM322" s="100"/>
      <c r="AN322" s="100"/>
      <c r="AO322" s="100"/>
      <c r="AP322" s="100"/>
      <c r="AQ322" s="100"/>
      <c r="AR322" s="100"/>
      <c r="AS322" s="100"/>
      <c r="AT322" s="150"/>
      <c r="AU322" s="477"/>
      <c r="AV322" s="477"/>
    </row>
    <row r="323" spans="1:48" ht="16.3">
      <c r="A323" s="246" t="s">
        <v>1</v>
      </c>
      <c r="B323" s="292">
        <f>SUM(J323+K323+L323+M323+N323+S323+V323+W323+X323+AA323+AI323+AJ323+AI323+AM323+AP323+AQ323+AS323+AT323+AU323+AV323+AN323)</f>
        <v>8</v>
      </c>
      <c r="C323" s="288">
        <f>SUM(K323+L323+M323+N323+J323+S323+W323+X323+V323+AA323+AJ323+AI323+AJ323+AN323+AQ323+AP323+AT323+AU323+AV323+AS323+AM323)+1</f>
        <v>9</v>
      </c>
      <c r="D323" s="133"/>
      <c r="E323" s="134"/>
      <c r="F323" s="135"/>
      <c r="G323" s="136"/>
      <c r="H323" s="481">
        <v>1</v>
      </c>
      <c r="I323" s="105"/>
      <c r="J323" s="75">
        <v>1</v>
      </c>
      <c r="K323" s="75">
        <v>1</v>
      </c>
      <c r="L323" s="75">
        <v>1</v>
      </c>
      <c r="M323" s="75">
        <v>1</v>
      </c>
      <c r="N323" s="75">
        <v>1</v>
      </c>
      <c r="O323" s="96"/>
      <c r="P323" s="105"/>
      <c r="Q323" s="96">
        <v>1</v>
      </c>
      <c r="R323" s="96"/>
      <c r="S323" s="75">
        <v>1</v>
      </c>
      <c r="T323" s="141">
        <v>1</v>
      </c>
      <c r="U323" s="141"/>
      <c r="V323" s="75"/>
      <c r="W323" s="100"/>
      <c r="X323" s="100">
        <v>1</v>
      </c>
      <c r="Y323" s="142"/>
      <c r="Z323" s="142">
        <v>1</v>
      </c>
      <c r="AA323" s="100">
        <v>1</v>
      </c>
      <c r="AB323" s="96"/>
      <c r="AC323" s="109"/>
      <c r="AD323" s="108"/>
      <c r="AE323" s="109">
        <v>1</v>
      </c>
      <c r="AF323" s="109"/>
      <c r="AG323" s="108"/>
      <c r="AH323" s="111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100"/>
      <c r="AT323" s="150"/>
      <c r="AU323" s="477"/>
      <c r="AV323" s="477"/>
    </row>
    <row r="324" spans="1:48" ht="16.3">
      <c r="A324" s="246" t="s">
        <v>2</v>
      </c>
      <c r="B324" s="292">
        <f>SUM(J324+K324+L324+M324+N324+S324+V324+W324+X324+AA324+AI324+AJ324+AI324+AM324+AP324+AQ324+AS324+AT324+AU324+AV324)</f>
        <v>0</v>
      </c>
      <c r="C324" s="288">
        <f>SUM(K324+L324+M324+N324+J324+S324+W324+X324+V324+AA324+AJ324+AI324+AJ324+AN324+AQ324+AP324+AT324+AU324+AV324+AS324+AM324)+2</f>
        <v>2</v>
      </c>
      <c r="D324" s="133"/>
      <c r="E324" s="134"/>
      <c r="F324" s="135"/>
      <c r="G324" s="136"/>
      <c r="H324" s="481"/>
      <c r="I324" s="105"/>
      <c r="J324" s="75"/>
      <c r="K324" s="75"/>
      <c r="L324" s="75"/>
      <c r="M324" s="75"/>
      <c r="N324" s="75"/>
      <c r="O324" s="96"/>
      <c r="P324" s="105"/>
      <c r="Q324" s="96"/>
      <c r="R324" s="96"/>
      <c r="S324" s="75"/>
      <c r="T324" s="141"/>
      <c r="U324" s="141">
        <v>1</v>
      </c>
      <c r="V324" s="75"/>
      <c r="W324" s="100"/>
      <c r="X324" s="100"/>
      <c r="Y324" s="142"/>
      <c r="Z324" s="142"/>
      <c r="AA324" s="100"/>
      <c r="AB324" s="96"/>
      <c r="AC324" s="109"/>
      <c r="AD324" s="108"/>
      <c r="AE324" s="109"/>
      <c r="AF324" s="109"/>
      <c r="AG324" s="108"/>
      <c r="AH324" s="111"/>
      <c r="AI324" s="100"/>
      <c r="AJ324" s="100"/>
      <c r="AK324" s="100"/>
      <c r="AL324" s="100"/>
      <c r="AM324" s="100"/>
      <c r="AN324" s="100"/>
      <c r="AO324" s="100"/>
      <c r="AP324" s="100"/>
      <c r="AQ324" s="100"/>
      <c r="AR324" s="100"/>
      <c r="AS324" s="100"/>
      <c r="AT324" s="150"/>
      <c r="AU324" s="477"/>
      <c r="AV324" s="477"/>
    </row>
    <row r="325" spans="1:48" ht="16.3">
      <c r="A325" s="87" t="s">
        <v>363</v>
      </c>
      <c r="B325" s="289">
        <f>SUM(B323+B324)</f>
        <v>8</v>
      </c>
      <c r="C325" s="132">
        <f>SUM(C323+C324)</f>
        <v>11</v>
      </c>
      <c r="D325" s="133"/>
      <c r="E325" s="134"/>
      <c r="F325" s="135"/>
      <c r="G325" s="136"/>
      <c r="H325" s="481"/>
      <c r="I325" s="105"/>
      <c r="J325" s="75"/>
      <c r="K325" s="75"/>
      <c r="L325" s="75"/>
      <c r="M325" s="75"/>
      <c r="N325" s="75"/>
      <c r="O325" s="96"/>
      <c r="P325" s="105"/>
      <c r="Q325" s="96"/>
      <c r="R325" s="96"/>
      <c r="S325" s="75"/>
      <c r="T325" s="141"/>
      <c r="U325" s="141"/>
      <c r="V325" s="75"/>
      <c r="W325" s="100"/>
      <c r="X325" s="100"/>
      <c r="Y325" s="142"/>
      <c r="Z325" s="142"/>
      <c r="AA325" s="100"/>
      <c r="AB325" s="96"/>
      <c r="AC325" s="109"/>
      <c r="AD325" s="108"/>
      <c r="AE325" s="109"/>
      <c r="AF325" s="109"/>
      <c r="AG325" s="108"/>
      <c r="AH325" s="111"/>
      <c r="AI325" s="100"/>
      <c r="AJ325" s="100"/>
      <c r="AK325" s="100"/>
      <c r="AL325" s="100"/>
      <c r="AM325" s="100"/>
      <c r="AN325" s="100"/>
      <c r="AO325" s="100"/>
      <c r="AP325" s="100"/>
      <c r="AQ325" s="100"/>
      <c r="AR325" s="100"/>
      <c r="AS325" s="100"/>
      <c r="AT325" s="150"/>
      <c r="AU325" s="477"/>
      <c r="AV325" s="477"/>
    </row>
    <row r="326" spans="1:48" ht="16.3">
      <c r="A326" s="234" t="s">
        <v>362</v>
      </c>
      <c r="B326" s="292">
        <f>SUM(J326+K326+L326+M326+N326+S326+V326+W326+X326+AA326+AI326+AJ326+AI326+AM326+AP326+AQ326+AS326+AT326+AU326+AV326)</f>
        <v>1</v>
      </c>
      <c r="C326" s="288">
        <f>SUM(K326+L326+M326+N326+J326+S326+W326+X326+V326+AA326+AJ326+AI326+AJ326+AN326+AQ326+AP326+AT326+AU326+AV326+AS326+AM326)</f>
        <v>1</v>
      </c>
      <c r="D326" s="133"/>
      <c r="E326" s="134"/>
      <c r="F326" s="135"/>
      <c r="G326" s="136"/>
      <c r="H326" s="481"/>
      <c r="I326" s="105"/>
      <c r="J326" s="75"/>
      <c r="K326" s="75"/>
      <c r="L326" s="75"/>
      <c r="M326" s="75"/>
      <c r="N326" s="75"/>
      <c r="O326" s="96"/>
      <c r="P326" s="105"/>
      <c r="Q326" s="96"/>
      <c r="R326" s="96"/>
      <c r="S326" s="75"/>
      <c r="T326" s="141"/>
      <c r="U326" s="141"/>
      <c r="V326" s="75"/>
      <c r="W326" s="100"/>
      <c r="X326" s="100">
        <v>1</v>
      </c>
      <c r="Y326" s="142"/>
      <c r="Z326" s="142">
        <v>1</v>
      </c>
      <c r="AA326" s="100"/>
      <c r="AB326" s="96"/>
      <c r="AC326" s="109"/>
      <c r="AD326" s="108"/>
      <c r="AE326" s="109"/>
      <c r="AF326" s="109"/>
      <c r="AG326" s="108"/>
      <c r="AH326" s="111"/>
      <c r="AI326" s="100"/>
      <c r="AJ326" s="100"/>
      <c r="AK326" s="100"/>
      <c r="AL326" s="100"/>
      <c r="AM326" s="100"/>
      <c r="AN326" s="100"/>
      <c r="AO326" s="100"/>
      <c r="AP326" s="100"/>
      <c r="AQ326" s="100"/>
      <c r="AR326" s="100"/>
      <c r="AS326" s="100"/>
      <c r="AT326" s="150"/>
      <c r="AU326" s="477"/>
      <c r="AV326" s="477"/>
    </row>
    <row r="327" spans="1:48" ht="16.3">
      <c r="A327" s="87" t="s">
        <v>3</v>
      </c>
      <c r="B327" s="289">
        <f>SUM(J327+K327+L327+M327+N327+S327+V327+W327+X327+AA327+AI327+AJ327+AI327+AM327+AP327+AQ327+AS327+AT327+AU327+AV327)</f>
        <v>0</v>
      </c>
      <c r="C327" s="132">
        <f>SUM(K327+L327+M327+N327+J327+S327+W327+X327+V327+AA327+AJ327+AI327+AJ327+AN327+AQ327+AP327+AT327+AU327+AV327+AS327+AM327)</f>
        <v>0</v>
      </c>
      <c r="D327" s="133"/>
      <c r="E327" s="134"/>
      <c r="F327" s="135"/>
      <c r="G327" s="136"/>
      <c r="H327" s="481"/>
      <c r="I327" s="105"/>
      <c r="J327" s="75"/>
      <c r="K327" s="75"/>
      <c r="L327" s="75"/>
      <c r="M327" s="75"/>
      <c r="N327" s="75"/>
      <c r="O327" s="96"/>
      <c r="P327" s="105"/>
      <c r="Q327" s="96"/>
      <c r="R327" s="96"/>
      <c r="S327" s="75"/>
      <c r="T327" s="141"/>
      <c r="U327" s="141"/>
      <c r="V327" s="75"/>
      <c r="W327" s="100"/>
      <c r="X327" s="100"/>
      <c r="Y327" s="142"/>
      <c r="Z327" s="142"/>
      <c r="AA327" s="100"/>
      <c r="AB327" s="96"/>
      <c r="AC327" s="109"/>
      <c r="AD327" s="108"/>
      <c r="AE327" s="109"/>
      <c r="AF327" s="109"/>
      <c r="AG327" s="108"/>
      <c r="AH327" s="111"/>
      <c r="AI327" s="100"/>
      <c r="AJ327" s="100"/>
      <c r="AK327" s="100"/>
      <c r="AL327" s="100"/>
      <c r="AM327" s="100"/>
      <c r="AN327" s="100"/>
      <c r="AO327" s="100"/>
      <c r="AP327" s="100"/>
      <c r="AQ327" s="100"/>
      <c r="AR327" s="100"/>
      <c r="AS327" s="100"/>
      <c r="AT327" s="150"/>
      <c r="AU327" s="477"/>
      <c r="AV327" s="477"/>
    </row>
    <row r="328" spans="1:48" ht="17" thickBot="1">
      <c r="A328" s="88" t="s">
        <v>4</v>
      </c>
      <c r="B328" s="290">
        <f>SUM(J328+K328+L328+M328+N328+S328+V328+W328+X328+AA328+AI328+AJ328+AI328+AM328+AP328+AQ328+AS328+AT328+AU328+AV328)</f>
        <v>0</v>
      </c>
      <c r="C328" s="143">
        <f>SUM(K328+L328+M328+N328+J328+S328+W328+X328+V328+AA328+AJ328+AI328+AJ328+AN328+AQ328+AP328+AT328+AU328+AV328+AS328+AM328)</f>
        <v>0</v>
      </c>
      <c r="D328" s="144"/>
      <c r="E328" s="145"/>
      <c r="F328" s="146"/>
      <c r="G328" s="147"/>
      <c r="H328" s="482"/>
      <c r="I328" s="127"/>
      <c r="J328" s="112"/>
      <c r="K328" s="112"/>
      <c r="L328" s="112"/>
      <c r="M328" s="112"/>
      <c r="N328" s="112"/>
      <c r="O328" s="114"/>
      <c r="P328" s="127"/>
      <c r="Q328" s="114"/>
      <c r="R328" s="114"/>
      <c r="S328" s="112"/>
      <c r="T328" s="178"/>
      <c r="U328" s="178"/>
      <c r="V328" s="112"/>
      <c r="W328" s="116"/>
      <c r="X328" s="116"/>
      <c r="Y328" s="149"/>
      <c r="Z328" s="149"/>
      <c r="AA328" s="116"/>
      <c r="AB328" s="114"/>
      <c r="AC328" s="118"/>
      <c r="AD328" s="117"/>
      <c r="AE328" s="118"/>
      <c r="AF328" s="118"/>
      <c r="AG328" s="117"/>
      <c r="AH328" s="121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76"/>
      <c r="AU328" s="477"/>
      <c r="AV328" s="477"/>
    </row>
    <row r="329" spans="1:48" ht="21.1">
      <c r="A329" s="82" t="s">
        <v>319</v>
      </c>
      <c r="B329" s="289"/>
      <c r="C329" s="132"/>
      <c r="D329" s="133"/>
      <c r="E329" s="134"/>
      <c r="F329" s="135"/>
      <c r="G329" s="136"/>
      <c r="H329" s="481" t="s">
        <v>373</v>
      </c>
      <c r="I329" s="105"/>
      <c r="J329" s="75">
        <v>7</v>
      </c>
      <c r="K329" s="75">
        <v>7</v>
      </c>
      <c r="L329" s="75">
        <v>7</v>
      </c>
      <c r="M329" s="75">
        <v>7</v>
      </c>
      <c r="N329" s="75" t="s">
        <v>373</v>
      </c>
      <c r="O329" s="96"/>
      <c r="P329" s="105"/>
      <c r="Q329" s="96" t="s">
        <v>375</v>
      </c>
      <c r="R329" s="96" t="s">
        <v>373</v>
      </c>
      <c r="S329" s="75" t="s">
        <v>375</v>
      </c>
      <c r="T329" s="141">
        <v>6</v>
      </c>
      <c r="U329" s="141">
        <v>6</v>
      </c>
      <c r="V329" s="75" t="s">
        <v>375</v>
      </c>
      <c r="W329" s="100" t="s">
        <v>382</v>
      </c>
      <c r="X329" s="100">
        <v>6</v>
      </c>
      <c r="Y329" s="142">
        <v>8</v>
      </c>
      <c r="Z329" s="142" t="s">
        <v>686</v>
      </c>
      <c r="AA329" s="100" t="s">
        <v>382</v>
      </c>
      <c r="AB329" s="96"/>
      <c r="AC329" s="109"/>
      <c r="AD329" s="108"/>
      <c r="AE329" s="109"/>
      <c r="AF329" s="109" t="s">
        <v>373</v>
      </c>
      <c r="AG329" s="108"/>
      <c r="AH329" s="111"/>
      <c r="AI329" s="100"/>
      <c r="AJ329" s="100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50"/>
      <c r="AU329" s="477"/>
      <c r="AV329" s="477"/>
    </row>
    <row r="330" spans="1:48" ht="16.3">
      <c r="A330" s="246" t="s">
        <v>1</v>
      </c>
      <c r="B330" s="292">
        <f>SUM(J330+K330+L330+M330+N330+S330+V330+W330+X330+AA330+AI330+AJ330+AI330+AM330+AP330+AQ330+AS330+AT330+AU330+AV330+AN330)+12</f>
        <v>20</v>
      </c>
      <c r="C330" s="288">
        <f>B330</f>
        <v>20</v>
      </c>
      <c r="D330" s="133"/>
      <c r="E330" s="134"/>
      <c r="F330" s="135"/>
      <c r="G330" s="136"/>
      <c r="H330" s="481">
        <v>1</v>
      </c>
      <c r="I330" s="105"/>
      <c r="J330" s="75">
        <v>1</v>
      </c>
      <c r="K330" s="75">
        <v>1</v>
      </c>
      <c r="L330" s="75">
        <v>1</v>
      </c>
      <c r="M330" s="75">
        <v>1</v>
      </c>
      <c r="N330" s="75">
        <v>1</v>
      </c>
      <c r="O330" s="96"/>
      <c r="P330" s="105"/>
      <c r="Q330" s="96"/>
      <c r="R330" s="96">
        <v>1</v>
      </c>
      <c r="S330" s="75"/>
      <c r="T330" s="141">
        <v>1</v>
      </c>
      <c r="U330" s="141">
        <v>1</v>
      </c>
      <c r="V330" s="75"/>
      <c r="W330" s="100">
        <v>1</v>
      </c>
      <c r="X330" s="100">
        <v>1</v>
      </c>
      <c r="Y330" s="142">
        <v>1</v>
      </c>
      <c r="Z330" s="142">
        <v>1</v>
      </c>
      <c r="AA330" s="100">
        <v>1</v>
      </c>
      <c r="AB330" s="96"/>
      <c r="AC330" s="109"/>
      <c r="AD330" s="108"/>
      <c r="AE330" s="109"/>
      <c r="AF330" s="109">
        <v>1</v>
      </c>
      <c r="AG330" s="108"/>
      <c r="AH330" s="111"/>
      <c r="AI330" s="100"/>
      <c r="AJ330" s="100"/>
      <c r="AK330" s="100"/>
      <c r="AL330" s="100"/>
      <c r="AM330" s="100"/>
      <c r="AN330" s="100"/>
      <c r="AO330" s="100"/>
      <c r="AP330" s="100"/>
      <c r="AQ330" s="100"/>
      <c r="AR330" s="100"/>
      <c r="AS330" s="100"/>
      <c r="AT330" s="150"/>
      <c r="AU330" s="477"/>
      <c r="AV330" s="477"/>
    </row>
    <row r="331" spans="1:48" ht="16.3">
      <c r="A331" s="246" t="s">
        <v>2</v>
      </c>
      <c r="B331" s="292">
        <f>SUM(J331+K331+L331+M331+N331+S331+V331+W331+X331+AA331+AI331+AJ331+AI331+AM331+AP331+AQ331+AS331+AT331+AU331+AV331)+1</f>
        <v>3</v>
      </c>
      <c r="C331" s="288">
        <f t="shared" ref="C331:C335" si="37">B331</f>
        <v>3</v>
      </c>
      <c r="D331" s="133"/>
      <c r="E331" s="134"/>
      <c r="F331" s="135"/>
      <c r="G331" s="136"/>
      <c r="H331" s="481"/>
      <c r="I331" s="105"/>
      <c r="J331" s="75"/>
      <c r="K331" s="75"/>
      <c r="L331" s="75"/>
      <c r="M331" s="75"/>
      <c r="N331" s="75"/>
      <c r="O331" s="96"/>
      <c r="P331" s="105"/>
      <c r="Q331" s="96">
        <v>1</v>
      </c>
      <c r="R331" s="96"/>
      <c r="S331" s="75">
        <v>1</v>
      </c>
      <c r="T331" s="141"/>
      <c r="U331" s="141"/>
      <c r="V331" s="75">
        <v>1</v>
      </c>
      <c r="W331" s="100"/>
      <c r="X331" s="100"/>
      <c r="Y331" s="142"/>
      <c r="Z331" s="142"/>
      <c r="AA331" s="100"/>
      <c r="AB331" s="96"/>
      <c r="AC331" s="109"/>
      <c r="AD331" s="108"/>
      <c r="AE331" s="109"/>
      <c r="AF331" s="109"/>
      <c r="AG331" s="108"/>
      <c r="AH331" s="111"/>
      <c r="AI331" s="100"/>
      <c r="AJ331" s="100"/>
      <c r="AK331" s="100"/>
      <c r="AL331" s="100"/>
      <c r="AM331" s="100"/>
      <c r="AN331" s="100"/>
      <c r="AO331" s="100"/>
      <c r="AP331" s="100"/>
      <c r="AQ331" s="100"/>
      <c r="AR331" s="100"/>
      <c r="AS331" s="100"/>
      <c r="AT331" s="150"/>
      <c r="AU331" s="477"/>
      <c r="AV331" s="477"/>
    </row>
    <row r="332" spans="1:48" ht="16.3">
      <c r="A332" s="87" t="s">
        <v>363</v>
      </c>
      <c r="B332" s="289">
        <f>SUM(B330+B331)</f>
        <v>23</v>
      </c>
      <c r="C332" s="132">
        <f t="shared" si="37"/>
        <v>23</v>
      </c>
      <c r="D332" s="133"/>
      <c r="E332" s="134"/>
      <c r="F332" s="135"/>
      <c r="G332" s="136"/>
      <c r="H332" s="481"/>
      <c r="I332" s="105"/>
      <c r="J332" s="75"/>
      <c r="K332" s="75"/>
      <c r="L332" s="75"/>
      <c r="M332" s="75"/>
      <c r="N332" s="75"/>
      <c r="O332" s="96"/>
      <c r="P332" s="105"/>
      <c r="Q332" s="96"/>
      <c r="R332" s="96"/>
      <c r="S332" s="75"/>
      <c r="T332" s="141"/>
      <c r="U332" s="141"/>
      <c r="V332" s="75"/>
      <c r="W332" s="100"/>
      <c r="X332" s="100"/>
      <c r="Y332" s="142"/>
      <c r="Z332" s="142"/>
      <c r="AA332" s="100"/>
      <c r="AB332" s="96"/>
      <c r="AC332" s="109"/>
      <c r="AD332" s="108"/>
      <c r="AE332" s="109"/>
      <c r="AF332" s="109"/>
      <c r="AG332" s="108"/>
      <c r="AH332" s="111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50"/>
      <c r="AU332" s="477"/>
      <c r="AV332" s="477"/>
    </row>
    <row r="333" spans="1:48" ht="16.3">
      <c r="A333" s="234" t="s">
        <v>362</v>
      </c>
      <c r="B333" s="292">
        <f>SUM(J333+K333+L333+M333+N333+S333+V333+W333+X333+AA333+AI333+AJ333+AI333+AM333+AP333+AQ333+AS333+AT333+AU333+AV333)</f>
        <v>0</v>
      </c>
      <c r="C333" s="288">
        <f t="shared" ref="C333" si="38">B333</f>
        <v>0</v>
      </c>
      <c r="D333" s="133"/>
      <c r="E333" s="134"/>
      <c r="F333" s="135"/>
      <c r="G333" s="136"/>
      <c r="H333" s="481"/>
      <c r="I333" s="105"/>
      <c r="J333" s="75"/>
      <c r="K333" s="75"/>
      <c r="L333" s="75"/>
      <c r="M333" s="75"/>
      <c r="N333" s="75"/>
      <c r="O333" s="96"/>
      <c r="P333" s="105"/>
      <c r="Q333" s="96"/>
      <c r="R333" s="96"/>
      <c r="S333" s="75"/>
      <c r="T333" s="141"/>
      <c r="U333" s="141"/>
      <c r="V333" s="75"/>
      <c r="W333" s="100"/>
      <c r="X333" s="100"/>
      <c r="Y333" s="142"/>
      <c r="Z333" s="142">
        <v>1</v>
      </c>
      <c r="AA333" s="100"/>
      <c r="AB333" s="96"/>
      <c r="AC333" s="109"/>
      <c r="AD333" s="108"/>
      <c r="AE333" s="109"/>
      <c r="AF333" s="109"/>
      <c r="AG333" s="108"/>
      <c r="AH333" s="111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50"/>
      <c r="AU333" s="477"/>
      <c r="AV333" s="477"/>
    </row>
    <row r="334" spans="1:48" ht="16.3">
      <c r="A334" s="87" t="s">
        <v>3</v>
      </c>
      <c r="B334" s="289">
        <f>SUM(J334+K334+L334+M334+N334+S334+V334+W334+X334+AA334+AI334+AJ334+AI334+AM334+AP334+AQ334+AS334+AT334+AU334+AV334)</f>
        <v>0</v>
      </c>
      <c r="C334" s="132">
        <f t="shared" si="37"/>
        <v>0</v>
      </c>
      <c r="D334" s="133"/>
      <c r="E334" s="134"/>
      <c r="F334" s="135"/>
      <c r="G334" s="136"/>
      <c r="H334" s="481"/>
      <c r="I334" s="105"/>
      <c r="J334" s="75"/>
      <c r="K334" s="75"/>
      <c r="L334" s="75"/>
      <c r="M334" s="75"/>
      <c r="N334" s="75"/>
      <c r="O334" s="96"/>
      <c r="P334" s="105"/>
      <c r="Q334" s="96"/>
      <c r="R334" s="96"/>
      <c r="S334" s="75"/>
      <c r="T334" s="141"/>
      <c r="U334" s="141"/>
      <c r="V334" s="75"/>
      <c r="W334" s="100"/>
      <c r="X334" s="100"/>
      <c r="Y334" s="142"/>
      <c r="Z334" s="142"/>
      <c r="AA334" s="100"/>
      <c r="AB334" s="96"/>
      <c r="AC334" s="109"/>
      <c r="AD334" s="108"/>
      <c r="AE334" s="109"/>
      <c r="AF334" s="109"/>
      <c r="AG334" s="108"/>
      <c r="AH334" s="111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50"/>
      <c r="AU334" s="477"/>
      <c r="AV334" s="477"/>
    </row>
    <row r="335" spans="1:48" ht="17" thickBot="1">
      <c r="A335" s="88" t="s">
        <v>4</v>
      </c>
      <c r="B335" s="289">
        <f>SUM(J335+K335+L335+M335+N335+S335+V335+W335+X335+AA335+AI335+AJ335+AI335+AM335+AP335+AQ335+AS335+AT335+AU335+AV335)</f>
        <v>0</v>
      </c>
      <c r="C335" s="132">
        <f t="shared" si="37"/>
        <v>0</v>
      </c>
      <c r="D335" s="133"/>
      <c r="E335" s="134"/>
      <c r="F335" s="135"/>
      <c r="G335" s="136"/>
      <c r="H335" s="482"/>
      <c r="I335" s="127"/>
      <c r="J335" s="112"/>
      <c r="K335" s="112"/>
      <c r="L335" s="112"/>
      <c r="M335" s="112"/>
      <c r="N335" s="112"/>
      <c r="O335" s="114"/>
      <c r="P335" s="127"/>
      <c r="Q335" s="114"/>
      <c r="R335" s="114"/>
      <c r="S335" s="112"/>
      <c r="T335" s="178"/>
      <c r="U335" s="178"/>
      <c r="V335" s="112"/>
      <c r="W335" s="116"/>
      <c r="X335" s="112"/>
      <c r="Y335" s="142"/>
      <c r="Z335" s="142"/>
      <c r="AA335" s="100"/>
      <c r="AB335" s="114"/>
      <c r="AC335" s="109"/>
      <c r="AD335" s="108"/>
      <c r="AE335" s="109"/>
      <c r="AF335" s="109"/>
      <c r="AG335" s="108"/>
      <c r="AH335" s="111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50"/>
      <c r="AU335" s="477"/>
      <c r="AV335" s="477"/>
    </row>
    <row r="336" spans="1:48" ht="21.1">
      <c r="A336" s="82" t="s">
        <v>197</v>
      </c>
      <c r="B336" s="291"/>
      <c r="C336" s="152"/>
      <c r="D336" s="153"/>
      <c r="E336" s="154"/>
      <c r="F336" s="155"/>
      <c r="G336" s="156"/>
      <c r="H336" s="481"/>
      <c r="I336" s="105"/>
      <c r="J336" s="75"/>
      <c r="K336" s="75"/>
      <c r="L336" s="75"/>
      <c r="M336" s="75"/>
      <c r="N336" s="75" t="s">
        <v>375</v>
      </c>
      <c r="O336" s="96">
        <v>7</v>
      </c>
      <c r="P336" s="105"/>
      <c r="Q336" s="96" t="s">
        <v>373</v>
      </c>
      <c r="R336" s="96" t="s">
        <v>375</v>
      </c>
      <c r="S336" s="75"/>
      <c r="T336" s="141"/>
      <c r="U336" s="141">
        <v>8</v>
      </c>
      <c r="V336" s="75">
        <v>6</v>
      </c>
      <c r="W336" s="100">
        <v>8</v>
      </c>
      <c r="X336" s="100" t="s">
        <v>374</v>
      </c>
      <c r="Y336" s="138" t="s">
        <v>339</v>
      </c>
      <c r="Z336" s="138" t="s">
        <v>339</v>
      </c>
      <c r="AA336" s="102" t="s">
        <v>339</v>
      </c>
      <c r="AB336" s="96" t="s">
        <v>339</v>
      </c>
      <c r="AC336" s="99"/>
      <c r="AD336" s="98"/>
      <c r="AE336" s="99"/>
      <c r="AF336" s="99">
        <v>8</v>
      </c>
      <c r="AG336" s="98"/>
      <c r="AH336" s="103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478"/>
      <c r="AU336" s="477"/>
      <c r="AV336" s="477"/>
    </row>
    <row r="337" spans="1:48" ht="16.3">
      <c r="A337" s="246" t="s">
        <v>1</v>
      </c>
      <c r="B337" s="292">
        <f>SUM(J337+K337+L337+M337+N337+S337+V337+W337+X337+AA337+AI337+AJ337+AI337+AM337+AP337+AQ337+AS337+AT337+AU337+AV337+AN337)</f>
        <v>3</v>
      </c>
      <c r="C337" s="288">
        <f>B337</f>
        <v>3</v>
      </c>
      <c r="D337" s="133"/>
      <c r="E337" s="134"/>
      <c r="F337" s="135"/>
      <c r="G337" s="136"/>
      <c r="H337" s="481"/>
      <c r="I337" s="105"/>
      <c r="J337" s="75"/>
      <c r="K337" s="75"/>
      <c r="L337" s="75"/>
      <c r="M337" s="75"/>
      <c r="N337" s="75"/>
      <c r="O337" s="96">
        <v>1</v>
      </c>
      <c r="P337" s="105"/>
      <c r="Q337" s="96">
        <v>1</v>
      </c>
      <c r="R337" s="96"/>
      <c r="S337" s="75"/>
      <c r="T337" s="141"/>
      <c r="U337" s="141">
        <v>1</v>
      </c>
      <c r="V337" s="75">
        <v>1</v>
      </c>
      <c r="W337" s="100">
        <v>1</v>
      </c>
      <c r="X337" s="100">
        <v>1</v>
      </c>
      <c r="Y337" s="142"/>
      <c r="Z337" s="142"/>
      <c r="AA337" s="100"/>
      <c r="AB337" s="96"/>
      <c r="AC337" s="109"/>
      <c r="AD337" s="108"/>
      <c r="AE337" s="109"/>
      <c r="AF337" s="109">
        <v>1</v>
      </c>
      <c r="AG337" s="108"/>
      <c r="AH337" s="111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50"/>
      <c r="AU337" s="477"/>
      <c r="AV337" s="477"/>
    </row>
    <row r="338" spans="1:48" ht="16.3">
      <c r="A338" s="246" t="s">
        <v>2</v>
      </c>
      <c r="B338" s="292">
        <f>SUM(J338+K338+L338+M338+N338+S338+V338+W338+X338+AA338+AI338+AJ338+AI338+AM338+AP338+AQ338+AS338+AT338+AU338+AV338)+8</f>
        <v>9</v>
      </c>
      <c r="C338" s="288">
        <f t="shared" ref="C338:C341" si="39">B338</f>
        <v>9</v>
      </c>
      <c r="D338" s="133"/>
      <c r="E338" s="134"/>
      <c r="F338" s="135"/>
      <c r="G338" s="136"/>
      <c r="H338" s="481"/>
      <c r="I338" s="105"/>
      <c r="J338" s="75"/>
      <c r="K338" s="75"/>
      <c r="L338" s="75"/>
      <c r="M338" s="75"/>
      <c r="N338" s="75">
        <v>1</v>
      </c>
      <c r="O338" s="96"/>
      <c r="P338" s="105"/>
      <c r="Q338" s="96"/>
      <c r="R338" s="96">
        <v>1</v>
      </c>
      <c r="S338" s="75"/>
      <c r="T338" s="141"/>
      <c r="U338" s="141"/>
      <c r="V338" s="75"/>
      <c r="W338" s="100"/>
      <c r="X338" s="100"/>
      <c r="Y338" s="142"/>
      <c r="Z338" s="142"/>
      <c r="AA338" s="100"/>
      <c r="AB338" s="96"/>
      <c r="AC338" s="109"/>
      <c r="AD338" s="108"/>
      <c r="AE338" s="109"/>
      <c r="AF338" s="109"/>
      <c r="AG338" s="108"/>
      <c r="AH338" s="111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50"/>
      <c r="AU338" s="477"/>
      <c r="AV338" s="477"/>
    </row>
    <row r="339" spans="1:48" ht="16.3">
      <c r="A339" s="87" t="s">
        <v>363</v>
      </c>
      <c r="B339" s="289">
        <f>SUM(B337+B338)</f>
        <v>12</v>
      </c>
      <c r="C339" s="132">
        <f t="shared" si="39"/>
        <v>12</v>
      </c>
      <c r="D339" s="133"/>
      <c r="E339" s="134"/>
      <c r="F339" s="135"/>
      <c r="G339" s="136"/>
      <c r="H339" s="481"/>
      <c r="I339" s="105"/>
      <c r="J339" s="75"/>
      <c r="K339" s="75"/>
      <c r="L339" s="75"/>
      <c r="M339" s="75"/>
      <c r="N339" s="75"/>
      <c r="O339" s="96"/>
      <c r="P339" s="105"/>
      <c r="Q339" s="96"/>
      <c r="R339" s="96"/>
      <c r="S339" s="75"/>
      <c r="T339" s="141"/>
      <c r="U339" s="141"/>
      <c r="V339" s="75"/>
      <c r="W339" s="100"/>
      <c r="X339" s="100"/>
      <c r="Y339" s="142"/>
      <c r="Z339" s="142"/>
      <c r="AA339" s="100"/>
      <c r="AB339" s="96"/>
      <c r="AC339" s="109"/>
      <c r="AD339" s="108"/>
      <c r="AE339" s="109"/>
      <c r="AF339" s="109"/>
      <c r="AG339" s="108"/>
      <c r="AH339" s="111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50"/>
      <c r="AU339" s="477"/>
      <c r="AV339" s="477"/>
    </row>
    <row r="340" spans="1:48" ht="16.3">
      <c r="A340" s="87" t="s">
        <v>3</v>
      </c>
      <c r="B340" s="289">
        <f>SUM(J340+K340+L340+M340+N340+S340+V340+W340+X340+AA340+AI340+AJ340+AI340+AM340+AP340+AQ340+AS340+AT340+AU340+AV340)+1</f>
        <v>4</v>
      </c>
      <c r="C340" s="132">
        <f t="shared" si="39"/>
        <v>4</v>
      </c>
      <c r="D340" s="133"/>
      <c r="E340" s="134"/>
      <c r="F340" s="135"/>
      <c r="G340" s="136"/>
      <c r="H340" s="481"/>
      <c r="I340" s="105"/>
      <c r="J340" s="75"/>
      <c r="K340" s="75"/>
      <c r="L340" s="75"/>
      <c r="M340" s="75"/>
      <c r="N340" s="75">
        <v>1</v>
      </c>
      <c r="O340" s="96"/>
      <c r="P340" s="105"/>
      <c r="Q340" s="96"/>
      <c r="R340" s="96"/>
      <c r="S340" s="75"/>
      <c r="T340" s="141"/>
      <c r="U340" s="141"/>
      <c r="V340" s="75">
        <v>1</v>
      </c>
      <c r="W340" s="100">
        <v>1</v>
      </c>
      <c r="X340" s="100"/>
      <c r="Y340" s="142"/>
      <c r="Z340" s="142"/>
      <c r="AA340" s="100"/>
      <c r="AB340" s="96"/>
      <c r="AC340" s="109"/>
      <c r="AD340" s="108"/>
      <c r="AE340" s="109"/>
      <c r="AF340" s="109"/>
      <c r="AG340" s="108"/>
      <c r="AH340" s="111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50"/>
      <c r="AU340" s="477"/>
      <c r="AV340" s="477"/>
    </row>
    <row r="341" spans="1:48" ht="17" thickBot="1">
      <c r="A341" s="88" t="s">
        <v>4</v>
      </c>
      <c r="B341" s="289">
        <f>SUM(J341+K341+L341+M341+N341+S341+V341+W341+X341+AA341+AI341+AJ341+AI341+AM341+AP341+AQ341+AS341+AT341+AU341+AV341)+5</f>
        <v>20</v>
      </c>
      <c r="C341" s="132">
        <f t="shared" si="39"/>
        <v>20</v>
      </c>
      <c r="D341" s="133"/>
      <c r="E341" s="134"/>
      <c r="F341" s="135"/>
      <c r="G341" s="136"/>
      <c r="H341" s="482"/>
      <c r="I341" s="127"/>
      <c r="J341" s="112"/>
      <c r="K341" s="112"/>
      <c r="L341" s="112"/>
      <c r="M341" s="112"/>
      <c r="N341" s="112">
        <v>5</v>
      </c>
      <c r="O341" s="114"/>
      <c r="P341" s="127"/>
      <c r="Q341" s="114"/>
      <c r="R341" s="114"/>
      <c r="S341" s="112"/>
      <c r="T341" s="178"/>
      <c r="U341" s="178"/>
      <c r="V341" s="112">
        <v>5</v>
      </c>
      <c r="W341" s="116">
        <v>5</v>
      </c>
      <c r="X341" s="112"/>
      <c r="Y341" s="149"/>
      <c r="Z341" s="149"/>
      <c r="AA341" s="116"/>
      <c r="AB341" s="114"/>
      <c r="AC341" s="118"/>
      <c r="AD341" s="117"/>
      <c r="AE341" s="118"/>
      <c r="AF341" s="118"/>
      <c r="AG341" s="117"/>
      <c r="AH341" s="121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76"/>
      <c r="AU341" s="477"/>
      <c r="AV341" s="477"/>
    </row>
    <row r="342" spans="1:48" ht="21.1">
      <c r="A342" s="82" t="s">
        <v>172</v>
      </c>
      <c r="B342" s="291"/>
      <c r="C342" s="152"/>
      <c r="D342" s="153"/>
      <c r="E342" s="154"/>
      <c r="F342" s="155"/>
      <c r="G342" s="156"/>
      <c r="H342" s="481" t="s">
        <v>375</v>
      </c>
      <c r="I342" s="105"/>
      <c r="J342" s="75" t="s">
        <v>375</v>
      </c>
      <c r="K342" s="75"/>
      <c r="L342" s="75"/>
      <c r="M342" s="75" t="s">
        <v>375</v>
      </c>
      <c r="N342" s="75" t="s">
        <v>375</v>
      </c>
      <c r="O342" s="96">
        <v>8</v>
      </c>
      <c r="P342" s="105"/>
      <c r="Q342" s="96">
        <v>8</v>
      </c>
      <c r="R342" s="96"/>
      <c r="S342" s="75">
        <v>6</v>
      </c>
      <c r="T342" s="141"/>
      <c r="U342" s="141"/>
      <c r="V342" s="75" t="s">
        <v>339</v>
      </c>
      <c r="W342" s="100"/>
      <c r="X342" s="100"/>
      <c r="Y342" s="142"/>
      <c r="Z342" s="142" t="s">
        <v>382</v>
      </c>
      <c r="AA342" s="100">
        <v>8</v>
      </c>
      <c r="AB342" s="96" t="s">
        <v>374</v>
      </c>
      <c r="AC342" s="109"/>
      <c r="AD342" s="108"/>
      <c r="AE342" s="109"/>
      <c r="AF342" s="109"/>
      <c r="AG342" s="108"/>
      <c r="AH342" s="111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50"/>
      <c r="AU342" s="477"/>
      <c r="AV342" s="477"/>
    </row>
    <row r="343" spans="1:48" ht="16.3">
      <c r="A343" s="246" t="s">
        <v>1</v>
      </c>
      <c r="B343" s="292">
        <f>SUM(J343+K343+L343+M343+N343+S343+V343+W343+X343+AA343+AI343+AJ343+AI343+AM343+AP343+AQ343+AS343+AT343+AU343+AV343+AN343)+24</f>
        <v>26</v>
      </c>
      <c r="C343" s="288">
        <f>B343</f>
        <v>26</v>
      </c>
      <c r="D343" s="133"/>
      <c r="E343" s="134"/>
      <c r="F343" s="135"/>
      <c r="G343" s="136"/>
      <c r="H343" s="481"/>
      <c r="I343" s="105"/>
      <c r="J343" s="75"/>
      <c r="K343" s="75"/>
      <c r="L343" s="75"/>
      <c r="M343" s="75"/>
      <c r="N343" s="75"/>
      <c r="O343" s="96">
        <v>1</v>
      </c>
      <c r="P343" s="105"/>
      <c r="Q343" s="96">
        <v>1</v>
      </c>
      <c r="R343" s="96"/>
      <c r="S343" s="75">
        <v>1</v>
      </c>
      <c r="T343" s="141"/>
      <c r="U343" s="141"/>
      <c r="V343" s="75"/>
      <c r="W343" s="100"/>
      <c r="X343" s="100"/>
      <c r="Y343" s="142"/>
      <c r="Z343" s="142">
        <v>1</v>
      </c>
      <c r="AA343" s="100">
        <v>1</v>
      </c>
      <c r="AB343" s="96">
        <v>1</v>
      </c>
      <c r="AC343" s="109"/>
      <c r="AD343" s="108"/>
      <c r="AE343" s="109"/>
      <c r="AF343" s="109"/>
      <c r="AG343" s="108"/>
      <c r="AH343" s="111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50"/>
      <c r="AU343" s="477"/>
      <c r="AV343" s="477"/>
    </row>
    <row r="344" spans="1:48" ht="16.3">
      <c r="A344" s="246" t="s">
        <v>2</v>
      </c>
      <c r="B344" s="292">
        <f>SUM(J344+K344+L344+M344+N344+S344+V344+W344+X344+AA344+AI344+AJ344+AI344+AM344+AP344+AQ344+AS344+AT344+AU344+AV344)+23</f>
        <v>26</v>
      </c>
      <c r="C344" s="288">
        <f t="shared" ref="C344:C348" si="40">B344</f>
        <v>26</v>
      </c>
      <c r="D344" s="133"/>
      <c r="E344" s="134"/>
      <c r="F344" s="135"/>
      <c r="G344" s="136"/>
      <c r="H344" s="481">
        <v>1</v>
      </c>
      <c r="I344" s="105"/>
      <c r="J344" s="75">
        <v>1</v>
      </c>
      <c r="K344" s="75"/>
      <c r="L344" s="75"/>
      <c r="M344" s="75">
        <v>1</v>
      </c>
      <c r="N344" s="75">
        <v>1</v>
      </c>
      <c r="O344" s="96"/>
      <c r="P344" s="105"/>
      <c r="Q344" s="96"/>
      <c r="R344" s="96"/>
      <c r="S344" s="75"/>
      <c r="T344" s="141"/>
      <c r="U344" s="141"/>
      <c r="V344" s="75"/>
      <c r="W344" s="100"/>
      <c r="X344" s="100"/>
      <c r="Y344" s="142"/>
      <c r="Z344" s="142"/>
      <c r="AA344" s="100"/>
      <c r="AB344" s="96"/>
      <c r="AC344" s="109"/>
      <c r="AD344" s="108"/>
      <c r="AE344" s="109"/>
      <c r="AF344" s="109"/>
      <c r="AG344" s="108"/>
      <c r="AH344" s="111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50"/>
      <c r="AU344" s="477"/>
      <c r="AV344" s="477"/>
    </row>
    <row r="345" spans="1:48" ht="16.3">
      <c r="A345" s="87" t="s">
        <v>363</v>
      </c>
      <c r="B345" s="289">
        <f>SUM(B343+B344)</f>
        <v>52</v>
      </c>
      <c r="C345" s="132">
        <f t="shared" si="40"/>
        <v>52</v>
      </c>
      <c r="D345" s="133"/>
      <c r="E345" s="134"/>
      <c r="F345" s="135"/>
      <c r="G345" s="136"/>
      <c r="H345" s="481"/>
      <c r="I345" s="105"/>
      <c r="J345" s="75"/>
      <c r="K345" s="75"/>
      <c r="L345" s="75"/>
      <c r="M345" s="75"/>
      <c r="N345" s="75"/>
      <c r="O345" s="96"/>
      <c r="P345" s="105"/>
      <c r="Q345" s="96"/>
      <c r="R345" s="96"/>
      <c r="S345" s="75"/>
      <c r="T345" s="141"/>
      <c r="U345" s="141"/>
      <c r="V345" s="75"/>
      <c r="W345" s="100"/>
      <c r="X345" s="100"/>
      <c r="Y345" s="142"/>
      <c r="Z345" s="142"/>
      <c r="AA345" s="100"/>
      <c r="AB345" s="96"/>
      <c r="AC345" s="109"/>
      <c r="AD345" s="108"/>
      <c r="AE345" s="109"/>
      <c r="AF345" s="109"/>
      <c r="AG345" s="108"/>
      <c r="AH345" s="111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50"/>
      <c r="AU345" s="477"/>
      <c r="AV345" s="477"/>
    </row>
    <row r="346" spans="1:48" ht="16.3">
      <c r="A346" s="246" t="s">
        <v>362</v>
      </c>
      <c r="B346" s="292">
        <f>SUM(J346+K346+L346+M346+N346+S346+V346+W346+X346+AA346+AI346+AJ346+AI346+AM346+AP346+AQ346+AS346+AT346+AU346+AV346)+1</f>
        <v>1</v>
      </c>
      <c r="C346" s="288">
        <f t="shared" si="40"/>
        <v>1</v>
      </c>
      <c r="D346" s="133"/>
      <c r="E346" s="134"/>
      <c r="F346" s="135"/>
      <c r="G346" s="136"/>
      <c r="H346" s="481"/>
      <c r="I346" s="105"/>
      <c r="J346" s="75"/>
      <c r="K346" s="75"/>
      <c r="L346" s="75"/>
      <c r="M346" s="75"/>
      <c r="N346" s="75"/>
      <c r="O346" s="96"/>
      <c r="P346" s="105"/>
      <c r="Q346" s="96"/>
      <c r="R346" s="96"/>
      <c r="S346" s="75"/>
      <c r="T346" s="141"/>
      <c r="U346" s="141"/>
      <c r="V346" s="75"/>
      <c r="W346" s="100"/>
      <c r="X346" s="100"/>
      <c r="Y346" s="142"/>
      <c r="Z346" s="142"/>
      <c r="AA346" s="100"/>
      <c r="AB346" s="96"/>
      <c r="AC346" s="109"/>
      <c r="AD346" s="108"/>
      <c r="AE346" s="109"/>
      <c r="AF346" s="109"/>
      <c r="AG346" s="108"/>
      <c r="AH346" s="111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50"/>
      <c r="AU346" s="477"/>
      <c r="AV346" s="477"/>
    </row>
    <row r="347" spans="1:48" ht="16.3">
      <c r="A347" s="87" t="s">
        <v>3</v>
      </c>
      <c r="B347" s="289">
        <f>SUM(J347+K347+L347+M347+N347+S347+V347+W347+X347+AA347+AI347+AJ347+AI347+AM347+AP347+AQ347+AS347+AT347+AU347+AV347)+3</f>
        <v>3</v>
      </c>
      <c r="C347" s="132">
        <f t="shared" si="40"/>
        <v>3</v>
      </c>
      <c r="D347" s="133"/>
      <c r="E347" s="134"/>
      <c r="F347" s="135"/>
      <c r="G347" s="136"/>
      <c r="H347" s="481"/>
      <c r="I347" s="105"/>
      <c r="J347" s="75"/>
      <c r="K347" s="75"/>
      <c r="L347" s="75"/>
      <c r="M347" s="75"/>
      <c r="N347" s="75"/>
      <c r="O347" s="96"/>
      <c r="P347" s="105"/>
      <c r="Q347" s="96">
        <v>1</v>
      </c>
      <c r="R347" s="96"/>
      <c r="S347" s="75"/>
      <c r="T347" s="141"/>
      <c r="U347" s="141"/>
      <c r="V347" s="75"/>
      <c r="W347" s="100"/>
      <c r="X347" s="100"/>
      <c r="Y347" s="142"/>
      <c r="Z347" s="142"/>
      <c r="AA347" s="100"/>
      <c r="AB347" s="96"/>
      <c r="AC347" s="109"/>
      <c r="AD347" s="108"/>
      <c r="AE347" s="109"/>
      <c r="AF347" s="109"/>
      <c r="AG347" s="108"/>
      <c r="AH347" s="111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50"/>
      <c r="AU347" s="477"/>
      <c r="AV347" s="477"/>
    </row>
    <row r="348" spans="1:48" ht="17" thickBot="1">
      <c r="A348" s="88" t="s">
        <v>4</v>
      </c>
      <c r="B348" s="290">
        <f>SUM(J348+K348+L348+M348+N348+S348+V348+W348+X348+AA348+AI348+AJ348+AI348+AM348+AP348+AQ348+AS348+AT348+AU348+AV348)+15</f>
        <v>15</v>
      </c>
      <c r="C348" s="143">
        <f t="shared" si="40"/>
        <v>15</v>
      </c>
      <c r="D348" s="144"/>
      <c r="E348" s="145"/>
      <c r="F348" s="146"/>
      <c r="G348" s="147"/>
      <c r="H348" s="482"/>
      <c r="I348" s="127"/>
      <c r="J348" s="112"/>
      <c r="K348" s="112"/>
      <c r="L348" s="112"/>
      <c r="M348" s="112"/>
      <c r="N348" s="112"/>
      <c r="O348" s="114"/>
      <c r="P348" s="127"/>
      <c r="Q348" s="114">
        <v>5</v>
      </c>
      <c r="R348" s="114"/>
      <c r="S348" s="112"/>
      <c r="T348" s="178"/>
      <c r="U348" s="178"/>
      <c r="V348" s="112"/>
      <c r="W348" s="116"/>
      <c r="X348" s="116"/>
      <c r="Y348" s="149"/>
      <c r="Z348" s="149"/>
      <c r="AA348" s="116"/>
      <c r="AB348" s="114"/>
      <c r="AC348" s="118"/>
      <c r="AD348" s="117"/>
      <c r="AE348" s="118"/>
      <c r="AF348" s="118"/>
      <c r="AG348" s="117"/>
      <c r="AH348" s="121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76"/>
      <c r="AU348" s="477"/>
      <c r="AV348" s="477"/>
    </row>
    <row r="349" spans="1:48" ht="21.1">
      <c r="A349" s="82" t="s">
        <v>980</v>
      </c>
      <c r="B349" s="289"/>
      <c r="C349" s="132"/>
      <c r="D349" s="133"/>
      <c r="E349" s="134"/>
      <c r="F349" s="135"/>
      <c r="G349" s="136"/>
      <c r="H349" s="481"/>
      <c r="I349" s="105"/>
      <c r="J349" s="75"/>
      <c r="K349" s="75"/>
      <c r="L349" s="75"/>
      <c r="M349" s="75"/>
      <c r="N349" s="75"/>
      <c r="O349" s="96"/>
      <c r="P349" s="105"/>
      <c r="Q349" s="96"/>
      <c r="R349" s="96"/>
      <c r="S349" s="75"/>
      <c r="T349" s="141"/>
      <c r="U349" s="141"/>
      <c r="V349" s="75"/>
      <c r="W349" s="100"/>
      <c r="X349" s="100"/>
      <c r="Y349" s="142"/>
      <c r="Z349" s="142" t="s">
        <v>984</v>
      </c>
      <c r="AA349" s="100" t="s">
        <v>984</v>
      </c>
      <c r="AB349" s="96" t="s">
        <v>432</v>
      </c>
      <c r="AC349" s="109">
        <v>7</v>
      </c>
      <c r="AD349" s="108"/>
      <c r="AE349" s="109" t="s">
        <v>375</v>
      </c>
      <c r="AF349" s="109" t="s">
        <v>375</v>
      </c>
      <c r="AG349" s="108"/>
      <c r="AH349" s="111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50"/>
      <c r="AU349" s="477"/>
      <c r="AV349" s="477"/>
    </row>
    <row r="350" spans="1:48" ht="16.3">
      <c r="A350" s="246" t="s">
        <v>1</v>
      </c>
      <c r="B350" s="289">
        <f>SUM(J350+K350+L350+M350+N350+S350+V350+W350+X350+AA350+AI350+AJ350+AI350+AM350+AP350+AQ350+AS350+AT350+AU350+AV350+AN350)</f>
        <v>0</v>
      </c>
      <c r="C350" s="132">
        <f>SUM(K350+L350+M350+N350+J350+S350+W350+X350+V350+AA350+AJ350+AI350+AJ350+AN350+AQ350+AP350+AT350+AU350+AV350+AS350+AM350)</f>
        <v>0</v>
      </c>
      <c r="D350" s="133"/>
      <c r="E350" s="134"/>
      <c r="F350" s="135"/>
      <c r="G350" s="136"/>
      <c r="H350" s="481"/>
      <c r="I350" s="105"/>
      <c r="J350" s="75"/>
      <c r="K350" s="75"/>
      <c r="L350" s="75"/>
      <c r="M350" s="75"/>
      <c r="N350" s="75"/>
      <c r="O350" s="96"/>
      <c r="P350" s="105"/>
      <c r="Q350" s="96"/>
      <c r="R350" s="96"/>
      <c r="S350" s="75"/>
      <c r="T350" s="141"/>
      <c r="U350" s="141"/>
      <c r="V350" s="75"/>
      <c r="W350" s="100"/>
      <c r="X350" s="100"/>
      <c r="Y350" s="142"/>
      <c r="Z350" s="142"/>
      <c r="AA350" s="100"/>
      <c r="AB350" s="96"/>
      <c r="AC350" s="109">
        <v>1</v>
      </c>
      <c r="AD350" s="108"/>
      <c r="AE350" s="109"/>
      <c r="AF350" s="109"/>
      <c r="AG350" s="108"/>
      <c r="AH350" s="111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50"/>
      <c r="AU350" s="477"/>
      <c r="AV350" s="477"/>
    </row>
    <row r="351" spans="1:48" ht="16.3">
      <c r="A351" s="246" t="s">
        <v>2</v>
      </c>
      <c r="B351" s="289">
        <f>SUM(J351+K351+L351+M351+N351+S351+V351+W351+X351+AA351+AI351+AJ351+AI351+AM351+AP351+AQ351+AS351+AT351+AU351+AV351)</f>
        <v>0</v>
      </c>
      <c r="C351" s="132">
        <f>SUM(K351+L351+M351+N351+J351+S351+W351+X351+V351+AA351+AJ351+AI351+AJ351+AN351+AQ351+AP351+AT351+AU351+AV351+AS351+AM351)</f>
        <v>0</v>
      </c>
      <c r="D351" s="133"/>
      <c r="E351" s="134"/>
      <c r="F351" s="135"/>
      <c r="G351" s="136"/>
      <c r="H351" s="481"/>
      <c r="I351" s="105"/>
      <c r="J351" s="75"/>
      <c r="K351" s="75"/>
      <c r="L351" s="75"/>
      <c r="M351" s="75"/>
      <c r="N351" s="75"/>
      <c r="O351" s="96"/>
      <c r="P351" s="105"/>
      <c r="Q351" s="96"/>
      <c r="R351" s="96"/>
      <c r="S351" s="75"/>
      <c r="T351" s="141"/>
      <c r="U351" s="141"/>
      <c r="V351" s="75"/>
      <c r="W351" s="100"/>
      <c r="X351" s="100"/>
      <c r="Y351" s="142"/>
      <c r="Z351" s="142"/>
      <c r="AA351" s="100"/>
      <c r="AB351" s="96">
        <v>1</v>
      </c>
      <c r="AC351" s="109"/>
      <c r="AD351" s="108"/>
      <c r="AE351" s="109">
        <v>1</v>
      </c>
      <c r="AF351" s="109">
        <v>1</v>
      </c>
      <c r="AG351" s="108"/>
      <c r="AH351" s="111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50"/>
      <c r="AU351" s="477"/>
      <c r="AV351" s="477"/>
    </row>
    <row r="352" spans="1:48" ht="16.3">
      <c r="A352" s="87" t="s">
        <v>363</v>
      </c>
      <c r="B352" s="289">
        <f>SUM(B350+B351)</f>
        <v>0</v>
      </c>
      <c r="C352" s="132">
        <f>SUM(C350+C351)</f>
        <v>0</v>
      </c>
      <c r="D352" s="133"/>
      <c r="E352" s="134"/>
      <c r="F352" s="135"/>
      <c r="G352" s="136"/>
      <c r="H352" s="481"/>
      <c r="I352" s="105"/>
      <c r="J352" s="75"/>
      <c r="K352" s="75"/>
      <c r="L352" s="75"/>
      <c r="M352" s="75"/>
      <c r="N352" s="75"/>
      <c r="O352" s="96"/>
      <c r="P352" s="105"/>
      <c r="Q352" s="96"/>
      <c r="R352" s="96"/>
      <c r="S352" s="75"/>
      <c r="T352" s="141"/>
      <c r="U352" s="141"/>
      <c r="V352" s="75"/>
      <c r="W352" s="100"/>
      <c r="X352" s="100"/>
      <c r="Y352" s="142"/>
      <c r="Z352" s="142"/>
      <c r="AA352" s="100"/>
      <c r="AB352" s="96"/>
      <c r="AC352" s="109"/>
      <c r="AD352" s="108"/>
      <c r="AE352" s="109"/>
      <c r="AF352" s="109"/>
      <c r="AG352" s="108"/>
      <c r="AH352" s="111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50"/>
      <c r="AU352" s="477"/>
      <c r="AV352" s="477"/>
    </row>
    <row r="353" spans="1:48" ht="16.3">
      <c r="A353" s="87" t="s">
        <v>3</v>
      </c>
      <c r="B353" s="289">
        <f>SUM(J353+K353+L353+M353+N353+S353+V353+W353+X353+AA353+AI353+AJ353+AI353+AM353+AP353+AQ353+AS353+AT353+AU353+AV353)</f>
        <v>0</v>
      </c>
      <c r="C353" s="132">
        <f>SUM(K353+L353+M353+N353+J353+S353+W353+X353+V353+AA353+AJ353+AI353+AJ353+AN353+AQ353+AP353+AT353+AU353+AV353+AS353+AM353)</f>
        <v>0</v>
      </c>
      <c r="D353" s="133"/>
      <c r="E353" s="134"/>
      <c r="F353" s="135"/>
      <c r="G353" s="136"/>
      <c r="H353" s="481"/>
      <c r="I353" s="105"/>
      <c r="J353" s="75"/>
      <c r="K353" s="75"/>
      <c r="L353" s="75"/>
      <c r="M353" s="75"/>
      <c r="N353" s="75"/>
      <c r="O353" s="96"/>
      <c r="P353" s="105"/>
      <c r="Q353" s="96"/>
      <c r="R353" s="96"/>
      <c r="S353" s="75"/>
      <c r="T353" s="141"/>
      <c r="U353" s="141"/>
      <c r="V353" s="75"/>
      <c r="W353" s="100"/>
      <c r="X353" s="100"/>
      <c r="Y353" s="142"/>
      <c r="Z353" s="142"/>
      <c r="AA353" s="100"/>
      <c r="AB353" s="96"/>
      <c r="AC353" s="109"/>
      <c r="AD353" s="108"/>
      <c r="AE353" s="109"/>
      <c r="AF353" s="109"/>
      <c r="AG353" s="108"/>
      <c r="AH353" s="111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50"/>
      <c r="AU353" s="477"/>
      <c r="AV353" s="477"/>
    </row>
    <row r="354" spans="1:48" ht="17" thickBot="1">
      <c r="A354" s="88" t="s">
        <v>4</v>
      </c>
      <c r="B354" s="290">
        <f>SUM(J354+K354+L354+M354+N354+S354+V354+W354+X354+AA354+AI354+AJ354+AI354+AM354+AP354+AQ354+AS354+AT354+AU354+AV354)</f>
        <v>0</v>
      </c>
      <c r="C354" s="143">
        <f>SUM(K354+L354+M354+N354+J354+S354+W354+X354+V354+AA354+AJ354+AI354+AJ354+AN354+AQ354+AP354+AT354+AU354+AV354+AS354+AM354)</f>
        <v>0</v>
      </c>
      <c r="D354" s="144"/>
      <c r="E354" s="145"/>
      <c r="F354" s="146"/>
      <c r="G354" s="147"/>
      <c r="H354" s="482"/>
      <c r="I354" s="127"/>
      <c r="J354" s="112"/>
      <c r="K354" s="112"/>
      <c r="L354" s="112"/>
      <c r="M354" s="112"/>
      <c r="N354" s="112"/>
      <c r="O354" s="114"/>
      <c r="P354" s="127"/>
      <c r="Q354" s="96"/>
      <c r="R354" s="96"/>
      <c r="S354" s="75"/>
      <c r="T354" s="141"/>
      <c r="U354" s="141"/>
      <c r="V354" s="112"/>
      <c r="W354" s="100"/>
      <c r="X354" s="100"/>
      <c r="Y354" s="142"/>
      <c r="Z354" s="142"/>
      <c r="AA354" s="100"/>
      <c r="AB354" s="96"/>
      <c r="AC354" s="109"/>
      <c r="AD354" s="108"/>
      <c r="AE354" s="109"/>
      <c r="AF354" s="109"/>
      <c r="AG354" s="108"/>
      <c r="AH354" s="111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50"/>
      <c r="AU354" s="477"/>
      <c r="AV354" s="477"/>
    </row>
    <row r="355" spans="1:48" ht="21.1">
      <c r="A355" s="82" t="s">
        <v>519</v>
      </c>
      <c r="B355" s="289"/>
      <c r="C355" s="132"/>
      <c r="D355" s="133"/>
      <c r="E355" s="134"/>
      <c r="F355" s="135"/>
      <c r="G355" s="136"/>
      <c r="H355" s="481" t="s">
        <v>570</v>
      </c>
      <c r="I355" s="105"/>
      <c r="J355" s="75" t="s">
        <v>432</v>
      </c>
      <c r="K355" s="75" t="s">
        <v>375</v>
      </c>
      <c r="L355" s="75">
        <v>6</v>
      </c>
      <c r="M355" s="75">
        <v>6</v>
      </c>
      <c r="N355" s="75">
        <v>6</v>
      </c>
      <c r="O355" s="96"/>
      <c r="P355" s="105"/>
      <c r="Q355" s="124"/>
      <c r="R355" s="124"/>
      <c r="S355" s="122"/>
      <c r="T355" s="177"/>
      <c r="U355" s="177"/>
      <c r="V355" s="75" t="s">
        <v>339</v>
      </c>
      <c r="W355" s="102" t="s">
        <v>339</v>
      </c>
      <c r="X355" s="122" t="s">
        <v>339</v>
      </c>
      <c r="Y355" s="138" t="s">
        <v>339</v>
      </c>
      <c r="Z355" s="138" t="s">
        <v>339</v>
      </c>
      <c r="AA355" s="102" t="s">
        <v>339</v>
      </c>
      <c r="AB355" s="124" t="s">
        <v>339</v>
      </c>
      <c r="AC355" s="99" t="s">
        <v>339</v>
      </c>
      <c r="AD355" s="98"/>
      <c r="AE355" s="99"/>
      <c r="AF355" s="99"/>
      <c r="AG355" s="98"/>
      <c r="AH355" s="103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478"/>
      <c r="AU355" s="477"/>
      <c r="AV355" s="477"/>
    </row>
    <row r="356" spans="1:48" ht="16.3">
      <c r="A356" s="246" t="s">
        <v>1</v>
      </c>
      <c r="B356" s="292">
        <f>SUM(J356+K356+L356+M356+N356+S356+V356+W356+X356+AA356+AI356+AJ356+AI356+AM356+AP356+AQ356+AS356+AT356+AU356+AV356+AN356)</f>
        <v>3</v>
      </c>
      <c r="C356" s="288">
        <f>SUM(K356+L356+M356+N356+J356+S356+W356+X356+V356+AA356+AJ356+AI356+AJ356+AN356+AQ356+AP356+AT356+AU356+AV356+AS356+AM356)+13</f>
        <v>16</v>
      </c>
      <c r="D356" s="133"/>
      <c r="E356" s="134"/>
      <c r="F356" s="135"/>
      <c r="G356" s="136"/>
      <c r="H356" s="481"/>
      <c r="I356" s="105"/>
      <c r="J356" s="75"/>
      <c r="K356" s="75"/>
      <c r="L356" s="75">
        <v>1</v>
      </c>
      <c r="M356" s="75">
        <v>1</v>
      </c>
      <c r="N356" s="75">
        <v>1</v>
      </c>
      <c r="O356" s="96"/>
      <c r="P356" s="105"/>
      <c r="Q356" s="96"/>
      <c r="R356" s="96"/>
      <c r="S356" s="75"/>
      <c r="T356" s="141"/>
      <c r="U356" s="141"/>
      <c r="V356" s="75"/>
      <c r="W356" s="100"/>
      <c r="X356" s="100"/>
      <c r="Y356" s="142"/>
      <c r="Z356" s="142"/>
      <c r="AA356" s="100"/>
      <c r="AB356" s="96"/>
      <c r="AC356" s="109"/>
      <c r="AD356" s="108"/>
      <c r="AE356" s="109"/>
      <c r="AF356" s="109"/>
      <c r="AG356" s="108"/>
      <c r="AH356" s="111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50"/>
      <c r="AU356" s="477"/>
      <c r="AV356" s="477"/>
    </row>
    <row r="357" spans="1:48" ht="16.3">
      <c r="A357" s="246" t="s">
        <v>2</v>
      </c>
      <c r="B357" s="292">
        <f>SUM(J357+K357+L357+M357+N357+S357+V357+W357+X357+AA357+AI357+AJ357+AI357+AM357+AP357+AQ357+AS357+AT357+AU357+AV357)</f>
        <v>2</v>
      </c>
      <c r="C357" s="288">
        <f>SUM(K357+L357+M357+N357+J357+S357+W357+X357+V357+AA357+AJ357+AI357+AJ357+AN357+AQ357+AP357+AT357+AU357+AV357+AS357+AM357)+8</f>
        <v>10</v>
      </c>
      <c r="D357" s="133"/>
      <c r="E357" s="134"/>
      <c r="F357" s="135"/>
      <c r="G357" s="136"/>
      <c r="H357" s="481"/>
      <c r="I357" s="105"/>
      <c r="J357" s="75">
        <v>1</v>
      </c>
      <c r="K357" s="75">
        <v>1</v>
      </c>
      <c r="L357" s="75"/>
      <c r="M357" s="75"/>
      <c r="N357" s="75"/>
      <c r="O357" s="96"/>
      <c r="P357" s="105"/>
      <c r="Q357" s="96"/>
      <c r="R357" s="96"/>
      <c r="S357" s="75"/>
      <c r="T357" s="141"/>
      <c r="U357" s="141"/>
      <c r="V357" s="75"/>
      <c r="W357" s="100"/>
      <c r="X357" s="100"/>
      <c r="Y357" s="142"/>
      <c r="Z357" s="142"/>
      <c r="AA357" s="100"/>
      <c r="AB357" s="96"/>
      <c r="AC357" s="109"/>
      <c r="AD357" s="108"/>
      <c r="AE357" s="109"/>
      <c r="AF357" s="109"/>
      <c r="AG357" s="108"/>
      <c r="AH357" s="111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50"/>
      <c r="AU357" s="477"/>
      <c r="AV357" s="477"/>
    </row>
    <row r="358" spans="1:48" ht="16.3">
      <c r="A358" s="87" t="s">
        <v>363</v>
      </c>
      <c r="B358" s="289">
        <f>SUM(B356+B357)</f>
        <v>5</v>
      </c>
      <c r="C358" s="132">
        <f>SUM(C356+C357)</f>
        <v>26</v>
      </c>
      <c r="D358" s="133"/>
      <c r="E358" s="134"/>
      <c r="F358" s="135"/>
      <c r="G358" s="136"/>
      <c r="H358" s="481"/>
      <c r="I358" s="105"/>
      <c r="J358" s="75"/>
      <c r="K358" s="75"/>
      <c r="L358" s="75"/>
      <c r="M358" s="75"/>
      <c r="N358" s="75"/>
      <c r="O358" s="96"/>
      <c r="P358" s="105"/>
      <c r="Q358" s="96"/>
      <c r="R358" s="96"/>
      <c r="S358" s="75"/>
      <c r="T358" s="141"/>
      <c r="U358" s="141"/>
      <c r="V358" s="75"/>
      <c r="W358" s="100"/>
      <c r="X358" s="100"/>
      <c r="Y358" s="142"/>
      <c r="Z358" s="142"/>
      <c r="AA358" s="100"/>
      <c r="AB358" s="96"/>
      <c r="AC358" s="109"/>
      <c r="AD358" s="108"/>
      <c r="AE358" s="109"/>
      <c r="AF358" s="109"/>
      <c r="AG358" s="108"/>
      <c r="AH358" s="111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50"/>
      <c r="AU358" s="477"/>
      <c r="AV358" s="477"/>
    </row>
    <row r="359" spans="1:48" ht="16.3">
      <c r="A359" s="246" t="s">
        <v>362</v>
      </c>
      <c r="B359" s="292">
        <f>SUM(J359+K359+L359+M359+N359+S359+V359+W359+X359+AA359+AI359+AJ359+AI359+AM359+AP359+AQ359+AS359+AT359+AU359+AV359)</f>
        <v>0</v>
      </c>
      <c r="C359" s="288">
        <f>SUM(K359+L359+M359+N359+J359+S359+W359+X359+V359+AA359+AJ359+AI359+AJ359+AN359+AQ359+AP359+AT359+AU359+AV359+AS359+AM359)+1</f>
        <v>1</v>
      </c>
      <c r="D359" s="133"/>
      <c r="E359" s="134"/>
      <c r="F359" s="135"/>
      <c r="G359" s="136"/>
      <c r="H359" s="481"/>
      <c r="I359" s="105"/>
      <c r="J359" s="75"/>
      <c r="K359" s="75"/>
      <c r="L359" s="75"/>
      <c r="M359" s="75"/>
      <c r="N359" s="75"/>
      <c r="O359" s="96"/>
      <c r="P359" s="105"/>
      <c r="Q359" s="96"/>
      <c r="R359" s="96"/>
      <c r="S359" s="75"/>
      <c r="T359" s="141"/>
      <c r="U359" s="141"/>
      <c r="V359" s="75"/>
      <c r="W359" s="100"/>
      <c r="X359" s="100"/>
      <c r="Y359" s="142"/>
      <c r="Z359" s="142"/>
      <c r="AA359" s="100"/>
      <c r="AB359" s="96"/>
      <c r="AC359" s="109"/>
      <c r="AD359" s="108"/>
      <c r="AE359" s="109"/>
      <c r="AF359" s="109"/>
      <c r="AG359" s="108"/>
      <c r="AH359" s="111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50"/>
      <c r="AU359" s="477"/>
      <c r="AV359" s="477"/>
    </row>
    <row r="360" spans="1:48" ht="16.3">
      <c r="A360" s="87" t="s">
        <v>3</v>
      </c>
      <c r="B360" s="289">
        <f>SUM(J360+K360+L360+M360+N360+S360+V360+W360+X360+AA360+AI360+AJ360+AI360+AM360+AP360+AQ360+AS360+AT360+AU360+AV360)</f>
        <v>0</v>
      </c>
      <c r="C360" s="132">
        <f>SUM(K360+L360+M360+N360+J360+S360+W360+X360+V360+AA360+AJ360+AI360+AJ360+AN360+AQ360+AP360+AT360+AU360+AV360+AS360+AM360)+1</f>
        <v>1</v>
      </c>
      <c r="D360" s="133"/>
      <c r="E360" s="134"/>
      <c r="F360" s="135"/>
      <c r="G360" s="136"/>
      <c r="H360" s="481"/>
      <c r="I360" s="105"/>
      <c r="J360" s="75"/>
      <c r="K360" s="75"/>
      <c r="L360" s="75"/>
      <c r="M360" s="75"/>
      <c r="N360" s="75"/>
      <c r="O360" s="96"/>
      <c r="P360" s="105"/>
      <c r="Q360" s="96"/>
      <c r="R360" s="96"/>
      <c r="S360" s="75"/>
      <c r="T360" s="141"/>
      <c r="U360" s="141"/>
      <c r="V360" s="75"/>
      <c r="W360" s="100"/>
      <c r="X360" s="100"/>
      <c r="Y360" s="142"/>
      <c r="Z360" s="142"/>
      <c r="AA360" s="100"/>
      <c r="AB360" s="96"/>
      <c r="AC360" s="109"/>
      <c r="AD360" s="108"/>
      <c r="AE360" s="109"/>
      <c r="AF360" s="109"/>
      <c r="AG360" s="108"/>
      <c r="AH360" s="111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50"/>
      <c r="AU360" s="477"/>
      <c r="AV360" s="477"/>
    </row>
    <row r="361" spans="1:48" ht="17" thickBot="1">
      <c r="A361" s="88" t="s">
        <v>4</v>
      </c>
      <c r="B361" s="290">
        <f>SUM(J361+K361+L361+M361+N361+S361+V361+W361+X361+AA361+AI361+AJ361+AI361+AM361+AP361+AQ361+AS361+AT361+AU361+AV361)</f>
        <v>0</v>
      </c>
      <c r="C361" s="143">
        <f>SUM(K361+L361+M361+N361+J361+S361+W361+X361+V361+AA361+AJ361+AI361+AJ361+AN361+AQ361+AP361+AT361+AU361+AV361+AS361+AM361)+5</f>
        <v>5</v>
      </c>
      <c r="D361" s="144"/>
      <c r="E361" s="145"/>
      <c r="F361" s="146"/>
      <c r="G361" s="147"/>
      <c r="H361" s="482"/>
      <c r="I361" s="127"/>
      <c r="J361" s="112"/>
      <c r="K361" s="112"/>
      <c r="L361" s="112"/>
      <c r="M361" s="112"/>
      <c r="N361" s="112"/>
      <c r="O361" s="114"/>
      <c r="P361" s="127"/>
      <c r="Q361" s="114"/>
      <c r="R361" s="114"/>
      <c r="S361" s="112"/>
      <c r="T361" s="178"/>
      <c r="U361" s="178"/>
      <c r="V361" s="112"/>
      <c r="W361" s="116"/>
      <c r="X361" s="112"/>
      <c r="Y361" s="142"/>
      <c r="Z361" s="142"/>
      <c r="AA361" s="100"/>
      <c r="AB361" s="114"/>
      <c r="AC361" s="114"/>
      <c r="AD361" s="108"/>
      <c r="AE361" s="109"/>
      <c r="AF361" s="109"/>
      <c r="AG361" s="108"/>
      <c r="AH361" s="111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50"/>
      <c r="AU361" s="477"/>
      <c r="AV361" s="477"/>
    </row>
    <row r="362" spans="1:48" ht="21.1">
      <c r="A362" s="82" t="s">
        <v>779</v>
      </c>
      <c r="B362" s="289"/>
      <c r="C362" s="132"/>
      <c r="D362" s="133"/>
      <c r="E362" s="134"/>
      <c r="F362" s="135"/>
      <c r="G362" s="136"/>
      <c r="H362" s="481"/>
      <c r="I362" s="105"/>
      <c r="J362" s="75"/>
      <c r="K362" s="75"/>
      <c r="L362" s="75"/>
      <c r="M362" s="75"/>
      <c r="N362" s="75"/>
      <c r="O362" s="96" t="s">
        <v>375</v>
      </c>
      <c r="P362" s="105"/>
      <c r="Q362" s="96"/>
      <c r="R362" s="96" t="s">
        <v>374</v>
      </c>
      <c r="S362" s="75"/>
      <c r="T362" s="141"/>
      <c r="U362" s="141"/>
      <c r="V362" s="75"/>
      <c r="W362" s="100"/>
      <c r="X362" s="100"/>
      <c r="Y362" s="138"/>
      <c r="Z362" s="138" t="s">
        <v>441</v>
      </c>
      <c r="AA362" s="102" t="s">
        <v>375</v>
      </c>
      <c r="AB362" s="96" t="s">
        <v>440</v>
      </c>
      <c r="AC362" s="96" t="s">
        <v>721</v>
      </c>
      <c r="AD362" s="98"/>
      <c r="AE362" s="99">
        <v>8</v>
      </c>
      <c r="AF362" s="99">
        <v>6</v>
      </c>
      <c r="AG362" s="98"/>
      <c r="AH362" s="103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478"/>
      <c r="AU362" s="477"/>
      <c r="AV362" s="477"/>
    </row>
    <row r="363" spans="1:48" ht="16.3">
      <c r="A363" s="246" t="s">
        <v>1</v>
      </c>
      <c r="B363" s="292">
        <f>SUM(J363+K363+L363+M363+N363+S363+V363+W363+X363+AA363+AI363+AJ363+AI363+AM363+AP363+AQ363+AS363+AT363+AU363+AV363+AN363)</f>
        <v>0</v>
      </c>
      <c r="C363" s="288">
        <f>B363</f>
        <v>0</v>
      </c>
      <c r="D363" s="133"/>
      <c r="E363" s="134"/>
      <c r="F363" s="135"/>
      <c r="G363" s="136"/>
      <c r="H363" s="481"/>
      <c r="I363" s="105"/>
      <c r="J363" s="75"/>
      <c r="K363" s="75"/>
      <c r="L363" s="75"/>
      <c r="M363" s="75"/>
      <c r="N363" s="75"/>
      <c r="O363" s="96"/>
      <c r="P363" s="105"/>
      <c r="Q363" s="96"/>
      <c r="R363" s="96">
        <v>1</v>
      </c>
      <c r="S363" s="75"/>
      <c r="T363" s="141"/>
      <c r="U363" s="141"/>
      <c r="V363" s="75"/>
      <c r="W363" s="100"/>
      <c r="X363" s="100"/>
      <c r="Y363" s="142"/>
      <c r="Z363" s="142"/>
      <c r="AA363" s="100"/>
      <c r="AB363" s="96">
        <v>1</v>
      </c>
      <c r="AC363" s="96">
        <v>1</v>
      </c>
      <c r="AD363" s="108"/>
      <c r="AE363" s="109">
        <v>1</v>
      </c>
      <c r="AF363" s="109">
        <v>1</v>
      </c>
      <c r="AG363" s="108"/>
      <c r="AH363" s="111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50"/>
      <c r="AU363" s="477"/>
      <c r="AV363" s="477"/>
    </row>
    <row r="364" spans="1:48" ht="16.3">
      <c r="A364" s="246" t="s">
        <v>2</v>
      </c>
      <c r="B364" s="292">
        <f>SUM(J364+K364+L364+M364+N364+S364+V364+W364+X364+AA364+AI364+AJ364+AI364+AM364+AP364+AQ364+AS364+AT364+AU364+AV364)</f>
        <v>1</v>
      </c>
      <c r="C364" s="288">
        <f t="shared" ref="C364:C369" si="41">B364</f>
        <v>1</v>
      </c>
      <c r="D364" s="133"/>
      <c r="E364" s="134"/>
      <c r="F364" s="135"/>
      <c r="G364" s="136"/>
      <c r="H364" s="481"/>
      <c r="I364" s="105"/>
      <c r="J364" s="75"/>
      <c r="K364" s="75"/>
      <c r="L364" s="75"/>
      <c r="M364" s="75"/>
      <c r="N364" s="75"/>
      <c r="O364" s="96">
        <v>1</v>
      </c>
      <c r="P364" s="105"/>
      <c r="Q364" s="96"/>
      <c r="R364" s="96"/>
      <c r="S364" s="75"/>
      <c r="T364" s="141"/>
      <c r="U364" s="141"/>
      <c r="V364" s="75"/>
      <c r="W364" s="75"/>
      <c r="X364" s="75"/>
      <c r="Y364" s="141"/>
      <c r="Z364" s="141">
        <v>1</v>
      </c>
      <c r="AA364" s="75">
        <v>1</v>
      </c>
      <c r="AB364" s="96"/>
      <c r="AC364" s="96"/>
      <c r="AD364" s="105"/>
      <c r="AE364" s="96"/>
      <c r="AF364" s="96"/>
      <c r="AG364" s="105"/>
      <c r="AH364" s="107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168"/>
      <c r="AU364" s="477"/>
      <c r="AV364" s="477"/>
    </row>
    <row r="365" spans="1:48" ht="16.3">
      <c r="A365" s="87" t="s">
        <v>363</v>
      </c>
      <c r="B365" s="289">
        <f>SUM(B363+B364)</f>
        <v>1</v>
      </c>
      <c r="C365" s="132">
        <f t="shared" si="41"/>
        <v>1</v>
      </c>
      <c r="D365" s="133"/>
      <c r="E365" s="134"/>
      <c r="F365" s="135"/>
      <c r="G365" s="136"/>
      <c r="H365" s="481"/>
      <c r="I365" s="105"/>
      <c r="J365" s="75"/>
      <c r="K365" s="75"/>
      <c r="L365" s="75"/>
      <c r="M365" s="75"/>
      <c r="N365" s="75"/>
      <c r="O365" s="96"/>
      <c r="P365" s="105"/>
      <c r="Q365" s="96"/>
      <c r="R365" s="96"/>
      <c r="S365" s="75"/>
      <c r="T365" s="141"/>
      <c r="U365" s="141"/>
      <c r="V365" s="75"/>
      <c r="W365" s="100"/>
      <c r="X365" s="100"/>
      <c r="Y365" s="142"/>
      <c r="Z365" s="142"/>
      <c r="AA365" s="100"/>
      <c r="AB365" s="96"/>
      <c r="AC365" s="96"/>
      <c r="AD365" s="108"/>
      <c r="AE365" s="109"/>
      <c r="AF365" s="109"/>
      <c r="AG365" s="108"/>
      <c r="AH365" s="111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50"/>
      <c r="AU365" s="477"/>
      <c r="AV365" s="477"/>
    </row>
    <row r="366" spans="1:48" ht="16.3">
      <c r="A366" s="234" t="s">
        <v>362</v>
      </c>
      <c r="B366" s="292">
        <f>SUM(J366+K366+L366+M366+N366+S366+V366+W366+X366+AA366+AI366+AJ366+AI366+AM366+AP366+AQ366+AS366+AT366+AU366+AV366)</f>
        <v>0</v>
      </c>
      <c r="C366" s="288">
        <f t="shared" ref="C366" si="42">B366</f>
        <v>0</v>
      </c>
      <c r="D366" s="133"/>
      <c r="E366" s="134"/>
      <c r="F366" s="135"/>
      <c r="G366" s="136"/>
      <c r="H366" s="481"/>
      <c r="I366" s="105"/>
      <c r="J366" s="75"/>
      <c r="K366" s="75"/>
      <c r="L366" s="75"/>
      <c r="M366" s="75"/>
      <c r="N366" s="75"/>
      <c r="O366" s="96"/>
      <c r="P366" s="105"/>
      <c r="Q366" s="96"/>
      <c r="R366" s="96"/>
      <c r="S366" s="75"/>
      <c r="T366" s="141"/>
      <c r="U366" s="141"/>
      <c r="V366" s="75"/>
      <c r="W366" s="100"/>
      <c r="X366" s="100"/>
      <c r="Y366" s="142"/>
      <c r="Z366" s="142">
        <v>1</v>
      </c>
      <c r="AA366" s="100"/>
      <c r="AB366" s="96"/>
      <c r="AC366" s="96"/>
      <c r="AD366" s="108"/>
      <c r="AE366" s="109"/>
      <c r="AF366" s="109"/>
      <c r="AG366" s="108"/>
      <c r="AH366" s="111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50"/>
      <c r="AU366" s="477"/>
      <c r="AV366" s="477"/>
    </row>
    <row r="367" spans="1:48" ht="16.3">
      <c r="A367" s="234" t="s">
        <v>366</v>
      </c>
      <c r="B367" s="292">
        <f>SUM(J367+K367+L367+M367+N367+S367+V367+W367+X367+AA367+AI367+AJ367+AI367+AM367+AP367+AQ367+AS367+AT367+AU367+AV367)</f>
        <v>0</v>
      </c>
      <c r="C367" s="288">
        <f t="shared" ref="C367" si="43">B367</f>
        <v>0</v>
      </c>
      <c r="D367" s="133"/>
      <c r="E367" s="134"/>
      <c r="F367" s="135"/>
      <c r="G367" s="136"/>
      <c r="H367" s="481"/>
      <c r="I367" s="105"/>
      <c r="J367" s="75"/>
      <c r="K367" s="75"/>
      <c r="L367" s="75"/>
      <c r="M367" s="75"/>
      <c r="N367" s="75"/>
      <c r="O367" s="96"/>
      <c r="P367" s="105"/>
      <c r="Q367" s="96"/>
      <c r="R367" s="96"/>
      <c r="S367" s="75"/>
      <c r="T367" s="141"/>
      <c r="U367" s="141"/>
      <c r="V367" s="75"/>
      <c r="W367" s="100"/>
      <c r="X367" s="100"/>
      <c r="Y367" s="142"/>
      <c r="Z367" s="142"/>
      <c r="AA367" s="100"/>
      <c r="AB367" s="96">
        <v>1</v>
      </c>
      <c r="AC367" s="96">
        <v>1</v>
      </c>
      <c r="AD367" s="108"/>
      <c r="AE367" s="109"/>
      <c r="AF367" s="109"/>
      <c r="AG367" s="108"/>
      <c r="AH367" s="111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50"/>
      <c r="AU367" s="477"/>
      <c r="AV367" s="477"/>
    </row>
    <row r="368" spans="1:48" ht="16.3">
      <c r="A368" s="87" t="s">
        <v>3</v>
      </c>
      <c r="B368" s="289">
        <f>SUM(J368+K368+L368+M368+N368+S368+V368+W368+X368+AA368+AI368+AJ368+AI368+AM368+AP368+AQ368+AS368+AT368+AU368+AV368)</f>
        <v>1</v>
      </c>
      <c r="C368" s="132">
        <f t="shared" si="41"/>
        <v>1</v>
      </c>
      <c r="D368" s="133"/>
      <c r="E368" s="134"/>
      <c r="F368" s="135"/>
      <c r="G368" s="136"/>
      <c r="H368" s="481"/>
      <c r="I368" s="105"/>
      <c r="J368" s="75"/>
      <c r="K368" s="75"/>
      <c r="L368" s="75"/>
      <c r="M368" s="75"/>
      <c r="N368" s="75"/>
      <c r="O368" s="96"/>
      <c r="P368" s="105"/>
      <c r="Q368" s="96"/>
      <c r="R368" s="96"/>
      <c r="S368" s="75"/>
      <c r="T368" s="141"/>
      <c r="U368" s="141"/>
      <c r="V368" s="75"/>
      <c r="W368" s="100"/>
      <c r="X368" s="100"/>
      <c r="Y368" s="142"/>
      <c r="Z368" s="142"/>
      <c r="AA368" s="100">
        <v>1</v>
      </c>
      <c r="AB368" s="96"/>
      <c r="AC368" s="109"/>
      <c r="AD368" s="108"/>
      <c r="AE368" s="109"/>
      <c r="AF368" s="109">
        <v>1</v>
      </c>
      <c r="AG368" s="108"/>
      <c r="AH368" s="111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50"/>
      <c r="AU368" s="477"/>
      <c r="AV368" s="477"/>
    </row>
    <row r="369" spans="1:48" ht="17" thickBot="1">
      <c r="A369" s="88" t="s">
        <v>4</v>
      </c>
      <c r="B369" s="290">
        <f>SUM(J369+K369+L369+M369+N369+S369+V369+W369+X369+AA369+AI369+AJ369+AI369+AM369+AP369+AQ369+AS369+AT369+AU369+AV369)</f>
        <v>5</v>
      </c>
      <c r="C369" s="143">
        <f t="shared" si="41"/>
        <v>5</v>
      </c>
      <c r="D369" s="144"/>
      <c r="E369" s="145"/>
      <c r="F369" s="146"/>
      <c r="G369" s="147"/>
      <c r="H369" s="482"/>
      <c r="I369" s="127"/>
      <c r="J369" s="112"/>
      <c r="K369" s="112"/>
      <c r="L369" s="112"/>
      <c r="M369" s="112"/>
      <c r="N369" s="112"/>
      <c r="O369" s="114"/>
      <c r="P369" s="127"/>
      <c r="Q369" s="114"/>
      <c r="R369" s="114"/>
      <c r="S369" s="112"/>
      <c r="T369" s="178"/>
      <c r="U369" s="178"/>
      <c r="V369" s="112"/>
      <c r="W369" s="116"/>
      <c r="X369" s="112"/>
      <c r="Y369" s="149"/>
      <c r="Z369" s="149"/>
      <c r="AA369" s="116">
        <v>5</v>
      </c>
      <c r="AB369" s="114"/>
      <c r="AC369" s="118"/>
      <c r="AD369" s="117"/>
      <c r="AE369" s="118"/>
      <c r="AF369" s="118">
        <v>5</v>
      </c>
      <c r="AG369" s="117"/>
      <c r="AH369" s="121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76"/>
      <c r="AU369" s="477"/>
      <c r="AV369" s="477"/>
    </row>
    <row r="370" spans="1:48" ht="21.1">
      <c r="A370" s="82" t="s">
        <v>568</v>
      </c>
      <c r="B370" s="289"/>
      <c r="C370" s="132"/>
      <c r="D370" s="133"/>
      <c r="E370" s="134"/>
      <c r="F370" s="135"/>
      <c r="G370" s="136"/>
      <c r="H370" s="481" t="s">
        <v>569</v>
      </c>
      <c r="I370" s="105"/>
      <c r="J370" s="75" t="s">
        <v>569</v>
      </c>
      <c r="K370" s="75" t="s">
        <v>569</v>
      </c>
      <c r="L370" s="75" t="s">
        <v>569</v>
      </c>
      <c r="M370" s="75" t="s">
        <v>569</v>
      </c>
      <c r="N370" s="75" t="s">
        <v>569</v>
      </c>
      <c r="O370" s="96"/>
      <c r="P370" s="105"/>
      <c r="Q370" s="96"/>
      <c r="R370" s="96"/>
      <c r="S370" s="75" t="s">
        <v>835</v>
      </c>
      <c r="T370" s="141">
        <v>7</v>
      </c>
      <c r="U370" s="141" t="s">
        <v>734</v>
      </c>
      <c r="V370" s="75">
        <v>7</v>
      </c>
      <c r="W370" s="100">
        <v>7</v>
      </c>
      <c r="X370" s="100">
        <v>7</v>
      </c>
      <c r="Y370" s="142">
        <v>7</v>
      </c>
      <c r="Z370" s="142">
        <v>7</v>
      </c>
      <c r="AA370" s="100">
        <v>7</v>
      </c>
      <c r="AB370" s="96"/>
      <c r="AC370" s="109"/>
      <c r="AD370" s="108"/>
      <c r="AE370" s="109">
        <v>7</v>
      </c>
      <c r="AF370" s="109"/>
      <c r="AG370" s="108"/>
      <c r="AH370" s="111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50"/>
      <c r="AU370" s="477"/>
      <c r="AV370" s="477"/>
    </row>
    <row r="371" spans="1:48" ht="16.3">
      <c r="A371" s="246" t="s">
        <v>1</v>
      </c>
      <c r="B371" s="292">
        <f>SUM(J371+K371+L371+M371+N371+S371+V371+W371+X371+AA371+AI371+AJ371+AI371+AM371+AP371+AQ371+AS371+AT371+AU371+AV371+AN371)</f>
        <v>5</v>
      </c>
      <c r="C371" s="288">
        <f>B371</f>
        <v>5</v>
      </c>
      <c r="D371" s="133"/>
      <c r="E371" s="134"/>
      <c r="F371" s="135"/>
      <c r="G371" s="136"/>
      <c r="H371" s="481"/>
      <c r="I371" s="105"/>
      <c r="J371" s="75"/>
      <c r="K371" s="75"/>
      <c r="L371" s="75"/>
      <c r="M371" s="75"/>
      <c r="N371" s="75"/>
      <c r="O371" s="96"/>
      <c r="P371" s="105"/>
      <c r="Q371" s="96"/>
      <c r="R371" s="96"/>
      <c r="S371" s="75">
        <v>1</v>
      </c>
      <c r="T371" s="141">
        <v>1</v>
      </c>
      <c r="U371" s="141">
        <v>1</v>
      </c>
      <c r="V371" s="75">
        <v>1</v>
      </c>
      <c r="W371" s="100">
        <v>1</v>
      </c>
      <c r="X371" s="100">
        <v>1</v>
      </c>
      <c r="Y371" s="142">
        <v>1</v>
      </c>
      <c r="Z371" s="142">
        <v>1</v>
      </c>
      <c r="AA371" s="100">
        <v>1</v>
      </c>
      <c r="AB371" s="96"/>
      <c r="AC371" s="109"/>
      <c r="AD371" s="108"/>
      <c r="AE371" s="109">
        <v>1</v>
      </c>
      <c r="AF371" s="109"/>
      <c r="AG371" s="108"/>
      <c r="AH371" s="111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50"/>
      <c r="AU371" s="477"/>
      <c r="AV371" s="477"/>
    </row>
    <row r="372" spans="1:48" ht="16.3">
      <c r="A372" s="246" t="s">
        <v>2</v>
      </c>
      <c r="B372" s="292">
        <f>SUM(J372+K372+L372+M372+N372+S372+V372+W372+X372+AA372+AI372+AJ372+AI372+AM372+AP372+AQ372+AS372+AT372+AU372+AV372)</f>
        <v>0</v>
      </c>
      <c r="C372" s="288">
        <f t="shared" ref="C372:C376" si="44">B372</f>
        <v>0</v>
      </c>
      <c r="D372" s="133"/>
      <c r="E372" s="134"/>
      <c r="F372" s="135"/>
      <c r="G372" s="136"/>
      <c r="H372" s="481"/>
      <c r="I372" s="105"/>
      <c r="J372" s="75"/>
      <c r="K372" s="75"/>
      <c r="L372" s="75"/>
      <c r="M372" s="75"/>
      <c r="N372" s="75"/>
      <c r="O372" s="96"/>
      <c r="P372" s="105"/>
      <c r="Q372" s="96"/>
      <c r="R372" s="96"/>
      <c r="S372" s="75"/>
      <c r="T372" s="141"/>
      <c r="U372" s="141"/>
      <c r="V372" s="75"/>
      <c r="W372" s="100"/>
      <c r="X372" s="100"/>
      <c r="Y372" s="142"/>
      <c r="Z372" s="142"/>
      <c r="AA372" s="100"/>
      <c r="AB372" s="96"/>
      <c r="AC372" s="109"/>
      <c r="AD372" s="108"/>
      <c r="AE372" s="109"/>
      <c r="AF372" s="109"/>
      <c r="AG372" s="108"/>
      <c r="AH372" s="111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50"/>
      <c r="AU372" s="477"/>
      <c r="AV372" s="477"/>
    </row>
    <row r="373" spans="1:48" ht="16.3">
      <c r="A373" s="87" t="s">
        <v>363</v>
      </c>
      <c r="B373" s="289">
        <f>SUM(B371+B372)</f>
        <v>5</v>
      </c>
      <c r="C373" s="132">
        <f t="shared" si="44"/>
        <v>5</v>
      </c>
      <c r="D373" s="133"/>
      <c r="E373" s="134"/>
      <c r="F373" s="135"/>
      <c r="G373" s="136"/>
      <c r="H373" s="481"/>
      <c r="I373" s="105"/>
      <c r="J373" s="75"/>
      <c r="K373" s="75"/>
      <c r="L373" s="75"/>
      <c r="M373" s="75"/>
      <c r="N373" s="75"/>
      <c r="O373" s="96"/>
      <c r="P373" s="105"/>
      <c r="Q373" s="96"/>
      <c r="R373" s="96"/>
      <c r="S373" s="75"/>
      <c r="T373" s="141"/>
      <c r="U373" s="141"/>
      <c r="V373" s="75"/>
      <c r="W373" s="100"/>
      <c r="X373" s="100"/>
      <c r="Y373" s="142"/>
      <c r="Z373" s="142"/>
      <c r="AA373" s="100"/>
      <c r="AB373" s="96"/>
      <c r="AC373" s="109"/>
      <c r="AD373" s="108"/>
      <c r="AE373" s="109"/>
      <c r="AF373" s="109"/>
      <c r="AG373" s="108"/>
      <c r="AH373" s="111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50"/>
      <c r="AU373" s="477"/>
      <c r="AV373" s="477"/>
    </row>
    <row r="374" spans="1:48" ht="16.3">
      <c r="A374" s="234" t="s">
        <v>366</v>
      </c>
      <c r="B374" s="292">
        <f>SUM(J374+K374+L374+M374+N374+S374+V374+W374+X374+AA374+AI374+AJ374+AI374+AM374+AP374+AQ374+AS374+AT374+AU374+AV374)</f>
        <v>0</v>
      </c>
      <c r="C374" s="288">
        <f t="shared" ref="C374" si="45">B374</f>
        <v>0</v>
      </c>
      <c r="D374" s="133"/>
      <c r="E374" s="134"/>
      <c r="F374" s="135"/>
      <c r="G374" s="136"/>
      <c r="H374" s="481"/>
      <c r="I374" s="105"/>
      <c r="J374" s="75"/>
      <c r="K374" s="75"/>
      <c r="L374" s="75"/>
      <c r="M374" s="75"/>
      <c r="N374" s="75"/>
      <c r="O374" s="96"/>
      <c r="P374" s="105"/>
      <c r="Q374" s="96"/>
      <c r="R374" s="96"/>
      <c r="S374" s="75"/>
      <c r="T374" s="141"/>
      <c r="U374" s="141">
        <v>1</v>
      </c>
      <c r="V374" s="75"/>
      <c r="W374" s="100"/>
      <c r="X374" s="100"/>
      <c r="Y374" s="142"/>
      <c r="Z374" s="142"/>
      <c r="AA374" s="100"/>
      <c r="AB374" s="96"/>
      <c r="AC374" s="109"/>
      <c r="AD374" s="108"/>
      <c r="AE374" s="109"/>
      <c r="AF374" s="109"/>
      <c r="AG374" s="108"/>
      <c r="AH374" s="111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50"/>
      <c r="AU374" s="477"/>
      <c r="AV374" s="477"/>
    </row>
    <row r="375" spans="1:48" ht="16.3">
      <c r="A375" s="87" t="s">
        <v>3</v>
      </c>
      <c r="B375" s="289">
        <f>SUM(J375+K375+L375+M375+N375+S375+V375+W375+X375+AA375+AI375+AJ375+AI375+AM375+AP375+AQ375+AS375+AT375+AU375+AV375)</f>
        <v>1</v>
      </c>
      <c r="C375" s="132">
        <f t="shared" si="44"/>
        <v>1</v>
      </c>
      <c r="D375" s="133"/>
      <c r="E375" s="134"/>
      <c r="F375" s="135"/>
      <c r="G375" s="136"/>
      <c r="H375" s="481"/>
      <c r="I375" s="105"/>
      <c r="J375" s="75"/>
      <c r="K375" s="75"/>
      <c r="L375" s="75"/>
      <c r="M375" s="75"/>
      <c r="N375" s="75"/>
      <c r="O375" s="96"/>
      <c r="P375" s="105"/>
      <c r="Q375" s="96"/>
      <c r="R375" s="96"/>
      <c r="S375" s="75"/>
      <c r="T375" s="141">
        <v>1</v>
      </c>
      <c r="U375" s="141"/>
      <c r="V375" s="75"/>
      <c r="W375" s="100"/>
      <c r="X375" s="100">
        <v>1</v>
      </c>
      <c r="Y375" s="142"/>
      <c r="Z375" s="142"/>
      <c r="AA375" s="100"/>
      <c r="AB375" s="96"/>
      <c r="AC375" s="109"/>
      <c r="AD375" s="108"/>
      <c r="AE375" s="109"/>
      <c r="AF375" s="109"/>
      <c r="AG375" s="108"/>
      <c r="AH375" s="111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50"/>
      <c r="AU375" s="477"/>
      <c r="AV375" s="477"/>
    </row>
    <row r="376" spans="1:48" ht="17" thickBot="1">
      <c r="A376" s="88" t="s">
        <v>4</v>
      </c>
      <c r="B376" s="290">
        <f>SUM(J376+K376+L376+M376+N376+S376+V376+W376+X376+AA376+AI376+AJ376+AI376+AM376+AP376+AQ376+AS376+AT376+AU376+AV376)</f>
        <v>5</v>
      </c>
      <c r="C376" s="143">
        <f t="shared" si="44"/>
        <v>5</v>
      </c>
      <c r="D376" s="144"/>
      <c r="E376" s="145"/>
      <c r="F376" s="146"/>
      <c r="G376" s="147"/>
      <c r="H376" s="482"/>
      <c r="I376" s="127"/>
      <c r="J376" s="112"/>
      <c r="K376" s="112"/>
      <c r="L376" s="112"/>
      <c r="M376" s="112"/>
      <c r="N376" s="112"/>
      <c r="O376" s="114"/>
      <c r="P376" s="127"/>
      <c r="Q376" s="114"/>
      <c r="R376" s="114"/>
      <c r="S376" s="112"/>
      <c r="T376" s="178">
        <v>5</v>
      </c>
      <c r="U376" s="178"/>
      <c r="V376" s="112"/>
      <c r="W376" s="116"/>
      <c r="X376" s="116">
        <v>5</v>
      </c>
      <c r="Y376" s="149"/>
      <c r="Z376" s="149"/>
      <c r="AA376" s="116"/>
      <c r="AB376" s="114"/>
      <c r="AC376" s="118"/>
      <c r="AD376" s="117"/>
      <c r="AE376" s="118"/>
      <c r="AF376" s="118"/>
      <c r="AG376" s="117"/>
      <c r="AH376" s="121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76"/>
      <c r="AU376" s="477"/>
      <c r="AV376" s="477"/>
    </row>
    <row r="377" spans="1:48" ht="21.1">
      <c r="A377" s="82" t="s">
        <v>294</v>
      </c>
      <c r="B377" s="289"/>
      <c r="C377" s="132"/>
      <c r="D377" s="133"/>
      <c r="E377" s="134"/>
      <c r="F377" s="135"/>
      <c r="G377" s="136"/>
      <c r="H377" s="481">
        <v>6</v>
      </c>
      <c r="I377" s="105"/>
      <c r="J377" s="75" t="s">
        <v>382</v>
      </c>
      <c r="K377" s="75" t="s">
        <v>382</v>
      </c>
      <c r="L377" s="75" t="s">
        <v>375</v>
      </c>
      <c r="M377" s="75"/>
      <c r="N377" s="75"/>
      <c r="O377" s="96" t="s">
        <v>382</v>
      </c>
      <c r="P377" s="105"/>
      <c r="Q377" s="96" t="s">
        <v>382</v>
      </c>
      <c r="R377" s="96"/>
      <c r="S377" s="75" t="s">
        <v>375</v>
      </c>
      <c r="T377" s="141" t="s">
        <v>375</v>
      </c>
      <c r="U377" s="141"/>
      <c r="V377" s="75"/>
      <c r="W377" s="100"/>
      <c r="X377" s="100"/>
      <c r="Y377" s="142" t="s">
        <v>375</v>
      </c>
      <c r="Z377" s="142"/>
      <c r="AA377" s="100"/>
      <c r="AB377" s="96" t="s">
        <v>373</v>
      </c>
      <c r="AC377" s="109"/>
      <c r="AD377" s="108"/>
      <c r="AE377" s="109"/>
      <c r="AF377" s="109"/>
      <c r="AG377" s="108"/>
      <c r="AH377" s="111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50"/>
      <c r="AU377" s="477"/>
      <c r="AV377" s="477"/>
    </row>
    <row r="378" spans="1:48" ht="16.3">
      <c r="A378" s="246" t="s">
        <v>1</v>
      </c>
      <c r="B378" s="292">
        <f>SUM(J378+K378+L378+M378+N378+S378+V378+W378+X378+AA378+AI378+AJ378+AI378+AM378+AP378+AQ378+AS378+AT378+AU378+AV378+AN378)+7</f>
        <v>9</v>
      </c>
      <c r="C378" s="288">
        <f>SUM(K378+L378+M378+N378+J378+S378+W378+X378+V378+AA378+AJ378+AI378+AJ378+AN378+AQ378+AP378+AT378+AU378+AV378+AS378+AM378)+52</f>
        <v>54</v>
      </c>
      <c r="D378" s="133"/>
      <c r="E378" s="134"/>
      <c r="F378" s="135"/>
      <c r="G378" s="136"/>
      <c r="H378" s="481">
        <v>1</v>
      </c>
      <c r="I378" s="105"/>
      <c r="J378" s="75">
        <v>1</v>
      </c>
      <c r="K378" s="75">
        <v>1</v>
      </c>
      <c r="L378" s="75"/>
      <c r="M378" s="75"/>
      <c r="N378" s="75"/>
      <c r="O378" s="96">
        <v>1</v>
      </c>
      <c r="P378" s="105"/>
      <c r="Q378" s="96">
        <v>1</v>
      </c>
      <c r="R378" s="96"/>
      <c r="S378" s="75"/>
      <c r="T378" s="141"/>
      <c r="U378" s="141"/>
      <c r="V378" s="75"/>
      <c r="W378" s="100"/>
      <c r="X378" s="100"/>
      <c r="Y378" s="142"/>
      <c r="Z378" s="142"/>
      <c r="AA378" s="100"/>
      <c r="AB378" s="96">
        <v>1</v>
      </c>
      <c r="AC378" s="109"/>
      <c r="AD378" s="108"/>
      <c r="AE378" s="109"/>
      <c r="AF378" s="109"/>
      <c r="AG378" s="108"/>
      <c r="AH378" s="111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50"/>
      <c r="AU378" s="477"/>
      <c r="AV378" s="477"/>
    </row>
    <row r="379" spans="1:48" ht="16.3">
      <c r="A379" s="246" t="s">
        <v>2</v>
      </c>
      <c r="B379" s="292">
        <f>SUM(J379+K379+L379+M379+N379+S379+V379+W379+X379+AA379+AI379+AJ379+AI379+AM379+AP379+AQ379+AS379+AT379+AU379+AV379)</f>
        <v>2</v>
      </c>
      <c r="C379" s="288">
        <f>SUM(K379+L379+M379+N379+J379+S379+W379+X379+V379+AA379+AJ379+AI379+AJ379+AN379+AQ379+AP379+AT379+AU379+AV379+AS379+AM379)+53</f>
        <v>55</v>
      </c>
      <c r="D379" s="133"/>
      <c r="E379" s="134"/>
      <c r="F379" s="135"/>
      <c r="G379" s="136"/>
      <c r="H379" s="481"/>
      <c r="I379" s="105"/>
      <c r="J379" s="75"/>
      <c r="K379" s="75"/>
      <c r="L379" s="75">
        <v>1</v>
      </c>
      <c r="M379" s="75"/>
      <c r="N379" s="75"/>
      <c r="O379" s="96"/>
      <c r="P379" s="105"/>
      <c r="Q379" s="96"/>
      <c r="R379" s="96"/>
      <c r="S379" s="75">
        <v>1</v>
      </c>
      <c r="T379" s="141">
        <v>1</v>
      </c>
      <c r="U379" s="141"/>
      <c r="V379" s="75"/>
      <c r="W379" s="100"/>
      <c r="X379" s="100"/>
      <c r="Y379" s="142">
        <v>1</v>
      </c>
      <c r="Z379" s="142"/>
      <c r="AA379" s="100"/>
      <c r="AB379" s="96"/>
      <c r="AC379" s="109"/>
      <c r="AD379" s="108"/>
      <c r="AE379" s="109"/>
      <c r="AF379" s="109"/>
      <c r="AG379" s="108"/>
      <c r="AH379" s="111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50"/>
      <c r="AU379" s="477"/>
      <c r="AV379" s="477"/>
    </row>
    <row r="380" spans="1:48" ht="16.3">
      <c r="A380" s="87" t="s">
        <v>363</v>
      </c>
      <c r="B380" s="289">
        <f>SUM(B378+B379)</f>
        <v>11</v>
      </c>
      <c r="C380" s="132">
        <f>SUM(C378+C379)</f>
        <v>109</v>
      </c>
      <c r="D380" s="133"/>
      <c r="E380" s="134"/>
      <c r="F380" s="135"/>
      <c r="G380" s="136"/>
      <c r="H380" s="481"/>
      <c r="I380" s="105"/>
      <c r="J380" s="75"/>
      <c r="K380" s="75"/>
      <c r="L380" s="75"/>
      <c r="M380" s="75"/>
      <c r="N380" s="75"/>
      <c r="O380" s="96"/>
      <c r="P380" s="105"/>
      <c r="Q380" s="96"/>
      <c r="R380" s="96"/>
      <c r="S380" s="75"/>
      <c r="T380" s="141"/>
      <c r="U380" s="141"/>
      <c r="V380" s="75"/>
      <c r="W380" s="100"/>
      <c r="X380" s="100"/>
      <c r="Y380" s="142"/>
      <c r="Z380" s="142"/>
      <c r="AA380" s="100"/>
      <c r="AB380" s="96"/>
      <c r="AC380" s="109"/>
      <c r="AD380" s="108"/>
      <c r="AE380" s="109"/>
      <c r="AF380" s="109"/>
      <c r="AG380" s="108"/>
      <c r="AH380" s="111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50"/>
      <c r="AU380" s="477"/>
      <c r="AV380" s="477"/>
    </row>
    <row r="381" spans="1:48" ht="16.3">
      <c r="A381" s="246" t="s">
        <v>366</v>
      </c>
      <c r="B381" s="292">
        <f>SUM(J381+K381+L381+M381+N381+S381+V381+W381+X381+AA381+AI381+AJ381+AI381+AM381+AP381+AQ381+AS381+AT381+AU381+AV381)</f>
        <v>0</v>
      </c>
      <c r="C381" s="288">
        <f>SUM(K381+L381+M381+N381+J381+S381+W381+X381+V381+AA381+AJ381+AI381+AJ381+AN381+AQ381+AP381+AT381+AU381+AV381+AS381+AM381)+1</f>
        <v>1</v>
      </c>
      <c r="D381" s="133"/>
      <c r="E381" s="134"/>
      <c r="F381" s="135"/>
      <c r="G381" s="136"/>
      <c r="H381" s="481"/>
      <c r="I381" s="105"/>
      <c r="J381" s="75"/>
      <c r="K381" s="75"/>
      <c r="L381" s="75"/>
      <c r="M381" s="75"/>
      <c r="N381" s="75"/>
      <c r="O381" s="96"/>
      <c r="P381" s="105"/>
      <c r="Q381" s="96"/>
      <c r="R381" s="96"/>
      <c r="S381" s="75"/>
      <c r="T381" s="141"/>
      <c r="U381" s="141"/>
      <c r="V381" s="75"/>
      <c r="W381" s="100"/>
      <c r="X381" s="100"/>
      <c r="Y381" s="142"/>
      <c r="Z381" s="142"/>
      <c r="AA381" s="100"/>
      <c r="AB381" s="96"/>
      <c r="AC381" s="109"/>
      <c r="AD381" s="108"/>
      <c r="AE381" s="109"/>
      <c r="AF381" s="109"/>
      <c r="AG381" s="108"/>
      <c r="AH381" s="111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50"/>
      <c r="AU381" s="477"/>
      <c r="AV381" s="477"/>
    </row>
    <row r="382" spans="1:48" ht="16.3">
      <c r="A382" s="246" t="s">
        <v>362</v>
      </c>
      <c r="B382" s="292">
        <f>SUM(J382+K382+L382+M382+N382+S382+V382+W382+X382+AA382+AI382+AJ382+AI382+AM382+AP382+AQ382+AS382+AT382+AU382+AV382)+1</f>
        <v>1</v>
      </c>
      <c r="C382" s="288">
        <f>SUM(K382+L382+M382+N382+J382+S382+W382+X382+V382+AA382+AJ382+AI382+AJ382+AN382+AQ382+AP382+AT382+AU382+AV382+AS382+AM382)+1</f>
        <v>1</v>
      </c>
      <c r="D382" s="133"/>
      <c r="E382" s="134"/>
      <c r="F382" s="135"/>
      <c r="G382" s="136"/>
      <c r="H382" s="481"/>
      <c r="I382" s="105"/>
      <c r="J382" s="75"/>
      <c r="K382" s="75"/>
      <c r="L382" s="75"/>
      <c r="M382" s="75"/>
      <c r="N382" s="75"/>
      <c r="O382" s="96"/>
      <c r="P382" s="105"/>
      <c r="Q382" s="96"/>
      <c r="R382" s="96"/>
      <c r="S382" s="75"/>
      <c r="T382" s="141"/>
      <c r="U382" s="141"/>
      <c r="V382" s="75"/>
      <c r="W382" s="100"/>
      <c r="X382" s="100"/>
      <c r="Y382" s="142"/>
      <c r="Z382" s="142"/>
      <c r="AA382" s="100"/>
      <c r="AB382" s="96"/>
      <c r="AC382" s="109"/>
      <c r="AD382" s="108"/>
      <c r="AE382" s="109"/>
      <c r="AF382" s="109"/>
      <c r="AG382" s="108"/>
      <c r="AH382" s="111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50"/>
      <c r="AU382" s="477"/>
      <c r="AV382" s="477"/>
    </row>
    <row r="383" spans="1:48" ht="16.3">
      <c r="A383" s="87" t="s">
        <v>3</v>
      </c>
      <c r="B383" s="289">
        <f>SUM(J383+K383+L383+M383+N383+S383+V383+W383+X383+AA383+AI383+AJ383+AI383+AM383+AP383+AQ383+AS383+AT383+AU383+AV383)+2</f>
        <v>2</v>
      </c>
      <c r="C383" s="132">
        <f>SUM(K383+L383+M383+N383+J383+S383+W383+X383+V383+AA383+AJ383+AI383+AJ383+AN383+AQ383+AP383+AT383+AU383+AV383+AS383+AM383)+8</f>
        <v>8</v>
      </c>
      <c r="D383" s="133"/>
      <c r="E383" s="134"/>
      <c r="F383" s="135"/>
      <c r="G383" s="136"/>
      <c r="H383" s="481"/>
      <c r="I383" s="105"/>
      <c r="J383" s="75"/>
      <c r="K383" s="75"/>
      <c r="L383" s="75"/>
      <c r="M383" s="75"/>
      <c r="N383" s="75"/>
      <c r="O383" s="96"/>
      <c r="P383" s="105"/>
      <c r="Q383" s="96"/>
      <c r="R383" s="96"/>
      <c r="S383" s="75"/>
      <c r="T383" s="141"/>
      <c r="U383" s="141"/>
      <c r="V383" s="75"/>
      <c r="W383" s="100"/>
      <c r="X383" s="100"/>
      <c r="Y383" s="142"/>
      <c r="Z383" s="142"/>
      <c r="AA383" s="100"/>
      <c r="AB383" s="96"/>
      <c r="AC383" s="109"/>
      <c r="AD383" s="108"/>
      <c r="AE383" s="109"/>
      <c r="AF383" s="109"/>
      <c r="AG383" s="108"/>
      <c r="AH383" s="111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50"/>
      <c r="AU383" s="477"/>
      <c r="AV383" s="477"/>
    </row>
    <row r="384" spans="1:48" ht="17" thickBot="1">
      <c r="A384" s="88" t="s">
        <v>4</v>
      </c>
      <c r="B384" s="290">
        <f>SUM(J384+K384+L384+M384+N384+S384+V384+W384+X384+AA384+AI384+AJ384+AI384+AM384+AP384+AQ384+AS384+AT384+AU384+AV384)+10</f>
        <v>10</v>
      </c>
      <c r="C384" s="143">
        <f>SUM(K384+L384+M384+N384+J384+S384+W384+X384+V384+AA384+AJ384+AI384+AJ384+AN384+AQ384+AP384+AT384+AU384+AV384+AS384+AM384)+40</f>
        <v>40</v>
      </c>
      <c r="D384" s="144"/>
      <c r="E384" s="145"/>
      <c r="F384" s="146"/>
      <c r="G384" s="147"/>
      <c r="H384" s="482"/>
      <c r="I384" s="127"/>
      <c r="J384" s="112"/>
      <c r="K384" s="112"/>
      <c r="L384" s="112"/>
      <c r="M384" s="112"/>
      <c r="N384" s="112"/>
      <c r="O384" s="114"/>
      <c r="P384" s="127"/>
      <c r="Q384" s="114"/>
      <c r="R384" s="114"/>
      <c r="S384" s="112"/>
      <c r="T384" s="178"/>
      <c r="U384" s="178"/>
      <c r="V384" s="112"/>
      <c r="W384" s="116"/>
      <c r="X384" s="112"/>
      <c r="Y384" s="178"/>
      <c r="Z384" s="178"/>
      <c r="AA384" s="112"/>
      <c r="AB384" s="114"/>
      <c r="AC384" s="114"/>
      <c r="AD384" s="108"/>
      <c r="AE384" s="114"/>
      <c r="AF384" s="114"/>
      <c r="AG384" s="108"/>
      <c r="AH384" s="130"/>
      <c r="AI384" s="116"/>
      <c r="AJ384" s="112"/>
      <c r="AK384" s="112"/>
      <c r="AL384" s="112"/>
      <c r="AM384" s="116"/>
      <c r="AN384" s="112"/>
      <c r="AO384" s="112"/>
      <c r="AP384" s="112"/>
      <c r="AQ384" s="112"/>
      <c r="AR384" s="112"/>
      <c r="AS384" s="100"/>
      <c r="AT384" s="150"/>
      <c r="AU384" s="477"/>
      <c r="AV384" s="477"/>
    </row>
    <row r="385" spans="1:48" ht="21.1">
      <c r="A385" s="82" t="s">
        <v>518</v>
      </c>
      <c r="B385" s="289"/>
      <c r="C385" s="132"/>
      <c r="D385" s="133"/>
      <c r="E385" s="134"/>
      <c r="F385" s="135"/>
      <c r="G385" s="136"/>
      <c r="H385" s="481" t="s">
        <v>374</v>
      </c>
      <c r="I385" s="105"/>
      <c r="J385" s="75" t="s">
        <v>374</v>
      </c>
      <c r="K385" s="75">
        <v>8</v>
      </c>
      <c r="L385" s="75" t="s">
        <v>374</v>
      </c>
      <c r="M385" s="75">
        <v>8</v>
      </c>
      <c r="N385" s="75" t="s">
        <v>374</v>
      </c>
      <c r="O385" s="96"/>
      <c r="P385" s="105"/>
      <c r="Q385" s="96"/>
      <c r="R385" s="96"/>
      <c r="S385" s="75" t="s">
        <v>374</v>
      </c>
      <c r="T385" s="141" t="s">
        <v>864</v>
      </c>
      <c r="U385" s="141"/>
      <c r="V385" s="75" t="s">
        <v>374</v>
      </c>
      <c r="W385" s="75" t="s">
        <v>375</v>
      </c>
      <c r="X385" s="75" t="s">
        <v>375</v>
      </c>
      <c r="Y385" s="141" t="s">
        <v>339</v>
      </c>
      <c r="Z385" s="141" t="s">
        <v>339</v>
      </c>
      <c r="AA385" s="75" t="s">
        <v>339</v>
      </c>
      <c r="AB385" s="96" t="s">
        <v>339</v>
      </c>
      <c r="AC385" s="96" t="s">
        <v>339</v>
      </c>
      <c r="AD385" s="98"/>
      <c r="AE385" s="96"/>
      <c r="AF385" s="96"/>
      <c r="AG385" s="98"/>
      <c r="AH385" s="107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102"/>
      <c r="AT385" s="478"/>
      <c r="AU385" s="477"/>
      <c r="AV385" s="477"/>
    </row>
    <row r="386" spans="1:48" ht="16.3">
      <c r="A386" s="83" t="s">
        <v>1</v>
      </c>
      <c r="B386" s="292">
        <f>SUM(J386+K386+L386+M386+N386+S386+V386+W386+X386+AA386+AI386+AJ386+AI386+AM386+AP386+AQ386+AS386+AT386+AU386+AV386+AN386)</f>
        <v>7</v>
      </c>
      <c r="C386" s="288">
        <f>SUM(K386+L386+M386+N386+J386+S386+W386+X386+V386+AA386+AJ386+AI386+AJ386+AN386+AQ386+AP386+AT386+AU386+AV386+AS386+AM386)+5</f>
        <v>12</v>
      </c>
      <c r="D386" s="133"/>
      <c r="E386" s="134"/>
      <c r="F386" s="135"/>
      <c r="G386" s="136"/>
      <c r="H386" s="481">
        <v>1</v>
      </c>
      <c r="I386" s="105"/>
      <c r="J386" s="75">
        <v>1</v>
      </c>
      <c r="K386" s="75">
        <v>1</v>
      </c>
      <c r="L386" s="75">
        <v>1</v>
      </c>
      <c r="M386" s="75">
        <v>1</v>
      </c>
      <c r="N386" s="75">
        <v>1</v>
      </c>
      <c r="O386" s="96"/>
      <c r="P386" s="105"/>
      <c r="Q386" s="96"/>
      <c r="R386" s="96"/>
      <c r="S386" s="75">
        <v>1</v>
      </c>
      <c r="T386" s="141">
        <v>1</v>
      </c>
      <c r="U386" s="141"/>
      <c r="V386" s="75">
        <v>1</v>
      </c>
      <c r="W386" s="75"/>
      <c r="X386" s="75"/>
      <c r="Y386" s="141"/>
      <c r="Z386" s="141"/>
      <c r="AA386" s="75"/>
      <c r="AB386" s="96"/>
      <c r="AC386" s="109"/>
      <c r="AD386" s="108"/>
      <c r="AE386" s="109"/>
      <c r="AF386" s="109"/>
      <c r="AG386" s="108"/>
      <c r="AH386" s="107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100"/>
      <c r="AT386" s="150"/>
      <c r="AU386" s="477"/>
      <c r="AV386" s="477"/>
    </row>
    <row r="387" spans="1:48" ht="16.3">
      <c r="A387" s="83" t="s">
        <v>2</v>
      </c>
      <c r="B387" s="292">
        <f>SUM(J387+K387+L387+M387+N387+S387+V387+W387+X387+AA387+AI387+AJ387+AI387+AM387+AP387+AQ387+AS387+AT387+AU387+AV387)</f>
        <v>2</v>
      </c>
      <c r="C387" s="288">
        <f>SUM(K387+L387+M387+N387+J387+S387+W387+X387+V387+AA387+AJ387+AI387+AJ387+AN387+AQ387+AP387+AT387+AU387+AV387+AS387+AM387)+2</f>
        <v>4</v>
      </c>
      <c r="D387" s="133"/>
      <c r="E387" s="134"/>
      <c r="F387" s="135"/>
      <c r="G387" s="136"/>
      <c r="H387" s="481"/>
      <c r="I387" s="105"/>
      <c r="J387" s="75"/>
      <c r="K387" s="75"/>
      <c r="L387" s="75"/>
      <c r="M387" s="75"/>
      <c r="N387" s="75"/>
      <c r="O387" s="96"/>
      <c r="P387" s="105"/>
      <c r="Q387" s="96"/>
      <c r="R387" s="96"/>
      <c r="S387" s="75"/>
      <c r="T387" s="141"/>
      <c r="U387" s="141"/>
      <c r="V387" s="75"/>
      <c r="W387" s="75">
        <v>1</v>
      </c>
      <c r="X387" s="100">
        <v>1</v>
      </c>
      <c r="Y387" s="142"/>
      <c r="Z387" s="141"/>
      <c r="AA387" s="75"/>
      <c r="AB387" s="96"/>
      <c r="AC387" s="109"/>
      <c r="AD387" s="108"/>
      <c r="AE387" s="109"/>
      <c r="AF387" s="109"/>
      <c r="AG387" s="108"/>
      <c r="AH387" s="107"/>
      <c r="AI387" s="75"/>
      <c r="AJ387" s="100"/>
      <c r="AK387" s="100"/>
      <c r="AL387" s="75"/>
      <c r="AM387" s="75"/>
      <c r="AN387" s="100"/>
      <c r="AO387" s="75"/>
      <c r="AP387" s="75"/>
      <c r="AQ387" s="100"/>
      <c r="AR387" s="100"/>
      <c r="AS387" s="100"/>
      <c r="AT387" s="150"/>
      <c r="AU387" s="477"/>
      <c r="AV387" s="477"/>
    </row>
    <row r="388" spans="1:48" ht="16.3">
      <c r="A388" s="83" t="s">
        <v>363</v>
      </c>
      <c r="B388" s="289">
        <f>SUM(B386+B387)</f>
        <v>9</v>
      </c>
      <c r="C388" s="132">
        <f>SUM(C386+C387)</f>
        <v>16</v>
      </c>
      <c r="D388" s="133"/>
      <c r="E388" s="134"/>
      <c r="F388" s="135"/>
      <c r="G388" s="136"/>
      <c r="H388" s="481"/>
      <c r="I388" s="105"/>
      <c r="J388" s="75"/>
      <c r="K388" s="75"/>
      <c r="L388" s="75"/>
      <c r="M388" s="75"/>
      <c r="N388" s="75"/>
      <c r="O388" s="96"/>
      <c r="P388" s="105"/>
      <c r="Q388" s="96"/>
      <c r="R388" s="96"/>
      <c r="S388" s="75"/>
      <c r="T388" s="141"/>
      <c r="U388" s="141"/>
      <c r="V388" s="75"/>
      <c r="W388" s="75"/>
      <c r="X388" s="100"/>
      <c r="Y388" s="142"/>
      <c r="Z388" s="141"/>
      <c r="AA388" s="75"/>
      <c r="AB388" s="96"/>
      <c r="AC388" s="109"/>
      <c r="AD388" s="108"/>
      <c r="AE388" s="109"/>
      <c r="AF388" s="109"/>
      <c r="AG388" s="108"/>
      <c r="AH388" s="107"/>
      <c r="AI388" s="75"/>
      <c r="AJ388" s="100"/>
      <c r="AK388" s="100"/>
      <c r="AL388" s="75"/>
      <c r="AM388" s="75"/>
      <c r="AN388" s="100"/>
      <c r="AO388" s="75"/>
      <c r="AP388" s="75"/>
      <c r="AQ388" s="100"/>
      <c r="AR388" s="100"/>
      <c r="AS388" s="100"/>
      <c r="AT388" s="150"/>
      <c r="AU388" s="477"/>
      <c r="AV388" s="477"/>
    </row>
    <row r="389" spans="1:48" ht="16.3">
      <c r="A389" s="83" t="s">
        <v>362</v>
      </c>
      <c r="B389" s="292">
        <f>SUM(J389+K389+L389+M389+N389+S389+V389+W389+X389+AA389+AI389+AJ389+AI389+AM389+AP389+AQ389+AS389+AT389+AU389+AV389)</f>
        <v>0</v>
      </c>
      <c r="C389" s="288">
        <f>SUM(K389+L389+M389+N389+J389+S389+W389+X389+V389+AA389+AJ389+AI389+AJ389+AN389+AQ389+AP389+AT389+AU389+AV389+AS389+AM389)</f>
        <v>0</v>
      </c>
      <c r="D389" s="133"/>
      <c r="E389" s="134"/>
      <c r="F389" s="135"/>
      <c r="G389" s="136"/>
      <c r="H389" s="481"/>
      <c r="I389" s="105"/>
      <c r="J389" s="75"/>
      <c r="K389" s="75"/>
      <c r="L389" s="75"/>
      <c r="M389" s="75"/>
      <c r="N389" s="75"/>
      <c r="O389" s="96"/>
      <c r="P389" s="105"/>
      <c r="Q389" s="96"/>
      <c r="R389" s="96"/>
      <c r="S389" s="75"/>
      <c r="T389" s="141">
        <v>1</v>
      </c>
      <c r="U389" s="141"/>
      <c r="V389" s="75"/>
      <c r="W389" s="100"/>
      <c r="X389" s="100"/>
      <c r="Y389" s="142"/>
      <c r="Z389" s="142"/>
      <c r="AA389" s="100"/>
      <c r="AB389" s="96"/>
      <c r="AC389" s="109"/>
      <c r="AD389" s="108"/>
      <c r="AE389" s="109"/>
      <c r="AF389" s="109"/>
      <c r="AG389" s="108"/>
      <c r="AH389" s="111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50"/>
      <c r="AU389" s="477"/>
      <c r="AV389" s="477"/>
    </row>
    <row r="390" spans="1:48" ht="16.3">
      <c r="A390" s="83" t="s">
        <v>3</v>
      </c>
      <c r="B390" s="289">
        <f t="shared" ref="B390:B391" si="46">SUM(J390+K390+L390+M390+N390+S390+V390+W390+X390+AA390+AI390+AJ390+AI390+AM390+AP390+AQ390+AS390+AT390+AU390+AV390)</f>
        <v>2</v>
      </c>
      <c r="C390" s="132">
        <f>SUM(K390+L390+M390+N390+J390+S390+W390+X390+V390+AA390+AJ390+AI390+AJ390+AN390+AQ390+AP390+AT390+AU390+AV390+AS390+AM390)+4</f>
        <v>6</v>
      </c>
      <c r="D390" s="133"/>
      <c r="E390" s="134"/>
      <c r="F390" s="135"/>
      <c r="G390" s="136"/>
      <c r="H390" s="481"/>
      <c r="I390" s="105"/>
      <c r="J390" s="75"/>
      <c r="K390" s="75"/>
      <c r="L390" s="75"/>
      <c r="M390" s="75">
        <v>1</v>
      </c>
      <c r="N390" s="75"/>
      <c r="O390" s="96"/>
      <c r="P390" s="105"/>
      <c r="Q390" s="96"/>
      <c r="R390" s="96"/>
      <c r="S390" s="75"/>
      <c r="T390" s="141"/>
      <c r="U390" s="141"/>
      <c r="V390" s="75">
        <v>1</v>
      </c>
      <c r="W390" s="100"/>
      <c r="X390" s="100"/>
      <c r="Y390" s="142"/>
      <c r="Z390" s="142"/>
      <c r="AA390" s="100"/>
      <c r="AB390" s="96"/>
      <c r="AC390" s="109"/>
      <c r="AD390" s="108"/>
      <c r="AE390" s="109"/>
      <c r="AF390" s="109"/>
      <c r="AG390" s="108"/>
      <c r="AH390" s="111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50"/>
      <c r="AU390" s="477"/>
      <c r="AV390" s="477"/>
    </row>
    <row r="391" spans="1:48" ht="17" thickBot="1">
      <c r="A391" s="85" t="s">
        <v>4</v>
      </c>
      <c r="B391" s="290">
        <f t="shared" si="46"/>
        <v>10</v>
      </c>
      <c r="C391" s="143">
        <f>SUM(K391+L391+M391+N391+J391+S391+W391+X391+V391+AA391+AJ391+AI391+AJ391+AN391+AQ391+AP391+AT391+AU391+AV391+AS391+AM391)+20</f>
        <v>30</v>
      </c>
      <c r="D391" s="144"/>
      <c r="E391" s="145"/>
      <c r="F391" s="146"/>
      <c r="G391" s="147"/>
      <c r="H391" s="482"/>
      <c r="I391" s="127"/>
      <c r="J391" s="112"/>
      <c r="K391" s="112"/>
      <c r="L391" s="112"/>
      <c r="M391" s="112">
        <v>5</v>
      </c>
      <c r="N391" s="112"/>
      <c r="O391" s="114"/>
      <c r="P391" s="127"/>
      <c r="Q391" s="114"/>
      <c r="R391" s="114"/>
      <c r="S391" s="112"/>
      <c r="T391" s="178"/>
      <c r="U391" s="178"/>
      <c r="V391" s="112">
        <v>5</v>
      </c>
      <c r="W391" s="116"/>
      <c r="X391" s="112"/>
      <c r="Y391" s="142"/>
      <c r="Z391" s="142"/>
      <c r="AA391" s="100"/>
      <c r="AB391" s="114"/>
      <c r="AC391" s="109"/>
      <c r="AD391" s="108"/>
      <c r="AE391" s="109"/>
      <c r="AF391" s="109"/>
      <c r="AG391" s="108"/>
      <c r="AH391" s="111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50"/>
      <c r="AU391" s="477"/>
      <c r="AV391" s="477"/>
    </row>
    <row r="392" spans="1:48" ht="21.1">
      <c r="A392" s="82" t="s">
        <v>188</v>
      </c>
      <c r="B392" s="289"/>
      <c r="C392" s="132"/>
      <c r="D392" s="133"/>
      <c r="E392" s="134"/>
      <c r="F392" s="135"/>
      <c r="G392" s="136"/>
      <c r="H392" s="481"/>
      <c r="I392" s="105"/>
      <c r="J392" s="75"/>
      <c r="K392" s="75"/>
      <c r="L392" s="75"/>
      <c r="M392" s="75"/>
      <c r="N392" s="75"/>
      <c r="O392" s="96"/>
      <c r="P392" s="105"/>
      <c r="Q392" s="96"/>
      <c r="R392" s="96"/>
      <c r="S392" s="75"/>
      <c r="T392" s="141"/>
      <c r="U392" s="141"/>
      <c r="V392" s="75"/>
      <c r="W392" s="100"/>
      <c r="X392" s="100"/>
      <c r="Y392" s="138"/>
      <c r="Z392" s="138"/>
      <c r="AA392" s="102"/>
      <c r="AB392" s="96"/>
      <c r="AC392" s="99"/>
      <c r="AD392" s="98"/>
      <c r="AE392" s="99"/>
      <c r="AF392" s="99"/>
      <c r="AG392" s="98"/>
      <c r="AH392" s="103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478"/>
      <c r="AU392" s="477"/>
      <c r="AV392" s="477"/>
    </row>
    <row r="393" spans="1:48" ht="16.3">
      <c r="A393" s="246" t="s">
        <v>1</v>
      </c>
      <c r="B393" s="292">
        <f>SUM(J393+K393+L393+M393+N393+S393+V393+W393+X393+AA393+AI393+AJ393+AI393+AM393+AP393+AQ393+AS393+AT393+AU393+AV393+AN393)</f>
        <v>0</v>
      </c>
      <c r="C393" s="288">
        <f>B393</f>
        <v>0</v>
      </c>
      <c r="D393" s="133"/>
      <c r="E393" s="134"/>
      <c r="F393" s="135"/>
      <c r="G393" s="136"/>
      <c r="H393" s="481"/>
      <c r="I393" s="105"/>
      <c r="J393" s="75"/>
      <c r="K393" s="75"/>
      <c r="L393" s="75"/>
      <c r="M393" s="75"/>
      <c r="N393" s="75"/>
      <c r="O393" s="96"/>
      <c r="P393" s="105"/>
      <c r="Q393" s="96"/>
      <c r="R393" s="96"/>
      <c r="S393" s="75"/>
      <c r="T393" s="141"/>
      <c r="U393" s="141"/>
      <c r="V393" s="75"/>
      <c r="W393" s="100"/>
      <c r="X393" s="100"/>
      <c r="Y393" s="142"/>
      <c r="Z393" s="142"/>
      <c r="AA393" s="100"/>
      <c r="AB393" s="96"/>
      <c r="AC393" s="109"/>
      <c r="AD393" s="108"/>
      <c r="AE393" s="109"/>
      <c r="AF393" s="109"/>
      <c r="AG393" s="108"/>
      <c r="AH393" s="111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50"/>
      <c r="AU393" s="477"/>
      <c r="AV393" s="477"/>
    </row>
    <row r="394" spans="1:48" ht="16.3">
      <c r="A394" s="246" t="s">
        <v>2</v>
      </c>
      <c r="B394" s="292">
        <f>SUM(J394+K394+L394+M394+N394+S394+V394+W394+X394+AA394+AI394+AJ394+AI394+AM394+AP394+AQ394+AS394+AT394+AU394+AV394)</f>
        <v>0</v>
      </c>
      <c r="C394" s="288">
        <f t="shared" ref="C394:C397" si="47">B394</f>
        <v>0</v>
      </c>
      <c r="D394" s="133"/>
      <c r="E394" s="134"/>
      <c r="F394" s="135"/>
      <c r="G394" s="136"/>
      <c r="H394" s="481"/>
      <c r="I394" s="105"/>
      <c r="J394" s="75"/>
      <c r="K394" s="75"/>
      <c r="L394" s="75"/>
      <c r="M394" s="75"/>
      <c r="N394" s="75"/>
      <c r="O394" s="96"/>
      <c r="P394" s="105"/>
      <c r="Q394" s="96"/>
      <c r="R394" s="96"/>
      <c r="S394" s="75"/>
      <c r="T394" s="141"/>
      <c r="U394" s="141"/>
      <c r="V394" s="75"/>
      <c r="W394" s="100"/>
      <c r="X394" s="100"/>
      <c r="Y394" s="142"/>
      <c r="Z394" s="142"/>
      <c r="AA394" s="100"/>
      <c r="AB394" s="96"/>
      <c r="AC394" s="109"/>
      <c r="AD394" s="108"/>
      <c r="AE394" s="109"/>
      <c r="AF394" s="109"/>
      <c r="AG394" s="108"/>
      <c r="AH394" s="111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50"/>
      <c r="AU394" s="477"/>
      <c r="AV394" s="477"/>
    </row>
    <row r="395" spans="1:48" ht="16.3">
      <c r="A395" s="87" t="s">
        <v>363</v>
      </c>
      <c r="B395" s="289">
        <f>SUM(B393+B394)</f>
        <v>0</v>
      </c>
      <c r="C395" s="132">
        <f t="shared" si="47"/>
        <v>0</v>
      </c>
      <c r="D395" s="133"/>
      <c r="E395" s="134"/>
      <c r="F395" s="135"/>
      <c r="G395" s="136"/>
      <c r="H395" s="481"/>
      <c r="I395" s="105"/>
      <c r="J395" s="75"/>
      <c r="K395" s="75"/>
      <c r="L395" s="75"/>
      <c r="M395" s="75"/>
      <c r="N395" s="75"/>
      <c r="O395" s="96"/>
      <c r="P395" s="105"/>
      <c r="Q395" s="96"/>
      <c r="R395" s="96"/>
      <c r="S395" s="75"/>
      <c r="T395" s="141"/>
      <c r="U395" s="141"/>
      <c r="V395" s="75"/>
      <c r="W395" s="100"/>
      <c r="X395" s="100"/>
      <c r="Y395" s="142"/>
      <c r="Z395" s="142"/>
      <c r="AA395" s="100"/>
      <c r="AB395" s="96"/>
      <c r="AC395" s="109"/>
      <c r="AD395" s="108"/>
      <c r="AE395" s="109"/>
      <c r="AF395" s="109"/>
      <c r="AG395" s="108"/>
      <c r="AH395" s="111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50"/>
      <c r="AU395" s="477"/>
      <c r="AV395" s="477"/>
    </row>
    <row r="396" spans="1:48" ht="16.3">
      <c r="A396" s="87" t="s">
        <v>3</v>
      </c>
      <c r="B396" s="289">
        <f>SUM(J396+K396+L396+M396+N396+S396+V396+W396+X396+AA396+AI396+AJ396+AI396+AM396+AP396+AQ396+AS396+AT396+AU396+AV396)</f>
        <v>0</v>
      </c>
      <c r="C396" s="132">
        <f t="shared" si="47"/>
        <v>0</v>
      </c>
      <c r="D396" s="133"/>
      <c r="E396" s="134"/>
      <c r="F396" s="135"/>
      <c r="G396" s="136"/>
      <c r="H396" s="481"/>
      <c r="I396" s="105"/>
      <c r="J396" s="75"/>
      <c r="K396" s="75"/>
      <c r="L396" s="75"/>
      <c r="M396" s="75"/>
      <c r="N396" s="75"/>
      <c r="O396" s="96"/>
      <c r="P396" s="105"/>
      <c r="Q396" s="96"/>
      <c r="R396" s="96"/>
      <c r="S396" s="75"/>
      <c r="T396" s="141"/>
      <c r="U396" s="141"/>
      <c r="V396" s="75"/>
      <c r="W396" s="100"/>
      <c r="X396" s="100"/>
      <c r="Y396" s="142"/>
      <c r="Z396" s="142"/>
      <c r="AA396" s="100"/>
      <c r="AB396" s="96"/>
      <c r="AC396" s="109"/>
      <c r="AD396" s="108"/>
      <c r="AE396" s="109"/>
      <c r="AF396" s="109"/>
      <c r="AG396" s="108"/>
      <c r="AH396" s="111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50"/>
      <c r="AU396" s="477"/>
      <c r="AV396" s="477"/>
    </row>
    <row r="397" spans="1:48" ht="17" thickBot="1">
      <c r="A397" s="88" t="s">
        <v>4</v>
      </c>
      <c r="B397" s="290">
        <f>SUM(J397+K397+L397+M397+N397+S397+V397+W397+X397+AA397+AI397+AJ397+AI397+AM397+AP397+AQ397+AS397+AT397+AU397+AV397)</f>
        <v>0</v>
      </c>
      <c r="C397" s="143">
        <f t="shared" si="47"/>
        <v>0</v>
      </c>
      <c r="D397" s="144"/>
      <c r="E397" s="145"/>
      <c r="F397" s="146"/>
      <c r="G397" s="147"/>
      <c r="H397" s="482"/>
      <c r="I397" s="127"/>
      <c r="J397" s="112"/>
      <c r="K397" s="112"/>
      <c r="L397" s="112"/>
      <c r="M397" s="112"/>
      <c r="N397" s="112"/>
      <c r="O397" s="114"/>
      <c r="P397" s="127"/>
      <c r="Q397" s="114"/>
      <c r="R397" s="114"/>
      <c r="S397" s="112"/>
      <c r="T397" s="178"/>
      <c r="U397" s="178"/>
      <c r="V397" s="112"/>
      <c r="W397" s="116"/>
      <c r="X397" s="112"/>
      <c r="Y397" s="149"/>
      <c r="Z397" s="149"/>
      <c r="AA397" s="116"/>
      <c r="AB397" s="114"/>
      <c r="AC397" s="118"/>
      <c r="AD397" s="117"/>
      <c r="AE397" s="118"/>
      <c r="AF397" s="118"/>
      <c r="AG397" s="117"/>
      <c r="AH397" s="121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76"/>
      <c r="AU397" s="477"/>
      <c r="AV397" s="477"/>
    </row>
    <row r="398" spans="1:48" ht="21.1">
      <c r="A398" s="86" t="s">
        <v>8</v>
      </c>
      <c r="B398" s="237"/>
      <c r="C398" s="124"/>
      <c r="D398" s="124"/>
      <c r="E398" s="125"/>
      <c r="F398" s="124"/>
      <c r="G398" s="123"/>
      <c r="H398" s="484"/>
      <c r="I398" s="98"/>
      <c r="J398" s="123"/>
      <c r="K398" s="123"/>
      <c r="L398" s="123"/>
      <c r="M398" s="123"/>
      <c r="N398" s="102"/>
      <c r="O398" s="99"/>
      <c r="P398" s="98"/>
      <c r="Q398" s="99"/>
      <c r="R398" s="99"/>
      <c r="S398" s="102"/>
      <c r="T398" s="138"/>
      <c r="U398" s="138"/>
      <c r="V398" s="102"/>
      <c r="W398" s="102"/>
      <c r="X398" s="102"/>
      <c r="Y398" s="138"/>
      <c r="Z398" s="138"/>
      <c r="AA398" s="102"/>
      <c r="AB398" s="99"/>
      <c r="AC398" s="99"/>
      <c r="AD398" s="98"/>
      <c r="AE398" s="99"/>
      <c r="AF398" s="99"/>
      <c r="AG398" s="98"/>
      <c r="AH398" s="103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478"/>
      <c r="AU398" s="477"/>
      <c r="AV398" s="477"/>
    </row>
    <row r="399" spans="1:48" ht="16.3">
      <c r="A399" s="83" t="s">
        <v>3</v>
      </c>
      <c r="B399" s="238"/>
      <c r="C399" s="96"/>
      <c r="D399" s="96"/>
      <c r="E399" s="97"/>
      <c r="F399" s="96"/>
      <c r="G399" s="104"/>
      <c r="H399" s="485"/>
      <c r="I399" s="108"/>
      <c r="J399" s="104"/>
      <c r="K399" s="104"/>
      <c r="L399" s="104"/>
      <c r="M399" s="104"/>
      <c r="N399" s="100"/>
      <c r="O399" s="109"/>
      <c r="P399" s="108"/>
      <c r="Q399" s="109"/>
      <c r="R399" s="109"/>
      <c r="S399" s="100"/>
      <c r="T399" s="142"/>
      <c r="U399" s="142"/>
      <c r="V399" s="100"/>
      <c r="W399" s="100"/>
      <c r="X399" s="100"/>
      <c r="Y399" s="142"/>
      <c r="Z399" s="142"/>
      <c r="AA399" s="100"/>
      <c r="AB399" s="109"/>
      <c r="AC399" s="109"/>
      <c r="AD399" s="108"/>
      <c r="AE399" s="109"/>
      <c r="AF399" s="109"/>
      <c r="AG399" s="108"/>
      <c r="AH399" s="111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50"/>
      <c r="AU399" s="477"/>
      <c r="AV399" s="477"/>
    </row>
    <row r="400" spans="1:48" ht="17" thickBot="1">
      <c r="A400" s="85" t="s">
        <v>4</v>
      </c>
      <c r="B400" s="461"/>
      <c r="C400" s="114"/>
      <c r="D400" s="114"/>
      <c r="E400" s="151"/>
      <c r="F400" s="114"/>
      <c r="G400" s="113"/>
      <c r="H400" s="486"/>
      <c r="I400" s="117"/>
      <c r="J400" s="113"/>
      <c r="K400" s="113"/>
      <c r="L400" s="113"/>
      <c r="M400" s="113"/>
      <c r="N400" s="116"/>
      <c r="O400" s="114"/>
      <c r="P400" s="117"/>
      <c r="Q400" s="118"/>
      <c r="R400" s="118"/>
      <c r="S400" s="112"/>
      <c r="T400" s="149"/>
      <c r="U400" s="178"/>
      <c r="V400" s="116"/>
      <c r="W400" s="116"/>
      <c r="X400" s="116"/>
      <c r="Y400" s="149"/>
      <c r="Z400" s="149"/>
      <c r="AA400" s="116"/>
      <c r="AB400" s="118"/>
      <c r="AC400" s="118"/>
      <c r="AD400" s="117"/>
      <c r="AE400" s="118"/>
      <c r="AF400" s="118"/>
      <c r="AG400" s="117"/>
      <c r="AH400" s="121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76"/>
      <c r="AU400" s="477"/>
      <c r="AV400" s="477"/>
    </row>
    <row r="401" spans="1:48">
      <c r="A401" s="468"/>
      <c r="B401" s="862" t="s">
        <v>352</v>
      </c>
      <c r="C401" s="863"/>
      <c r="D401" s="864" t="s">
        <v>350</v>
      </c>
      <c r="E401" s="865"/>
      <c r="F401" s="866" t="s">
        <v>351</v>
      </c>
      <c r="G401" s="867"/>
      <c r="H401" s="389"/>
      <c r="I401" s="323"/>
      <c r="J401" s="323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680"/>
      <c r="V401" s="323"/>
      <c r="W401" s="323"/>
      <c r="X401" s="300"/>
      <c r="Y401" s="791"/>
      <c r="Z401" s="680"/>
      <c r="AA401" s="300"/>
      <c r="AB401" s="323"/>
      <c r="AC401" s="323"/>
      <c r="AD401" s="300"/>
      <c r="AE401" s="300"/>
      <c r="AF401" s="323"/>
      <c r="AG401" s="323"/>
      <c r="AH401" s="323"/>
      <c r="AI401" s="323"/>
      <c r="AJ401" s="323"/>
      <c r="AK401" s="418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</row>
    <row r="402" spans="1:48" ht="21.75" thickBot="1">
      <c r="A402" s="469" t="s">
        <v>725</v>
      </c>
      <c r="B402" s="63" t="s">
        <v>358</v>
      </c>
      <c r="C402" s="64" t="s">
        <v>349</v>
      </c>
      <c r="D402" s="63" t="s">
        <v>358</v>
      </c>
      <c r="E402" s="61" t="s">
        <v>349</v>
      </c>
      <c r="F402" s="63" t="s">
        <v>358</v>
      </c>
      <c r="G402" s="70" t="s">
        <v>349</v>
      </c>
      <c r="H402" s="324"/>
      <c r="I402" s="324"/>
      <c r="J402" s="324"/>
      <c r="K402" s="324"/>
      <c r="L402" s="324"/>
      <c r="M402" s="324"/>
      <c r="N402" s="324"/>
      <c r="O402" s="324"/>
      <c r="P402" s="324"/>
      <c r="Q402" s="327"/>
      <c r="R402" s="324"/>
      <c r="S402" s="327"/>
      <c r="T402" s="327"/>
      <c r="U402" s="675"/>
      <c r="V402" s="327"/>
      <c r="W402" s="327"/>
      <c r="X402" s="610"/>
      <c r="Y402" s="675"/>
      <c r="Z402" s="675"/>
      <c r="AA402" s="610"/>
      <c r="AB402" s="324"/>
      <c r="AC402" s="327"/>
      <c r="AD402" s="327"/>
      <c r="AE402" s="327"/>
      <c r="AF402" s="327"/>
      <c r="AG402" s="327"/>
      <c r="AH402" s="327"/>
      <c r="AI402" s="327"/>
      <c r="AJ402" s="327"/>
      <c r="AK402" s="327"/>
      <c r="AL402" s="445"/>
      <c r="AM402" s="445"/>
      <c r="AN402" s="445"/>
      <c r="AO402" s="445"/>
      <c r="AP402" s="445"/>
      <c r="AQ402" s="445"/>
      <c r="AR402" s="445"/>
      <c r="AS402" s="445"/>
      <c r="AT402" s="445"/>
      <c r="AU402" s="445"/>
      <c r="AV402" s="445"/>
    </row>
    <row r="403" spans="1:48">
      <c r="A403" s="301" t="s">
        <v>476</v>
      </c>
      <c r="B403" s="470">
        <f>SUM(J403+K403+L403+M403+N403+S403+V403+W403+X403+AA403+AI403+AJ403+AM403+AN403+AP403+AQ403+AS403+AT403+AU403+AV403)</f>
        <v>9</v>
      </c>
      <c r="C403" s="317"/>
      <c r="D403" s="13">
        <v>0</v>
      </c>
      <c r="E403" s="355"/>
      <c r="F403" s="13">
        <f>SUM(T403+U403+Y403+Z403+AK403+AL403+AO403+AR403)</f>
        <v>4</v>
      </c>
      <c r="G403" s="358"/>
      <c r="H403" s="571"/>
      <c r="I403" s="335"/>
      <c r="J403" s="13"/>
      <c r="K403" s="302">
        <v>1</v>
      </c>
      <c r="L403" s="302">
        <v>1</v>
      </c>
      <c r="M403" s="303">
        <v>1</v>
      </c>
      <c r="N403" s="338">
        <v>1</v>
      </c>
      <c r="O403" s="494">
        <v>1</v>
      </c>
      <c r="P403" s="335"/>
      <c r="Q403" s="494">
        <v>1</v>
      </c>
      <c r="R403" s="494">
        <v>1</v>
      </c>
      <c r="S403" s="302">
        <v>1</v>
      </c>
      <c r="T403" s="612">
        <v>1</v>
      </c>
      <c r="U403" s="613">
        <v>1</v>
      </c>
      <c r="V403" s="303">
        <v>1</v>
      </c>
      <c r="W403" s="303">
        <v>1</v>
      </c>
      <c r="X403" s="303">
        <v>1</v>
      </c>
      <c r="Y403" s="612">
        <v>1</v>
      </c>
      <c r="Z403" s="613">
        <v>1</v>
      </c>
      <c r="AA403" s="303">
        <v>1</v>
      </c>
      <c r="AB403" s="814">
        <v>1</v>
      </c>
      <c r="AC403" s="819">
        <v>1</v>
      </c>
      <c r="AD403" s="330"/>
      <c r="AE403" s="819">
        <v>1</v>
      </c>
      <c r="AF403" s="814">
        <v>1</v>
      </c>
      <c r="AG403" s="497"/>
      <c r="AH403" s="497"/>
      <c r="AI403" s="303"/>
      <c r="AJ403" s="303"/>
      <c r="AK403" s="424"/>
      <c r="AL403" s="463"/>
      <c r="AM403" s="362"/>
      <c r="AN403" s="362"/>
      <c r="AO403" s="464"/>
      <c r="AP403" s="362"/>
      <c r="AQ403" s="362"/>
      <c r="AR403" s="464"/>
      <c r="AS403" s="362"/>
      <c r="AT403" s="362"/>
      <c r="AU403" s="362"/>
      <c r="AV403" s="362"/>
    </row>
    <row r="404" spans="1:48">
      <c r="A404" s="304" t="s">
        <v>477</v>
      </c>
      <c r="B404" s="471">
        <f>SUM(H404+I404+K404+L404+M404+N404+S404+V404+W404+X404+AA404+AI404+AJ404+AM404+AN404+AP404+AQ404+AS404+AT404+AU404)</f>
        <v>1</v>
      </c>
      <c r="C404" s="318"/>
      <c r="D404" s="474">
        <v>0</v>
      </c>
      <c r="E404" s="356"/>
      <c r="F404" s="474">
        <f>SUM(T404+U404+Y404+Z404+AK404+AL404+AO404+AR404)</f>
        <v>3</v>
      </c>
      <c r="G404" s="359"/>
      <c r="H404" s="572"/>
      <c r="I404" s="336"/>
      <c r="J404" s="474"/>
      <c r="K404" s="305">
        <v>0</v>
      </c>
      <c r="L404" s="305">
        <v>0</v>
      </c>
      <c r="M404" s="306">
        <v>0</v>
      </c>
      <c r="N404" s="362">
        <v>0</v>
      </c>
      <c r="O404" s="491">
        <v>0</v>
      </c>
      <c r="P404" s="336"/>
      <c r="Q404" s="491">
        <v>1</v>
      </c>
      <c r="R404" s="491">
        <v>0</v>
      </c>
      <c r="S404" s="305">
        <v>0</v>
      </c>
      <c r="T404" s="614">
        <v>1</v>
      </c>
      <c r="U404" s="373">
        <v>1</v>
      </c>
      <c r="V404" s="306">
        <v>0</v>
      </c>
      <c r="W404" s="306">
        <v>0</v>
      </c>
      <c r="X404" s="306">
        <v>1</v>
      </c>
      <c r="Y404" s="373">
        <v>1</v>
      </c>
      <c r="Z404" s="373">
        <v>0</v>
      </c>
      <c r="AA404" s="306">
        <v>0</v>
      </c>
      <c r="AB404" s="815">
        <v>0</v>
      </c>
      <c r="AC404" s="812">
        <v>0</v>
      </c>
      <c r="AD404" s="331"/>
      <c r="AE404" s="812">
        <v>0</v>
      </c>
      <c r="AF404" s="815">
        <v>0</v>
      </c>
      <c r="AG404" s="14"/>
      <c r="AH404" s="14"/>
      <c r="AI404" s="306"/>
      <c r="AJ404" s="306"/>
      <c r="AK404" s="419"/>
      <c r="AL404" s="463"/>
      <c r="AM404" s="362"/>
      <c r="AN404" s="362"/>
      <c r="AO404" s="464"/>
      <c r="AP404" s="362"/>
      <c r="AQ404" s="362"/>
      <c r="AR404" s="464"/>
      <c r="AS404" s="362"/>
      <c r="AT404" s="362"/>
      <c r="AU404" s="362"/>
      <c r="AV404" s="362"/>
    </row>
    <row r="405" spans="1:48">
      <c r="A405" s="304" t="s">
        <v>478</v>
      </c>
      <c r="B405" s="471">
        <f>SUM(H405+I405+K405+L405+M405+N405+S405+V405+W405+X405+AA405+AI405+AJ405+AM405+AN405+AP405+AQ405+AS405+AT405+AU405)</f>
        <v>0</v>
      </c>
      <c r="C405" s="318"/>
      <c r="D405" s="474">
        <f>SUM(T405+U405+Y405+Z405+AK405+AL405+AO405+AR405)</f>
        <v>0</v>
      </c>
      <c r="E405" s="356"/>
      <c r="F405" s="474">
        <f>SUM(T405+U405+Y405+Z405+AK405+AL405+AO405+AR405)</f>
        <v>0</v>
      </c>
      <c r="G405" s="359"/>
      <c r="H405" s="572"/>
      <c r="I405" s="336"/>
      <c r="J405" s="474"/>
      <c r="K405" s="305">
        <v>0</v>
      </c>
      <c r="L405" s="305">
        <v>0</v>
      </c>
      <c r="M405" s="306">
        <v>0</v>
      </c>
      <c r="N405" s="362">
        <v>0</v>
      </c>
      <c r="O405" s="491">
        <v>0</v>
      </c>
      <c r="P405" s="336"/>
      <c r="Q405" s="491">
        <v>0</v>
      </c>
      <c r="R405" s="491">
        <v>0</v>
      </c>
      <c r="S405" s="305">
        <v>0</v>
      </c>
      <c r="T405" s="614">
        <v>0</v>
      </c>
      <c r="U405" s="373">
        <v>0</v>
      </c>
      <c r="V405" s="306">
        <v>0</v>
      </c>
      <c r="W405" s="306">
        <v>0</v>
      </c>
      <c r="X405" s="306">
        <v>0</v>
      </c>
      <c r="Y405" s="373">
        <v>0</v>
      </c>
      <c r="Z405" s="373">
        <v>0</v>
      </c>
      <c r="AA405" s="306">
        <v>0</v>
      </c>
      <c r="AB405" s="815">
        <v>0</v>
      </c>
      <c r="AC405" s="812">
        <v>0</v>
      </c>
      <c r="AD405" s="331"/>
      <c r="AE405" s="812">
        <v>0</v>
      </c>
      <c r="AF405" s="815">
        <v>0</v>
      </c>
      <c r="AG405" s="14"/>
      <c r="AH405" s="14"/>
      <c r="AI405" s="306"/>
      <c r="AJ405" s="306"/>
      <c r="AK405" s="419"/>
      <c r="AL405" s="463"/>
      <c r="AM405" s="362"/>
      <c r="AN405" s="362"/>
      <c r="AO405" s="464"/>
      <c r="AP405" s="362"/>
      <c r="AQ405" s="362"/>
      <c r="AR405" s="464"/>
      <c r="AS405" s="362"/>
      <c r="AT405" s="362"/>
      <c r="AU405" s="362"/>
      <c r="AV405" s="362"/>
    </row>
    <row r="406" spans="1:48" ht="14.95" thickBot="1">
      <c r="A406" s="304" t="s">
        <v>479</v>
      </c>
      <c r="B406" s="472">
        <f>SUM(H406+I406+K406+L406+M406+N406+S406+V406+W406+X406+AA406+AI406+AJ406+AM406+AN406+AP406+AQ406+AS406+AT406+AU406)</f>
        <v>8</v>
      </c>
      <c r="C406" s="354"/>
      <c r="D406" s="475">
        <v>0</v>
      </c>
      <c r="E406" s="357"/>
      <c r="F406" s="475">
        <f>SUM(T406+U406+Y406+Z406+AK406+AL406+AO406+AR406)</f>
        <v>1</v>
      </c>
      <c r="G406" s="360"/>
      <c r="H406" s="572"/>
      <c r="I406" s="336"/>
      <c r="J406" s="474"/>
      <c r="K406" s="305">
        <v>1</v>
      </c>
      <c r="L406" s="305">
        <v>1</v>
      </c>
      <c r="M406" s="306">
        <v>1</v>
      </c>
      <c r="N406" s="362">
        <v>1</v>
      </c>
      <c r="O406" s="491">
        <v>1</v>
      </c>
      <c r="P406" s="336"/>
      <c r="Q406" s="491">
        <v>0</v>
      </c>
      <c r="R406" s="491">
        <v>1</v>
      </c>
      <c r="S406" s="305">
        <v>1</v>
      </c>
      <c r="T406" s="614">
        <v>0</v>
      </c>
      <c r="U406" s="373">
        <v>0</v>
      </c>
      <c r="V406" s="306">
        <v>1</v>
      </c>
      <c r="W406" s="306">
        <v>1</v>
      </c>
      <c r="X406" s="306">
        <v>0</v>
      </c>
      <c r="Y406" s="373">
        <v>0</v>
      </c>
      <c r="Z406" s="373">
        <v>1</v>
      </c>
      <c r="AA406" s="306">
        <v>1</v>
      </c>
      <c r="AB406" s="815">
        <v>1</v>
      </c>
      <c r="AC406" s="812">
        <v>1</v>
      </c>
      <c r="AD406" s="331"/>
      <c r="AE406" s="812">
        <v>1</v>
      </c>
      <c r="AF406" s="815">
        <v>1</v>
      </c>
      <c r="AG406" s="14"/>
      <c r="AH406" s="14"/>
      <c r="AI406" s="306"/>
      <c r="AJ406" s="306"/>
      <c r="AK406" s="419"/>
      <c r="AL406" s="463"/>
      <c r="AM406" s="362"/>
      <c r="AN406" s="362"/>
      <c r="AO406" s="464"/>
      <c r="AP406" s="362"/>
      <c r="AQ406" s="362"/>
      <c r="AR406" s="464"/>
      <c r="AS406" s="362"/>
      <c r="AT406" s="362"/>
      <c r="AU406" s="362"/>
      <c r="AV406" s="362"/>
    </row>
    <row r="407" spans="1:48" ht="14.95" thickBot="1">
      <c r="A407" s="307" t="s">
        <v>480</v>
      </c>
      <c r="B407" s="473">
        <f>SUM(B404+B405*0.5)/B403*100</f>
        <v>11.111111111111111</v>
      </c>
      <c r="C407" s="350"/>
      <c r="D407" s="476">
        <v>0</v>
      </c>
      <c r="E407" s="357"/>
      <c r="F407" s="476">
        <v>0</v>
      </c>
      <c r="G407" s="410"/>
      <c r="H407" s="573"/>
      <c r="I407" s="337"/>
      <c r="J407" s="503"/>
      <c r="K407" s="340"/>
      <c r="L407" s="340"/>
      <c r="M407" s="309"/>
      <c r="N407" s="547"/>
      <c r="O407" s="583"/>
      <c r="P407" s="337"/>
      <c r="Q407" s="583"/>
      <c r="R407" s="583"/>
      <c r="S407" s="340"/>
      <c r="T407" s="615"/>
      <c r="U407" s="374"/>
      <c r="V407" s="310"/>
      <c r="W407" s="311"/>
      <c r="X407" s="309"/>
      <c r="Y407" s="374"/>
      <c r="Z407" s="374"/>
      <c r="AA407" s="309"/>
      <c r="AB407" s="816"/>
      <c r="AC407" s="813"/>
      <c r="AD407" s="333"/>
      <c r="AE407" s="813"/>
      <c r="AF407" s="816"/>
      <c r="AG407" s="16"/>
      <c r="AH407" s="16"/>
      <c r="AI407" s="309"/>
      <c r="AJ407" s="309"/>
      <c r="AK407" s="420"/>
      <c r="AL407" s="463"/>
      <c r="AM407" s="362"/>
      <c r="AN407" s="362"/>
      <c r="AO407" s="464"/>
      <c r="AP407" s="362"/>
      <c r="AQ407" s="362"/>
      <c r="AR407" s="464"/>
      <c r="AS407" s="362"/>
      <c r="AT407" s="362"/>
      <c r="AU407" s="362"/>
      <c r="AV407" s="362"/>
    </row>
    <row r="408" spans="1:48">
      <c r="A408" s="468"/>
      <c r="B408" s="862" t="s">
        <v>352</v>
      </c>
      <c r="C408" s="863"/>
      <c r="D408" s="864" t="s">
        <v>350</v>
      </c>
      <c r="E408" s="865"/>
      <c r="F408" s="866" t="s">
        <v>351</v>
      </c>
      <c r="G408" s="867"/>
      <c r="H408" s="389"/>
      <c r="I408" s="323"/>
      <c r="J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  <c r="V408" s="323"/>
      <c r="W408" s="323"/>
      <c r="X408" s="323"/>
      <c r="Y408" s="76"/>
      <c r="Z408" s="323"/>
      <c r="AA408" s="323"/>
      <c r="AB408" s="323"/>
      <c r="AC408" s="323"/>
      <c r="AD408" s="300"/>
      <c r="AE408" s="300"/>
      <c r="AF408" s="323"/>
      <c r="AG408" s="323"/>
      <c r="AH408" s="323"/>
      <c r="AI408" s="323"/>
      <c r="AJ408" s="323"/>
      <c r="AK408" s="418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</row>
    <row r="409" spans="1:48" ht="21.75" thickBot="1">
      <c r="A409" s="469" t="s">
        <v>561</v>
      </c>
      <c r="B409" s="63" t="s">
        <v>358</v>
      </c>
      <c r="C409" s="64" t="s">
        <v>349</v>
      </c>
      <c r="D409" s="63" t="s">
        <v>358</v>
      </c>
      <c r="E409" s="61" t="s">
        <v>349</v>
      </c>
      <c r="F409" s="63" t="s">
        <v>358</v>
      </c>
      <c r="G409" s="70" t="s">
        <v>349</v>
      </c>
      <c r="H409" s="324"/>
      <c r="I409" s="324"/>
      <c r="J409" s="324"/>
      <c r="K409" s="324"/>
      <c r="L409" s="324"/>
      <c r="M409" s="324"/>
      <c r="N409" s="324"/>
      <c r="O409" s="324"/>
      <c r="P409" s="324"/>
      <c r="Q409" s="327"/>
      <c r="R409" s="324"/>
      <c r="S409" s="327"/>
      <c r="T409" s="327"/>
      <c r="U409" s="327"/>
      <c r="V409" s="327"/>
      <c r="W409" s="327"/>
      <c r="X409" s="327"/>
      <c r="Y409" s="327"/>
      <c r="Z409" s="327"/>
      <c r="AA409" s="327"/>
      <c r="AB409" s="324"/>
      <c r="AC409" s="327"/>
      <c r="AD409" s="327"/>
      <c r="AE409" s="327"/>
      <c r="AF409" s="327"/>
      <c r="AG409" s="327"/>
      <c r="AH409" s="327"/>
      <c r="AI409" s="327"/>
      <c r="AJ409" s="327"/>
      <c r="AK409" s="327"/>
      <c r="AL409" s="445"/>
      <c r="AM409" s="445"/>
      <c r="AN409" s="445"/>
      <c r="AO409" s="445"/>
      <c r="AP409" s="445"/>
      <c r="AQ409" s="445"/>
      <c r="AR409" s="445"/>
      <c r="AS409" s="445"/>
      <c r="AT409" s="445"/>
      <c r="AU409" s="445"/>
      <c r="AV409" s="445"/>
    </row>
    <row r="410" spans="1:48">
      <c r="A410" s="301" t="s">
        <v>476</v>
      </c>
      <c r="B410" s="470"/>
      <c r="C410" s="317"/>
      <c r="D410" s="13">
        <v>0</v>
      </c>
      <c r="E410" s="355"/>
      <c r="F410" s="13">
        <f>SUM(T410+U410+Y410+Z410+AK410+AL410+AO410+AR410)+4</f>
        <v>4</v>
      </c>
      <c r="G410" s="358"/>
      <c r="H410" s="487">
        <v>1</v>
      </c>
      <c r="I410" s="335"/>
      <c r="J410" s="302">
        <v>1</v>
      </c>
      <c r="K410" s="13" t="s">
        <v>726</v>
      </c>
      <c r="L410" s="13"/>
      <c r="M410" s="13"/>
      <c r="N410" s="300"/>
      <c r="O410" s="335"/>
      <c r="P410" s="335"/>
      <c r="Q410" s="13"/>
      <c r="R410" s="335"/>
      <c r="S410" s="13"/>
      <c r="T410" s="495"/>
      <c r="U410" s="496"/>
      <c r="V410" s="497"/>
      <c r="W410" s="497"/>
      <c r="X410" s="497"/>
      <c r="Y410" s="495"/>
      <c r="Z410" s="496"/>
      <c r="AA410" s="497"/>
      <c r="AB410" s="335"/>
      <c r="AC410" s="498"/>
      <c r="AD410" s="330"/>
      <c r="AE410" s="328"/>
      <c r="AF410" s="497"/>
      <c r="AG410" s="497"/>
      <c r="AH410" s="497"/>
      <c r="AI410" s="497"/>
      <c r="AJ410" s="497"/>
      <c r="AK410" s="499"/>
      <c r="AL410" s="425"/>
      <c r="AM410" s="443"/>
      <c r="AN410" s="443"/>
      <c r="AO410" s="438"/>
      <c r="AP410" s="443"/>
      <c r="AQ410" s="443"/>
      <c r="AR410" s="438"/>
      <c r="AS410" s="443"/>
      <c r="AT410" s="443"/>
      <c r="AU410" s="443"/>
      <c r="AV410" s="443"/>
    </row>
    <row r="411" spans="1:48">
      <c r="A411" s="304" t="s">
        <v>477</v>
      </c>
      <c r="B411" s="471"/>
      <c r="C411" s="318"/>
      <c r="D411" s="474">
        <v>0</v>
      </c>
      <c r="E411" s="356"/>
      <c r="F411" s="474">
        <f>SUM(T411+U411+Y411+Z411+AK411+AL411+AO411+AR411)</f>
        <v>0</v>
      </c>
      <c r="G411" s="359"/>
      <c r="H411" s="488">
        <v>1</v>
      </c>
      <c r="I411" s="336"/>
      <c r="J411" s="305">
        <v>0</v>
      </c>
      <c r="K411" s="474"/>
      <c r="L411" s="474"/>
      <c r="M411" s="474"/>
      <c r="N411" s="474"/>
      <c r="O411" s="336"/>
      <c r="P411" s="336"/>
      <c r="Q411" s="474"/>
      <c r="R411" s="336"/>
      <c r="S411" s="474"/>
      <c r="T411" s="500"/>
      <c r="U411" s="501"/>
      <c r="V411" s="14"/>
      <c r="W411" s="14"/>
      <c r="X411" s="14"/>
      <c r="Y411" s="501"/>
      <c r="Z411" s="501"/>
      <c r="AA411" s="14"/>
      <c r="AB411" s="336"/>
      <c r="AC411" s="332"/>
      <c r="AD411" s="331"/>
      <c r="AE411" s="329"/>
      <c r="AF411" s="14"/>
      <c r="AG411" s="14"/>
      <c r="AH411" s="14"/>
      <c r="AI411" s="14"/>
      <c r="AJ411" s="14"/>
      <c r="AK411" s="502"/>
      <c r="AL411" s="425"/>
      <c r="AM411" s="443"/>
      <c r="AN411" s="443"/>
      <c r="AO411" s="438"/>
      <c r="AP411" s="443"/>
      <c r="AQ411" s="443"/>
      <c r="AR411" s="438"/>
      <c r="AS411" s="443"/>
      <c r="AT411" s="443"/>
      <c r="AU411" s="443"/>
      <c r="AV411" s="443"/>
    </row>
    <row r="412" spans="1:48">
      <c r="A412" s="304" t="s">
        <v>478</v>
      </c>
      <c r="B412" s="471"/>
      <c r="C412" s="318"/>
      <c r="D412" s="474">
        <f>SUM(T412+U412+Y412+Z412+AK412+AL412+AO412+AR412)</f>
        <v>0</v>
      </c>
      <c r="E412" s="356"/>
      <c r="F412" s="474">
        <f>SUM(T412+U412+Y412+Z412+AK412+AL412+AO412+AR412)</f>
        <v>0</v>
      </c>
      <c r="G412" s="359"/>
      <c r="H412" s="488">
        <v>0</v>
      </c>
      <c r="I412" s="336"/>
      <c r="J412" s="305">
        <v>0</v>
      </c>
      <c r="K412" s="474"/>
      <c r="L412" s="474"/>
      <c r="M412" s="474"/>
      <c r="N412" s="474"/>
      <c r="O412" s="336"/>
      <c r="P412" s="336"/>
      <c r="Q412" s="474"/>
      <c r="R412" s="336"/>
      <c r="S412" s="474"/>
      <c r="T412" s="500"/>
      <c r="U412" s="501"/>
      <c r="V412" s="14"/>
      <c r="W412" s="14"/>
      <c r="X412" s="14"/>
      <c r="Y412" s="501"/>
      <c r="Z412" s="501"/>
      <c r="AA412" s="14"/>
      <c r="AB412" s="336"/>
      <c r="AC412" s="332"/>
      <c r="AD412" s="331"/>
      <c r="AE412" s="329"/>
      <c r="AF412" s="14"/>
      <c r="AG412" s="14"/>
      <c r="AH412" s="14"/>
      <c r="AI412" s="14"/>
      <c r="AJ412" s="14"/>
      <c r="AK412" s="502"/>
      <c r="AL412" s="425"/>
      <c r="AM412" s="443"/>
      <c r="AN412" s="443"/>
      <c r="AO412" s="438"/>
      <c r="AP412" s="443"/>
      <c r="AQ412" s="443"/>
      <c r="AR412" s="438"/>
      <c r="AS412" s="443"/>
      <c r="AT412" s="443"/>
      <c r="AU412" s="443"/>
      <c r="AV412" s="443"/>
    </row>
    <row r="413" spans="1:48" ht="14.95" thickBot="1">
      <c r="A413" s="304" t="s">
        <v>479</v>
      </c>
      <c r="B413" s="472"/>
      <c r="C413" s="354"/>
      <c r="D413" s="475">
        <v>0</v>
      </c>
      <c r="E413" s="357"/>
      <c r="F413" s="475">
        <f>SUM(T413+U413+Y413+Z413+AK413+AL413+AO413+AR413)+4</f>
        <v>4</v>
      </c>
      <c r="G413" s="360"/>
      <c r="H413" s="488">
        <v>0</v>
      </c>
      <c r="I413" s="336"/>
      <c r="J413" s="305">
        <v>1</v>
      </c>
      <c r="K413" s="474"/>
      <c r="L413" s="474"/>
      <c r="M413" s="474"/>
      <c r="N413" s="474"/>
      <c r="O413" s="336"/>
      <c r="P413" s="336"/>
      <c r="Q413" s="474"/>
      <c r="R413" s="336"/>
      <c r="S413" s="474"/>
      <c r="T413" s="500"/>
      <c r="U413" s="501"/>
      <c r="V413" s="14"/>
      <c r="W413" s="14"/>
      <c r="X413" s="14"/>
      <c r="Y413" s="501"/>
      <c r="Z413" s="501"/>
      <c r="AA413" s="14"/>
      <c r="AB413" s="336"/>
      <c r="AC413" s="332"/>
      <c r="AD413" s="331"/>
      <c r="AE413" s="329"/>
      <c r="AF413" s="14"/>
      <c r="AG413" s="14"/>
      <c r="AH413" s="14"/>
      <c r="AI413" s="14"/>
      <c r="AJ413" s="14"/>
      <c r="AK413" s="502"/>
      <c r="AL413" s="425"/>
      <c r="AM413" s="443"/>
      <c r="AN413" s="443"/>
      <c r="AO413" s="438"/>
      <c r="AP413" s="443"/>
      <c r="AQ413" s="443"/>
      <c r="AR413" s="438"/>
      <c r="AS413" s="443"/>
      <c r="AT413" s="443"/>
      <c r="AU413" s="443"/>
      <c r="AV413" s="443"/>
    </row>
    <row r="414" spans="1:48" ht="14.95" thickBot="1">
      <c r="A414" s="307" t="s">
        <v>480</v>
      </c>
      <c r="B414" s="473"/>
      <c r="C414" s="350"/>
      <c r="D414" s="476">
        <v>0</v>
      </c>
      <c r="E414" s="357"/>
      <c r="F414" s="475">
        <f>SUM(F411+F412*0.5)/F410*100</f>
        <v>0</v>
      </c>
      <c r="G414" s="410"/>
      <c r="H414" s="489"/>
      <c r="I414" s="337"/>
      <c r="J414" s="339"/>
      <c r="K414" s="475"/>
      <c r="L414" s="475"/>
      <c r="M414" s="475"/>
      <c r="N414" s="475"/>
      <c r="O414" s="337"/>
      <c r="P414" s="337"/>
      <c r="Q414" s="475"/>
      <c r="R414" s="337"/>
      <c r="S414" s="475"/>
      <c r="T414" s="326"/>
      <c r="U414" s="16"/>
      <c r="V414" s="333"/>
      <c r="W414" s="504"/>
      <c r="X414" s="504"/>
      <c r="Y414" s="504"/>
      <c r="Z414" s="333"/>
      <c r="AA414" s="16"/>
      <c r="AB414" s="337"/>
      <c r="AC414" s="334"/>
      <c r="AD414" s="333"/>
      <c r="AE414" s="63"/>
      <c r="AF414" s="16"/>
      <c r="AG414" s="16"/>
      <c r="AH414" s="16"/>
      <c r="AI414" s="16"/>
      <c r="AJ414" s="16"/>
      <c r="AK414" s="505"/>
      <c r="AL414" s="425"/>
      <c r="AM414" s="443"/>
      <c r="AN414" s="443"/>
      <c r="AO414" s="438"/>
      <c r="AP414" s="443"/>
      <c r="AQ414" s="443"/>
      <c r="AR414" s="438"/>
      <c r="AS414" s="443"/>
      <c r="AT414" s="443"/>
      <c r="AU414" s="443"/>
      <c r="AV414" s="443"/>
    </row>
    <row r="415" spans="1:48" ht="21.1">
      <c r="A415" s="25" t="s">
        <v>10</v>
      </c>
      <c r="B415" s="28"/>
      <c r="C415" s="28"/>
      <c r="D415" s="28"/>
      <c r="E415" s="28"/>
      <c r="F415" s="28"/>
      <c r="G415" s="28"/>
      <c r="H415" s="28"/>
      <c r="I415" s="34"/>
      <c r="J415" s="28"/>
      <c r="K415" s="28"/>
      <c r="L415" s="28"/>
      <c r="M415" s="28"/>
      <c r="N415" s="28"/>
      <c r="O415" s="28"/>
      <c r="P415" s="34"/>
      <c r="Q415" s="28"/>
      <c r="R415" s="28"/>
      <c r="S415" s="28"/>
      <c r="T415" s="30"/>
      <c r="U415" s="30"/>
      <c r="V415" s="31"/>
      <c r="W415" s="31"/>
      <c r="X415" s="31"/>
      <c r="Y415" s="31"/>
      <c r="Z415" s="31"/>
      <c r="AA415" s="31"/>
      <c r="AB415" s="28"/>
      <c r="AC415" s="31"/>
      <c r="AD415" s="33"/>
      <c r="AE415" s="31"/>
      <c r="AF415" s="31"/>
      <c r="AG415" s="33"/>
      <c r="AH415" s="33"/>
      <c r="AI415" s="31"/>
      <c r="AJ415" s="31"/>
      <c r="AK415" s="31"/>
      <c r="AL415" s="31"/>
      <c r="AM415" s="31"/>
      <c r="AN415" s="31"/>
      <c r="AO415" s="31"/>
      <c r="AP415" s="40"/>
      <c r="AQ415" s="40"/>
      <c r="AR415" s="40"/>
      <c r="AS415" s="40"/>
      <c r="AT415" s="31"/>
      <c r="AU415" s="480"/>
      <c r="AV415" s="480"/>
    </row>
    <row r="416" spans="1:48">
      <c r="A416" s="26" t="s">
        <v>1</v>
      </c>
      <c r="B416" s="28"/>
      <c r="C416" s="28"/>
      <c r="D416" s="28"/>
      <c r="E416" s="28"/>
      <c r="F416" s="28"/>
      <c r="G416" s="28"/>
      <c r="H416" s="28">
        <f>IF(SUMIF($A$4:$A400,$A416,H$4:H400)=0,"",SUMIF($A$4:$A400,$A416,H$4:H400))</f>
        <v>15</v>
      </c>
      <c r="I416" s="34"/>
      <c r="J416" s="28">
        <f>IF(SUMIF($A$4:$A400,$A416,J$4:J400)=0,"",SUMIF($A$4:$A400,$A416,J$4:J400))</f>
        <v>15</v>
      </c>
      <c r="K416" s="28">
        <f>IF(SUMIF($A$4:$A400,$A416,K$4:K400)=0,"",SUMIF($A$4:$A400,$A416,K$4:K400))</f>
        <v>15</v>
      </c>
      <c r="L416" s="28">
        <f>IF(SUMIF($A$4:$A400,$A416,L$4:L400)=0,"",SUMIF($A$4:$A400,$A416,L$4:L400))</f>
        <v>15</v>
      </c>
      <c r="M416" s="28">
        <f>IF(SUMIF($A$4:$A400,$A416,M$4:M400)=0,"",SUMIF($A$4:$A400,$A416,M$4:M400))</f>
        <v>15</v>
      </c>
      <c r="N416" s="28">
        <f>IF(SUMIF($A$4:$A400,$A416,N$4:N400)=0,"",SUMIF($A$4:$A400,$A416,N$4:N400))</f>
        <v>15</v>
      </c>
      <c r="O416" s="28">
        <f>IF(SUMIF($A$4:$A400,$A416,O$4:O400)=0,"",SUMIF($A$4:$A400,$A416,O$4:O400))</f>
        <v>15</v>
      </c>
      <c r="P416" s="34"/>
      <c r="Q416" s="28">
        <f>IF(SUMIF($A$4:$A400,$A416,Q$4:Q400)=0,"",SUMIF($A$4:$A400,$A416,Q$4:Q400))</f>
        <v>15</v>
      </c>
      <c r="R416" s="28">
        <f>IF(SUMIF($A$4:$A400,$A416,R$4:R400)=0,"",SUMIF($A$4:$A400,$A416,R$4:R400))</f>
        <v>15</v>
      </c>
      <c r="S416" s="28">
        <f>IF(SUMIF($A$4:$A400,$A416,S$4:S400)=0,"",SUMIF($A$4:$A400,$A416,S$4:S400))</f>
        <v>15</v>
      </c>
      <c r="T416" s="28">
        <f>IF(SUMIF($A$4:$A400,$A416,T$4:T400)=0,"",SUMIF($A$4:$A400,$A416,T$4:T400))</f>
        <v>15</v>
      </c>
      <c r="U416" s="28">
        <f>IF(SUMIF($A$4:$A400,$A416,U$4:U400)=0,"",SUMIF($A$4:$A400,$A416,U$4:U400))</f>
        <v>15</v>
      </c>
      <c r="V416" s="28">
        <f>IF(SUMIF($A$4:$A400,$A416,V$4:V400)=0,"",SUMIF($A$4:$A400,$A416,V$4:V400))</f>
        <v>15</v>
      </c>
      <c r="W416" s="28">
        <f>IF(SUMIF($A$4:$A400,$A416,W$4:W400)=0,"",SUMIF($A$4:$A400,$A416,W$4:W400))</f>
        <v>15</v>
      </c>
      <c r="X416" s="28">
        <f>IF(SUMIF($A$4:$A400,$A416,X$4:X400)=0,"",SUMIF($A$4:$A400,$A416,X$4:X400))</f>
        <v>15</v>
      </c>
      <c r="Y416" s="28">
        <f>IF(SUMIF($A$4:$A400,$A416,Y$4:Y400)=0,"",SUMIF($A$4:$A400,$A416,Y$4:Y400))</f>
        <v>15</v>
      </c>
      <c r="Z416" s="28">
        <f>IF(SUMIF($A$4:$A400,$A416,Z$4:Z400)=0,"",SUMIF($A$4:$A400,$A416,Z$4:Z400))</f>
        <v>15</v>
      </c>
      <c r="AA416" s="28">
        <f>IF(SUMIF($A$4:$A400,$A416,AA$4:AA400)=0,"",SUMIF($A$4:$A400,$A416,AA$4:AA400))</f>
        <v>15</v>
      </c>
      <c r="AB416" s="28">
        <f>IF(SUMIF($A$4:$A400,$A416,AB$4:AB400)=0,"",SUMIF($A$4:$A400,$A416,AB$4:AB400))</f>
        <v>15</v>
      </c>
      <c r="AC416" s="28">
        <f>IF(SUMIF($A$4:$A400,$A416,AC$4:AC400)=0,"",SUMIF($A$4:$A400,$A416,AC$4:AC400))</f>
        <v>15</v>
      </c>
      <c r="AD416" s="34"/>
      <c r="AE416" s="28">
        <f>IF(SUMIF($A$4:$A400,$A416,AE$4:AE400)=0,"",SUMIF($A$4:$A400,$A416,AE$4:AE400))</f>
        <v>15</v>
      </c>
      <c r="AF416" s="28">
        <f>IF(SUMIF($A$4:$A400,$A416,AF$4:AF400)=0,"",SUMIF($A$4:$A400,$A416,AF$4:AF400))</f>
        <v>15</v>
      </c>
      <c r="AG416" s="34" t="str">
        <f>IF(SUMIF($A$4:$A400,$A416,AG$4:AG400)=0,"",SUMIF($A$4:$A400,$A416,AG$4:AG400))</f>
        <v/>
      </c>
      <c r="AH416" s="34" t="str">
        <f>IF(SUMIF($A$4:$A400,$A416,AH$4:AH400)=0,"",SUMIF($A$4:$A400,$A416,AH$4:AH400))</f>
        <v/>
      </c>
      <c r="AI416" s="28" t="str">
        <f>IF(SUMIF($A$4:$A400,$A416,AI$4:AI400)=0,"",SUMIF($A$4:$A400,$A416,AI$4:AI400))</f>
        <v/>
      </c>
      <c r="AJ416" s="28" t="str">
        <f>IF(SUMIF($A$4:$A400,$A416,AJ$4:AJ400)=0,"",SUMIF($A$4:$A400,$A416,AJ$4:AJ400))</f>
        <v/>
      </c>
      <c r="AK416" s="28" t="str">
        <f>IF(SUMIF($A$4:$A400,$A416,AK$4:AK400)=0,"",SUMIF($A$4:$A400,$A416,AK$4:AK400))</f>
        <v/>
      </c>
      <c r="AL416" s="28" t="str">
        <f>IF(SUMIF($A$4:$A400,$A416,AL$4:AL400)=0,"",SUMIF($A$4:$A400,$A416,AL$4:AL400))</f>
        <v/>
      </c>
      <c r="AM416" s="28" t="str">
        <f>IF(SUMIF($A$4:$A400,$A416,AM$4:AM400)=0,"",SUMIF($A$4:$A400,$A416,AM$4:AM400))</f>
        <v/>
      </c>
      <c r="AN416" s="28" t="str">
        <f>IF(SUMIF($A$4:$A400,$A416,AN$4:AN400)=0,"",SUMIF($A$4:$A400,$A416,AN$4:AN400))</f>
        <v/>
      </c>
      <c r="AO416" s="28" t="str">
        <f>IF(SUMIF($A$4:$A400,$A416,AO$4:AO400)=0,"",SUMIF($A$4:$A400,$A416,AO$4:AO400))</f>
        <v/>
      </c>
      <c r="AP416" s="28" t="str">
        <f>IF(SUMIF($A$4:$A400,$A416,AP$4:AP400)=0,"",SUMIF($A$4:$A400,$A416,AP$4:AP400))</f>
        <v/>
      </c>
      <c r="AQ416" s="28" t="str">
        <f>IF(SUMIF($A$4:$A400,$A416,AQ$4:AQ400)=0,"",SUMIF($A$4:$A400,$A416,AQ$4:AQ400))</f>
        <v/>
      </c>
      <c r="AR416" s="28" t="str">
        <f>IF(SUMIF($A$4:$A400,$A416,AR$4:AR400)=0,"",SUMIF($A$4:$A400,$A416,AR$4:AR400))</f>
        <v/>
      </c>
      <c r="AS416" s="28" t="str">
        <f>IF(SUMIF($A$4:$A400,$A416,AS$4:AS400)=0,"",SUMIF($A$4:$A400,$A416,AS$4:AS400))</f>
        <v/>
      </c>
      <c r="AT416" s="28" t="str">
        <f>IF(SUMIF($A$4:$A400,$A416,AT$4:AT400)=0,"",SUMIF($A$4:$A400,$A416,AT$4:AT400))</f>
        <v/>
      </c>
      <c r="AU416" s="480"/>
      <c r="AV416" s="480"/>
    </row>
    <row r="417" spans="1:48">
      <c r="A417" s="26" t="s">
        <v>2</v>
      </c>
      <c r="B417" s="28"/>
      <c r="C417" s="28"/>
      <c r="D417" s="28"/>
      <c r="E417" s="28"/>
      <c r="F417" s="28"/>
      <c r="G417" s="28"/>
      <c r="H417" s="28">
        <f>IF(SUMIF($A$4:$A415,$A417,H$4:H415)=0,"",SUMIF($A$4:$A415,$A417,H$4:H415))</f>
        <v>7</v>
      </c>
      <c r="I417" s="34"/>
      <c r="J417" s="28">
        <f>IF(SUMIF($A$4:$A415,$A417,J$4:J415)=0,"",SUMIF($A$4:$A415,$A417,J$4:J415))</f>
        <v>8</v>
      </c>
      <c r="K417" s="28">
        <f>IF(SUMIF($A$4:$A415,$A417,K$4:K415)=0,"",SUMIF($A$4:$A415,$A417,K$4:K415))</f>
        <v>8</v>
      </c>
      <c r="L417" s="28">
        <f>IF(SUMIF($A$4:$A415,$A417,L$4:L415)=0,"",SUMIF($A$4:$A415,$A417,L$4:L415))</f>
        <v>8</v>
      </c>
      <c r="M417" s="28">
        <f>IF(SUMIF($A$4:$A415,$A417,M$4:M415)=0,"",SUMIF($A$4:$A415,$A417,M$4:M415))</f>
        <v>7</v>
      </c>
      <c r="N417" s="28">
        <f>IF(SUMIF($A$4:$A415,$A417,N$4:N415)=0,"",SUMIF($A$4:$A415,$A417,N$4:N415))</f>
        <v>8</v>
      </c>
      <c r="O417" s="28">
        <f>IF(SUMIF($A$4:$A415,$A417,O$4:O415)=0,"",SUMIF($A$4:$A415,$A417,O$4:O415))</f>
        <v>8</v>
      </c>
      <c r="P417" s="34"/>
      <c r="Q417" s="28">
        <f>IF(SUMIF($A$4:$A415,$A417,Q$4:Q415)=0,"",SUMIF($A$4:$A415,$A417,Q$4:Q415))</f>
        <v>8</v>
      </c>
      <c r="R417" s="28">
        <f>IF(SUMIF($A$4:$A415,$A417,R$4:R415)=0,"",SUMIF($A$4:$A415,$A417,R$4:R415))</f>
        <v>8</v>
      </c>
      <c r="S417" s="28">
        <f>IF(SUMIF($A$4:$A415,$A417,S$4:S415)=0,"",SUMIF($A$4:$A415,$A417,S$4:S415))</f>
        <v>8</v>
      </c>
      <c r="T417" s="28">
        <f>IF(SUMIF($A$4:$A415,$A417,T$4:T415)=0,"",SUMIF($A$4:$A415,$A417,T$4:T415))</f>
        <v>6</v>
      </c>
      <c r="U417" s="28">
        <f>IF(SUMIF($A$4:$A415,$A417,U$4:U415)=0,"",SUMIF($A$4:$A415,$A417,U$4:U415))</f>
        <v>8</v>
      </c>
      <c r="V417" s="28">
        <f>IF(SUMIF($A$4:$A415,$A417,V$4:V415)=0,"",SUMIF($A$4:$A415,$A417,V$4:V415))</f>
        <v>7</v>
      </c>
      <c r="W417" s="28">
        <f>IF(SUMIF($A$4:$A415,$A417,W$4:W415)=0,"",SUMIF($A$4:$A415,$A417,W$4:W415))</f>
        <v>8</v>
      </c>
      <c r="X417" s="28">
        <f>IF(SUMIF($A$4:$A415,$A417,X$4:X415)=0,"",SUMIF($A$4:$A415,$A417,X$4:X415))</f>
        <v>8</v>
      </c>
      <c r="Y417" s="28">
        <f>IF(SUMIF($A$4:$A415,$A417,Y$4:Y415)=0,"",SUMIF($A$4:$A415,$A417,Y$4:Y415))</f>
        <v>7</v>
      </c>
      <c r="Z417" s="28">
        <f>IF(SUMIF($A$4:$A415,$A417,Z$4:Z415)=0,"",SUMIF($A$4:$A415,$A417,Z$4:Z415))</f>
        <v>8</v>
      </c>
      <c r="AA417" s="28">
        <f>IF(SUMIF($A$4:$A415,$A417,AA$4:AA415)=0,"",SUMIF($A$4:$A415,$A417,AA$4:AA415))</f>
        <v>8</v>
      </c>
      <c r="AB417" s="28">
        <f>IF(SUMIF($A$4:$A415,$A417,AB$4:AB415)=0,"",SUMIF($A$4:$A415,$A417,AB$4:AB415))</f>
        <v>8</v>
      </c>
      <c r="AC417" s="28">
        <f>IF(SUMIF($A$4:$A415,$A417,AC$4:AC415)=0,"",SUMIF($A$4:$A415,$A417,AC$4:AC415))</f>
        <v>7</v>
      </c>
      <c r="AD417" s="34"/>
      <c r="AE417" s="28">
        <f>IF(SUMIF($A$4:$A415,$A417,AE$4:AE415)=0,"",SUMIF($A$4:$A415,$A417,AE$4:AE415))</f>
        <v>8</v>
      </c>
      <c r="AF417" s="28">
        <f>IF(SUMIF($A$4:$A415,$A417,AF$4:AF415)=0,"",SUMIF($A$4:$A415,$A417,AF$4:AF415))</f>
        <v>8</v>
      </c>
      <c r="AG417" s="34" t="str">
        <f>IF(SUMIF($A$4:$A415,$A417,AG$4:AG415)=0,"",SUMIF($A$4:$A415,$A417,AG$4:AG415))</f>
        <v/>
      </c>
      <c r="AH417" s="34" t="str">
        <f>IF(SUMIF($A$4:$A415,$A417,AH$4:AH415)=0,"",SUMIF($A$4:$A415,$A417,AH$4:AH415))</f>
        <v/>
      </c>
      <c r="AI417" s="28" t="str">
        <f>IF(SUMIF($A$4:$A415,$A417,AI$4:AI415)=0,"",SUMIF($A$4:$A415,$A417,AI$4:AI415))</f>
        <v/>
      </c>
      <c r="AJ417" s="28" t="str">
        <f>IF(SUMIF($A$4:$A415,$A417,AJ$4:AJ415)=0,"",SUMIF($A$4:$A415,$A417,AJ$4:AJ415))</f>
        <v/>
      </c>
      <c r="AK417" s="28" t="str">
        <f>IF(SUMIF($A$4:$A415,$A417,AK$4:AK415)=0,"",SUMIF($A$4:$A415,$A417,AK$4:AK415))</f>
        <v/>
      </c>
      <c r="AL417" s="28" t="str">
        <f>IF(SUMIF($A$4:$A415,$A417,AL$4:AL415)=0,"",SUMIF($A$4:$A415,$A417,AL$4:AL415))</f>
        <v/>
      </c>
      <c r="AM417" s="28" t="str">
        <f>IF(SUMIF($A$4:$A415,$A417,AM$4:AM415)=0,"",SUMIF($A$4:$A415,$A417,AM$4:AM415))</f>
        <v/>
      </c>
      <c r="AN417" s="28" t="str">
        <f>IF(SUMIF($A$4:$A415,$A417,AN$4:AN415)=0,"",SUMIF($A$4:$A415,$A417,AN$4:AN415))</f>
        <v/>
      </c>
      <c r="AO417" s="28" t="str">
        <f>IF(SUMIF($A$4:$A415,$A417,AO$4:AO415)=0,"",SUMIF($A$4:$A415,$A417,AO$4:AO415))</f>
        <v/>
      </c>
      <c r="AP417" s="28" t="str">
        <f>IF(SUMIF($A$4:$A415,$A417,AP$4:AP415)=0,"",SUMIF($A$4:$A415,$A417,AP$4:AP415))</f>
        <v/>
      </c>
      <c r="AQ417" s="28" t="str">
        <f>IF(SUMIF($A$4:$A415,$A417,AQ$4:AQ415)=0,"",SUMIF($A$4:$A415,$A417,AQ$4:AQ415))</f>
        <v/>
      </c>
      <c r="AR417" s="28" t="str">
        <f>IF(SUMIF($A$4:$A415,$A417,AR$4:AR415)=0,"",SUMIF($A$4:$A415,$A417,AR$4:AR415))</f>
        <v/>
      </c>
      <c r="AS417" s="28" t="str">
        <f>IF(SUMIF($A$4:$A415,$A417,AS$4:AS415)=0,"",SUMIF($A$4:$A415,$A417,AS$4:AS415))</f>
        <v/>
      </c>
      <c r="AT417" s="28" t="str">
        <f>IF(SUMIF($A$4:$A415,$A417,AT$4:AT415)=0,"",SUMIF($A$4:$A415,$A417,AT$4:AT415))</f>
        <v/>
      </c>
      <c r="AU417" s="480"/>
      <c r="AV417" s="480"/>
    </row>
    <row r="418" spans="1:48">
      <c r="A418" s="26" t="s">
        <v>3</v>
      </c>
      <c r="B418" s="28"/>
      <c r="C418" s="28"/>
      <c r="D418" s="28"/>
      <c r="E418" s="28"/>
      <c r="F418" s="28"/>
      <c r="G418" s="28"/>
      <c r="H418" s="28">
        <f>IF(SUMIF($A$4:$A416,$A418,H$4:H416)=0,"",SUMIF($A$4:$A416,$A418,H$4:H416))</f>
        <v>4</v>
      </c>
      <c r="I418" s="34"/>
      <c r="J418" s="28">
        <f>IF(SUMIF($A$4:$A416,$A418,J$4:J416)=0,"",SUMIF($A$4:$A416,$A418,J$4:J416))</f>
        <v>2</v>
      </c>
      <c r="K418" s="28">
        <f>IF(SUMIF($A$4:$A416,$A418,K$4:K416)=0,"",SUMIF($A$4:$A416,$A418,K$4:K416))</f>
        <v>2</v>
      </c>
      <c r="L418" s="28">
        <f>IF(SUMIF($A$4:$A416,$A418,L$4:L416)=0,"",SUMIF($A$4:$A416,$A418,L$4:L416))</f>
        <v>1</v>
      </c>
      <c r="M418" s="28">
        <f>IF(SUMIF($A$4:$A416,$A418,M$4:M416)=0,"",SUMIF($A$4:$A416,$A418,M$4:M416))</f>
        <v>3</v>
      </c>
      <c r="N418" s="28">
        <f>IF(SUMIF($A$4:$A416,$A418,N$4:N416)=0,"",SUMIF($A$4:$A416,$A418,N$4:N416))</f>
        <v>2</v>
      </c>
      <c r="O418" s="28">
        <f>IF(SUMIF($A$4:$A416,$A418,O$4:O416)=0,"",SUMIF($A$4:$A416,$A418,O$4:O416))</f>
        <v>1</v>
      </c>
      <c r="P418" s="34"/>
      <c r="Q418" s="28">
        <f>IF(SUMIF($A$4:$A416,$A418,Q$4:Q416)=0,"",SUMIF($A$4:$A416,$A418,Q$4:Q416))</f>
        <v>5</v>
      </c>
      <c r="R418" s="28" t="str">
        <f>IF(SUMIF($A$4:$A416,$A418,R$4:R416)=0,"",SUMIF($A$4:$A416,$A418,R$4:R416))</f>
        <v/>
      </c>
      <c r="S418" s="28">
        <f>IF(SUMIF($A$4:$A416,$A418,S$4:S416)=0,"",SUMIF($A$4:$A416,$A418,S$4:S416))</f>
        <v>2</v>
      </c>
      <c r="T418" s="28">
        <f>IF(SUMIF($A$4:$A416,$A418,T$4:T416)=0,"",SUMIF($A$4:$A416,$A418,T$4:T416))</f>
        <v>3</v>
      </c>
      <c r="U418" s="28">
        <f>IF(SUMIF($A$4:$A416,$A418,U$4:U416)=0,"",SUMIF($A$4:$A416,$A418,U$4:U416))</f>
        <v>2</v>
      </c>
      <c r="V418" s="28">
        <f>IF(SUMIF($A$4:$A416,$A418,V$4:V416)=0,"",SUMIF($A$4:$A416,$A418,V$4:V416))</f>
        <v>2</v>
      </c>
      <c r="W418" s="28">
        <f>IF(SUMIF($A$4:$A416,$A418,W$4:W416)=0,"",SUMIF($A$4:$A416,$A418,W$4:W416))</f>
        <v>4</v>
      </c>
      <c r="X418" s="28">
        <f>IF(SUMIF($A$4:$A416,$A418,X$4:X416)=0,"",SUMIF($A$4:$A416,$A418,X$4:X416))</f>
        <v>3</v>
      </c>
      <c r="Y418" s="28">
        <f>IF(SUMIF($A$4:$A416,$A418,Y$4:Y416)=0,"",SUMIF($A$4:$A416,$A418,Y$4:Y416))</f>
        <v>4</v>
      </c>
      <c r="Z418" s="28">
        <f>IF(SUMIF($A$4:$A416,$A418,Z$4:Z416)=0,"",SUMIF($A$4:$A416,$A418,Z$4:Z416))</f>
        <v>2</v>
      </c>
      <c r="AA418" s="28">
        <f>IF(SUMIF($A$4:$A416,$A418,AA$4:AA416)=0,"",SUMIF($A$4:$A416,$A418,AA$4:AA416))</f>
        <v>2</v>
      </c>
      <c r="AB418" s="28">
        <f>IF(SUMIF($A$4:$A416,$A418,AB$4:AB416)=0,"",SUMIF($A$4:$A416,$A418,AB$4:AB416))</f>
        <v>2</v>
      </c>
      <c r="AC418" s="28">
        <f>IF(SUMIF($A$4:$A416,$A418,AC$4:AC416)=0,"",SUMIF($A$4:$A416,$A418,AC$4:AC416))</f>
        <v>3</v>
      </c>
      <c r="AD418" s="34"/>
      <c r="AE418" s="28">
        <f>IF(SUMIF($A$4:$A416,$A418,AE$4:AE416)=0,"",SUMIF($A$4:$A416,$A418,AE$4:AE416))</f>
        <v>3</v>
      </c>
      <c r="AF418" s="28">
        <f>IF(SUMIF($A$4:$A416,$A418,AF$4:AF416)=0,"",SUMIF($A$4:$A416,$A418,AF$4:AF416))</f>
        <v>2</v>
      </c>
      <c r="AG418" s="34" t="str">
        <f>IF(SUMIF($A$4:$A416,$A418,AG$4:AG416)=0,"",SUMIF($A$4:$A416,$A418,AG$4:AG416))</f>
        <v/>
      </c>
      <c r="AH418" s="34" t="str">
        <f>IF(SUMIF($A$4:$A416,$A418,AH$4:AH416)=0,"",SUMIF($A$4:$A416,$A418,AH$4:AH416))</f>
        <v/>
      </c>
      <c r="AI418" s="28" t="str">
        <f>IF(SUMIF($A$4:$A416,$A418,AI$4:AI416)=0,"",SUMIF($A$4:$A416,$A418,AI$4:AI416))</f>
        <v/>
      </c>
      <c r="AJ418" s="28" t="str">
        <f>IF(SUMIF($A$4:$A416,$A418,AJ$4:AJ416)=0,"",SUMIF($A$4:$A416,$A418,AJ$4:AJ416))</f>
        <v/>
      </c>
      <c r="AK418" s="28" t="str">
        <f>IF(SUMIF($A$4:$A416,$A418,AK$4:AK416)=0,"",SUMIF($A$4:$A416,$A418,AK$4:AK416))</f>
        <v/>
      </c>
      <c r="AL418" s="28" t="str">
        <f>IF(SUMIF($A$4:$A416,$A418,AL$4:AL416)=0,"",SUMIF($A$4:$A416,$A418,AL$4:AL416))</f>
        <v/>
      </c>
      <c r="AM418" s="28" t="str">
        <f>IF(SUMIF($A$4:$A416,$A418,AM$4:AM416)=0,"",SUMIF($A$4:$A416,$A418,AM$4:AM416))</f>
        <v/>
      </c>
      <c r="AN418" s="28" t="str">
        <f>IF(SUMIF($A$4:$A416,$A418,AN$4:AN416)=0,"",SUMIF($A$4:$A416,$A418,AN$4:AN416))</f>
        <v/>
      </c>
      <c r="AO418" s="28" t="str">
        <f>IF(SUMIF($A$4:$A416,$A418,AO$4:AO416)=0,"",SUMIF($A$4:$A416,$A418,AO$4:AO416))</f>
        <v/>
      </c>
      <c r="AP418" s="28" t="str">
        <f>IF(SUMIF($A$4:$A416,$A418,AP$4:AP416)=0,"",SUMIF($A$4:$A416,$A418,AP$4:AP416))</f>
        <v/>
      </c>
      <c r="AQ418" s="28" t="str">
        <f>IF(SUMIF($A$4:$A416,$A418,AQ$4:AQ416)=0,"",SUMIF($A$4:$A416,$A418,AQ$4:AQ416))</f>
        <v/>
      </c>
      <c r="AR418" s="28" t="str">
        <f>IF(SUMIF($A$4:$A416,$A418,AR$4:AR416)=0,"",SUMIF($A$4:$A416,$A418,AR$4:AR416))</f>
        <v/>
      </c>
      <c r="AS418" s="28" t="str">
        <f>IF(SUMIF($A$4:$A416,$A418,AS$4:AS416)=0,"",SUMIF($A$4:$A416,$A418,AS$4:AS416))</f>
        <v/>
      </c>
      <c r="AT418" s="28" t="str">
        <f>IF(SUMIF($A$4:$A416,$A418,AT$4:AT416)=0,"",SUMIF($A$4:$A416,$A418,AT$4:AT416))</f>
        <v/>
      </c>
      <c r="AU418" s="480"/>
      <c r="AV418" s="480"/>
    </row>
    <row r="419" spans="1:48" ht="14.95" thickBot="1">
      <c r="A419" s="27" t="s">
        <v>4</v>
      </c>
      <c r="B419" s="36"/>
      <c r="C419" s="36"/>
      <c r="D419" s="36"/>
      <c r="E419" s="36"/>
      <c r="F419" s="36"/>
      <c r="G419" s="36"/>
      <c r="H419" s="36">
        <f>IF(SUMIF($A$4:$A417,$A419,H$4:H417)=0,"",SUMIF($A$4:$A417,$A419,H$4:H417))</f>
        <v>26</v>
      </c>
      <c r="I419" s="37"/>
      <c r="J419" s="36">
        <f>IF(SUMIF($A$4:$A417,$A419,J$4:J417)=0,"",SUMIF($A$4:$A417,$A419,J$4:J417))</f>
        <v>17</v>
      </c>
      <c r="K419" s="36">
        <f>IF(SUMIF($A$4:$A417,$A419,K$4:K417)=0,"",SUMIF($A$4:$A417,$A419,K$4:K417))</f>
        <v>15</v>
      </c>
      <c r="L419" s="36">
        <f>IF(SUMIF($A$4:$A417,$A419,L$4:L417)=0,"",SUMIF($A$4:$A417,$A419,L$4:L417))</f>
        <v>5</v>
      </c>
      <c r="M419" s="36">
        <f>IF(SUMIF($A$4:$A417,$A419,M$4:M417)=0,"",SUMIF($A$4:$A417,$A419,M$4:M417))</f>
        <v>19</v>
      </c>
      <c r="N419" s="36">
        <f>IF(SUMIF($A$4:$A417,$A419,N$4:N417)=0,"",SUMIF($A$4:$A417,$A419,N$4:N417))</f>
        <v>14</v>
      </c>
      <c r="O419" s="36">
        <f>IF(SUMIF($A$4:$A417,$A419,O$4:O417)=0,"",SUMIF($A$4:$A417,$A419,O$4:O417))</f>
        <v>8</v>
      </c>
      <c r="P419" s="37"/>
      <c r="Q419" s="36">
        <f>IF(SUMIF($A$4:$A417,$A419,Q$4:Q417)=0,"",SUMIF($A$4:$A417,$A419,Q$4:Q417))</f>
        <v>31</v>
      </c>
      <c r="R419" s="36" t="str">
        <f>IF(SUMIF($A$4:$A417,$A419,R$4:R417)=0,"",SUMIF($A$4:$A417,$A419,R$4:R417))</f>
        <v/>
      </c>
      <c r="S419" s="36">
        <f>IF(SUMIF($A$4:$A417,$A419,S$4:S417)=0,"",SUMIF($A$4:$A417,$A419,S$4:S417))</f>
        <v>17</v>
      </c>
      <c r="T419" s="36">
        <f>IF(SUMIF($A$4:$A417,$A419,T$4:T417)=0,"",SUMIF($A$4:$A417,$A419,T$4:T417))</f>
        <v>23</v>
      </c>
      <c r="U419" s="36">
        <f>IF(SUMIF($A$4:$A417,$A419,U$4:U417)=0,"",SUMIF($A$4:$A417,$A419,U$4:U417))</f>
        <v>14</v>
      </c>
      <c r="V419" s="36">
        <f>IF(SUMIF($A$4:$A417,$A419,V$4:V417)=0,"",SUMIF($A$4:$A417,$A419,V$4:V417))</f>
        <v>14</v>
      </c>
      <c r="W419" s="36">
        <f>IF(SUMIF($A$4:$A417,$A419,W$4:W417)=0,"",SUMIF($A$4:$A417,$A419,W$4:W417))</f>
        <v>27</v>
      </c>
      <c r="X419" s="36">
        <f>IF(SUMIF($A$4:$A417,$A419,X$4:X417)=0,"",SUMIF($A$4:$A417,$A419,X$4:X417))</f>
        <v>25</v>
      </c>
      <c r="Y419" s="36">
        <f>IF(SUMIF($A$4:$A417,$A419,Y$4:Y417)=0,"",SUMIF($A$4:$A417,$A419,Y$4:Y417))</f>
        <v>26</v>
      </c>
      <c r="Z419" s="36">
        <f>IF(SUMIF($A$4:$A417,$A419,Z$4:Z417)=0,"",SUMIF($A$4:$A417,$A419,Z$4:Z417))</f>
        <v>12</v>
      </c>
      <c r="AA419" s="36">
        <f>IF(SUMIF($A$4:$A417,$A419,AA$4:AA417)=0,"",SUMIF($A$4:$A417,$A419,AA$4:AA417))</f>
        <v>14</v>
      </c>
      <c r="AB419" s="36">
        <f>IF(SUMIF($A$4:$A417,$A419,AB$4:AB417)=0,"",SUMIF($A$4:$A417,$A419,AB$4:AB417))</f>
        <v>12</v>
      </c>
      <c r="AC419" s="36">
        <f>IF(SUMIF($A$4:$A417,$A419,AC$4:AC417)=0,"",SUMIF($A$4:$A417,$A419,AC$4:AC417))</f>
        <v>19</v>
      </c>
      <c r="AD419" s="37"/>
      <c r="AE419" s="36">
        <f>IF(SUMIF($A$4:$A417,$A419,AE$4:AE417)=0,"",SUMIF($A$4:$A417,$A419,AE$4:AE417))</f>
        <v>21</v>
      </c>
      <c r="AF419" s="36">
        <f>IF(SUMIF($A$4:$A417,$A419,AF$4:AF417)=0,"",SUMIF($A$4:$A417,$A419,AF$4:AF417))</f>
        <v>14</v>
      </c>
      <c r="AG419" s="37" t="str">
        <f>IF(SUMIF($A$4:$A417,$A419,AG$4:AG417)=0,"",SUMIF($A$4:$A417,$A419,AG$4:AG417))</f>
        <v/>
      </c>
      <c r="AH419" s="37" t="str">
        <f>IF(SUMIF($A$4:$A417,$A419,AH$4:AH417)=0,"",SUMIF($A$4:$A417,$A419,AH$4:AH417))</f>
        <v/>
      </c>
      <c r="AI419" s="36" t="str">
        <f>IF(SUMIF($A$4:$A417,$A419,AI$4:AI417)=0,"",SUMIF($A$4:$A417,$A419,AI$4:AI417))</f>
        <v/>
      </c>
      <c r="AJ419" s="36" t="str">
        <f>IF(SUMIF($A$4:$A417,$A419,AJ$4:AJ417)=0,"",SUMIF($A$4:$A417,$A419,AJ$4:AJ417))</f>
        <v/>
      </c>
      <c r="AK419" s="36" t="str">
        <f>IF(SUMIF($A$4:$A417,$A419,AK$4:AK417)=0,"",SUMIF($A$4:$A417,$A419,AK$4:AK417))</f>
        <v/>
      </c>
      <c r="AL419" s="36" t="str">
        <f>IF(SUMIF($A$4:$A417,$A419,AL$4:AL417)=0,"",SUMIF($A$4:$A417,$A419,AL$4:AL417))</f>
        <v/>
      </c>
      <c r="AM419" s="36" t="str">
        <f>IF(SUMIF($A$4:$A417,$A419,AM$4:AM417)=0,"",SUMIF($A$4:$A417,$A419,AM$4:AM417))</f>
        <v/>
      </c>
      <c r="AN419" s="36" t="str">
        <f>IF(SUMIF($A$4:$A417,$A419,AN$4:AN417)=0,"",SUMIF($A$4:$A417,$A419,AN$4:AN417))</f>
        <v/>
      </c>
      <c r="AO419" s="36" t="str">
        <f>IF(SUMIF($A$4:$A417,$A419,AO$4:AO417)=0,"",SUMIF($A$4:$A417,$A419,AO$4:AO417))</f>
        <v/>
      </c>
      <c r="AP419" s="36" t="str">
        <f>IF(SUMIF($A$4:$A417,$A419,AP$4:AP417)=0,"",SUMIF($A$4:$A417,$A419,AP$4:AP417))</f>
        <v/>
      </c>
      <c r="AQ419" s="36" t="str">
        <f>IF(SUMIF($A$4:$A417,$A419,AQ$4:AQ417)=0,"",SUMIF($A$4:$A417,$A419,AQ$4:AQ417))</f>
        <v/>
      </c>
      <c r="AR419" s="36" t="str">
        <f>IF(SUMIF($A$4:$A417,$A419,AR$4:AR417)=0,"",SUMIF($A$4:$A417,$A419,AR$4:AR417))</f>
        <v/>
      </c>
      <c r="AS419" s="36" t="str">
        <f>IF(SUMIF($A$4:$A417,$A419,AS$4:AS417)=0,"",SUMIF($A$4:$A417,$A419,AS$4:AS417))</f>
        <v/>
      </c>
      <c r="AT419" s="36" t="str">
        <f>IF(SUMIF($A$4:$A417,$A419,AT$4:AT417)=0,"",SUMIF($A$4:$A417,$A419,AT$4:AT417))</f>
        <v/>
      </c>
      <c r="AU419" s="480"/>
      <c r="AV419" s="480"/>
    </row>
    <row r="420" spans="1:48">
      <c r="A420" s="467" t="s">
        <v>7</v>
      </c>
      <c r="H420" s="15"/>
      <c r="L420" s="39"/>
      <c r="R420" s="15" t="s">
        <v>470</v>
      </c>
      <c r="S420" s="15" t="s">
        <v>0</v>
      </c>
      <c r="V420" s="15"/>
    </row>
    <row r="422" spans="1:48">
      <c r="D422" s="2"/>
      <c r="E422" s="2"/>
      <c r="F422" s="2"/>
    </row>
    <row r="423" spans="1:48">
      <c r="D423" s="2"/>
      <c r="E423" s="2"/>
      <c r="F423" s="2"/>
    </row>
    <row r="429" spans="1:48">
      <c r="A429" s="2"/>
    </row>
    <row r="430" spans="1:48">
      <c r="A430" s="2"/>
    </row>
    <row r="431" spans="1:48">
      <c r="A431" s="2"/>
    </row>
    <row r="432" spans="1:48">
      <c r="A432" s="2"/>
    </row>
    <row r="433" spans="1:1">
      <c r="A433" s="2"/>
    </row>
    <row r="434" spans="1:1">
      <c r="A434" s="2"/>
    </row>
  </sheetData>
  <mergeCells count="11">
    <mergeCell ref="F408:G408"/>
    <mergeCell ref="A1:A3"/>
    <mergeCell ref="B1:G1"/>
    <mergeCell ref="B2:C2"/>
    <mergeCell ref="D2:E2"/>
    <mergeCell ref="F2:G2"/>
    <mergeCell ref="B401:C401"/>
    <mergeCell ref="D401:E401"/>
    <mergeCell ref="F401:G401"/>
    <mergeCell ref="B408:C408"/>
    <mergeCell ref="D408:E408"/>
  </mergeCells>
  <pageMargins left="0.7" right="0.7" top="0.75" bottom="0.75" header="0.3" footer="0.3"/>
  <pageSetup paperSize="9" orientation="portrait" r:id="rId1"/>
  <ignoredErrors>
    <ignoredError sqref="B319 B206 B98 B293 B258 C108 B34 B325 B358 B388 B380 B27:C27 B7 B14 B41 B48 B61 B80 B86 B92 B115 B121 B138:C141 B153 B169:C169 B175 B232 B365 B373 B395 C132 B246:C246 B352:C352 B252:C25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V466"/>
  <sheetViews>
    <sheetView workbookViewId="0">
      <pane xSplit="7" ySplit="3" topLeftCell="AA4" activePane="bottomRight" state="frozen"/>
      <selection pane="topRight" activeCell="H1" sqref="H1"/>
      <selection pane="bottomLeft" activeCell="A4" sqref="A4"/>
      <selection pane="bottomRight" activeCell="AG12" sqref="AG12"/>
    </sheetView>
  </sheetViews>
  <sheetFormatPr defaultColWidth="8.875" defaultRowHeight="14.3"/>
  <cols>
    <col min="1" max="1" width="46.125" bestFit="1" customWidth="1"/>
    <col min="2" max="7" width="5.625" customWidth="1"/>
    <col min="8" max="40" width="9.875" customWidth="1"/>
  </cols>
  <sheetData>
    <row r="1" spans="1:48" ht="17" thickBot="1">
      <c r="A1" s="922" t="s">
        <v>515</v>
      </c>
      <c r="B1" s="925" t="s">
        <v>347</v>
      </c>
      <c r="C1" s="926"/>
      <c r="D1" s="926"/>
      <c r="E1" s="926"/>
      <c r="F1" s="926"/>
      <c r="G1" s="927"/>
      <c r="H1" s="22" t="s">
        <v>9</v>
      </c>
      <c r="I1" s="22" t="s">
        <v>529</v>
      </c>
      <c r="J1" s="22" t="s">
        <v>562</v>
      </c>
      <c r="K1" s="22" t="s">
        <v>563</v>
      </c>
      <c r="L1" s="22" t="s">
        <v>564</v>
      </c>
      <c r="M1" s="22" t="s">
        <v>565</v>
      </c>
      <c r="N1" s="22" t="s">
        <v>566</v>
      </c>
      <c r="O1" s="22" t="s">
        <v>435</v>
      </c>
      <c r="P1" s="22" t="s">
        <v>9</v>
      </c>
      <c r="Q1" s="22" t="s">
        <v>436</v>
      </c>
      <c r="R1" s="22" t="s">
        <v>834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542</v>
      </c>
      <c r="AC1" s="22" t="s">
        <v>9</v>
      </c>
      <c r="AD1" s="22" t="s">
        <v>543</v>
      </c>
      <c r="AE1" s="22" t="s">
        <v>544</v>
      </c>
      <c r="AF1" s="22" t="s">
        <v>545</v>
      </c>
      <c r="AG1" s="22" t="s">
        <v>304</v>
      </c>
      <c r="AH1" s="22" t="s">
        <v>9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923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56">
        <v>41518</v>
      </c>
      <c r="I2" s="42">
        <v>43709</v>
      </c>
      <c r="J2" s="4">
        <v>46997</v>
      </c>
      <c r="K2" s="4">
        <v>38626</v>
      </c>
      <c r="L2" s="5">
        <v>40817</v>
      </c>
      <c r="M2" s="5">
        <v>43009</v>
      </c>
      <c r="N2" s="5">
        <v>45566</v>
      </c>
      <c r="O2" s="42">
        <v>37196</v>
      </c>
      <c r="P2" s="56">
        <v>39753</v>
      </c>
      <c r="Q2" s="41">
        <v>42309</v>
      </c>
      <c r="R2" s="41">
        <v>44501</v>
      </c>
      <c r="S2" s="4">
        <v>47423</v>
      </c>
      <c r="T2" s="38">
        <v>39417</v>
      </c>
      <c r="U2" s="38">
        <v>41974</v>
      </c>
      <c r="V2" s="4">
        <v>44166</v>
      </c>
      <c r="W2" s="4">
        <v>10197</v>
      </c>
      <c r="X2" s="5">
        <v>37622</v>
      </c>
      <c r="Y2" s="38">
        <v>40544</v>
      </c>
      <c r="Z2" s="38">
        <v>43101</v>
      </c>
      <c r="AA2" s="4">
        <v>45292</v>
      </c>
      <c r="AB2" s="41">
        <v>47849</v>
      </c>
      <c r="AC2" s="56">
        <v>39114</v>
      </c>
      <c r="AD2" s="41">
        <v>41306</v>
      </c>
      <c r="AE2" s="41">
        <v>43862</v>
      </c>
      <c r="AF2" s="41">
        <v>46784</v>
      </c>
      <c r="AG2" s="41">
        <v>39508</v>
      </c>
      <c r="AH2" s="56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924"/>
      <c r="B3" s="69" t="s">
        <v>359</v>
      </c>
      <c r="C3" s="64" t="s">
        <v>349</v>
      </c>
      <c r="D3" s="69" t="s">
        <v>359</v>
      </c>
      <c r="E3" s="61" t="s">
        <v>349</v>
      </c>
      <c r="F3" s="69" t="s">
        <v>359</v>
      </c>
      <c r="G3" s="70" t="s">
        <v>349</v>
      </c>
      <c r="H3" s="532"/>
      <c r="I3" s="6" t="s">
        <v>396</v>
      </c>
      <c r="J3" s="551" t="s">
        <v>397</v>
      </c>
      <c r="K3" s="545" t="s">
        <v>390</v>
      </c>
      <c r="L3" s="24" t="s">
        <v>652</v>
      </c>
      <c r="M3" s="8" t="s">
        <v>593</v>
      </c>
      <c r="N3" s="24" t="s">
        <v>388</v>
      </c>
      <c r="O3" s="24" t="s">
        <v>391</v>
      </c>
      <c r="P3" s="7"/>
      <c r="Q3" s="21" t="s">
        <v>728</v>
      </c>
      <c r="R3" s="10" t="s">
        <v>403</v>
      </c>
      <c r="S3" s="10" t="s">
        <v>700</v>
      </c>
      <c r="T3" s="11" t="s">
        <v>859</v>
      </c>
      <c r="U3" s="286" t="s">
        <v>884</v>
      </c>
      <c r="V3" s="9" t="s">
        <v>706</v>
      </c>
      <c r="W3" s="11" t="s">
        <v>376</v>
      </c>
      <c r="X3" s="9" t="s">
        <v>391</v>
      </c>
      <c r="Y3" s="10" t="s">
        <v>940</v>
      </c>
      <c r="Z3" s="9" t="s">
        <v>957</v>
      </c>
      <c r="AA3" s="11" t="s">
        <v>392</v>
      </c>
      <c r="AB3" s="9" t="s">
        <v>652</v>
      </c>
      <c r="AC3" s="9"/>
      <c r="AD3" s="11" t="s">
        <v>395</v>
      </c>
      <c r="AE3" s="11" t="s">
        <v>593</v>
      </c>
      <c r="AF3" s="9" t="s">
        <v>388</v>
      </c>
      <c r="AG3" s="10" t="s">
        <v>722</v>
      </c>
      <c r="AH3" s="934"/>
      <c r="AI3" s="6"/>
      <c r="AJ3" s="11"/>
      <c r="AK3" s="55"/>
      <c r="AL3" s="54"/>
      <c r="AM3" s="7"/>
      <c r="AN3" s="11"/>
      <c r="AO3" s="55"/>
      <c r="AP3" s="9"/>
      <c r="AQ3" s="9"/>
      <c r="AR3" s="465"/>
      <c r="AS3" s="11"/>
      <c r="AT3" s="9"/>
      <c r="AU3" s="785"/>
      <c r="AV3" s="465"/>
    </row>
    <row r="4" spans="1:48" ht="21.1">
      <c r="A4" s="82" t="s">
        <v>89</v>
      </c>
      <c r="B4" s="247"/>
      <c r="C4" s="214"/>
      <c r="D4" s="133"/>
      <c r="E4" s="134"/>
      <c r="F4" s="135"/>
      <c r="G4" s="136"/>
      <c r="H4" s="107"/>
      <c r="I4" s="96" t="s">
        <v>339</v>
      </c>
      <c r="J4" s="75" t="s">
        <v>339</v>
      </c>
      <c r="K4" s="75" t="s">
        <v>339</v>
      </c>
      <c r="L4" s="75" t="s">
        <v>339</v>
      </c>
      <c r="M4" s="75" t="s">
        <v>339</v>
      </c>
      <c r="N4" s="104" t="s">
        <v>339</v>
      </c>
      <c r="O4" s="109" t="s">
        <v>339</v>
      </c>
      <c r="P4" s="108"/>
      <c r="Q4" s="109" t="s">
        <v>379</v>
      </c>
      <c r="R4" s="109" t="s">
        <v>822</v>
      </c>
      <c r="S4" s="100" t="s">
        <v>842</v>
      </c>
      <c r="T4" s="110" t="s">
        <v>842</v>
      </c>
      <c r="U4" s="110" t="s">
        <v>842</v>
      </c>
      <c r="V4" s="100" t="s">
        <v>842</v>
      </c>
      <c r="W4" s="100" t="s">
        <v>339</v>
      </c>
      <c r="X4" s="100" t="s">
        <v>339</v>
      </c>
      <c r="Y4" s="110" t="s">
        <v>339</v>
      </c>
      <c r="Z4" s="110" t="s">
        <v>339</v>
      </c>
      <c r="AA4" s="100" t="s">
        <v>375</v>
      </c>
      <c r="AB4" s="99" t="s">
        <v>775</v>
      </c>
      <c r="AC4" s="98"/>
      <c r="AD4" s="99" t="s">
        <v>339</v>
      </c>
      <c r="AE4" s="99" t="s">
        <v>339</v>
      </c>
      <c r="AF4" s="99" t="s">
        <v>379</v>
      </c>
      <c r="AG4" s="99"/>
      <c r="AH4" s="98"/>
      <c r="AI4" s="102"/>
      <c r="AJ4" s="101"/>
      <c r="AK4" s="101"/>
      <c r="AL4" s="102"/>
      <c r="AM4" s="102"/>
      <c r="AN4" s="101"/>
      <c r="AO4" s="102"/>
      <c r="AP4" s="102"/>
      <c r="AQ4" s="101"/>
      <c r="AR4" s="102"/>
      <c r="AS4" s="103"/>
      <c r="AT4" s="103"/>
    </row>
    <row r="5" spans="1:48" ht="16.3">
      <c r="A5" s="246" t="s">
        <v>1</v>
      </c>
      <c r="B5" s="248">
        <f>SUM(J5+K5+L5+M5+N5+S5+V5+W5+X5+AA5+AI5+AJ5+AI5+AM5+AP5+AQ5+AS5+AT5+AU5+AV5+AN5)+89</f>
        <v>91</v>
      </c>
      <c r="C5" s="215">
        <f>B5</f>
        <v>91</v>
      </c>
      <c r="D5" s="139"/>
      <c r="E5" s="140"/>
      <c r="F5" s="135"/>
      <c r="G5" s="136"/>
      <c r="H5" s="107"/>
      <c r="I5" s="96"/>
      <c r="J5" s="75"/>
      <c r="K5" s="75"/>
      <c r="L5" s="75"/>
      <c r="M5" s="75"/>
      <c r="N5" s="75"/>
      <c r="O5" s="96"/>
      <c r="P5" s="105"/>
      <c r="Q5" s="96">
        <v>1</v>
      </c>
      <c r="R5" s="96">
        <v>1</v>
      </c>
      <c r="S5" s="75">
        <v>1</v>
      </c>
      <c r="T5" s="106">
        <v>1</v>
      </c>
      <c r="U5" s="106">
        <v>1</v>
      </c>
      <c r="V5" s="75">
        <v>1</v>
      </c>
      <c r="W5" s="75"/>
      <c r="X5" s="75"/>
      <c r="Y5" s="106"/>
      <c r="Z5" s="106"/>
      <c r="AA5" s="75"/>
      <c r="AB5" s="96"/>
      <c r="AC5" s="105"/>
      <c r="AD5" s="96"/>
      <c r="AE5" s="96"/>
      <c r="AF5" s="96">
        <v>1</v>
      </c>
      <c r="AG5" s="96"/>
      <c r="AH5" s="105"/>
      <c r="AI5" s="75"/>
      <c r="AJ5" s="106"/>
      <c r="AK5" s="106"/>
      <c r="AL5" s="75"/>
      <c r="AM5" s="75"/>
      <c r="AN5" s="106"/>
      <c r="AO5" s="75"/>
      <c r="AP5" s="75"/>
      <c r="AQ5" s="106"/>
      <c r="AR5" s="75"/>
      <c r="AS5" s="107"/>
      <c r="AT5" s="107"/>
    </row>
    <row r="6" spans="1:48" ht="16.3">
      <c r="A6" s="246" t="s">
        <v>2</v>
      </c>
      <c r="B6" s="248">
        <f>SUM(J6+K6+L6+M6+N6+S6+V6+W6+X6+AA6+AI6+AJ6+AI6+AM6+AP6+AQ6+AS6+AT6+AU6+AV6)+3</f>
        <v>4</v>
      </c>
      <c r="C6" s="215">
        <f t="shared" ref="C6:C10" si="0">B6</f>
        <v>4</v>
      </c>
      <c r="D6" s="139"/>
      <c r="E6" s="140"/>
      <c r="F6" s="135"/>
      <c r="G6" s="136"/>
      <c r="H6" s="107"/>
      <c r="I6" s="96"/>
      <c r="J6" s="104"/>
      <c r="K6" s="75"/>
      <c r="L6" s="75"/>
      <c r="M6" s="75"/>
      <c r="N6" s="104"/>
      <c r="O6" s="109"/>
      <c r="P6" s="108"/>
      <c r="Q6" s="109"/>
      <c r="R6" s="109"/>
      <c r="S6" s="100"/>
      <c r="T6" s="110"/>
      <c r="U6" s="110"/>
      <c r="V6" s="100"/>
      <c r="W6" s="100"/>
      <c r="X6" s="100"/>
      <c r="Y6" s="110"/>
      <c r="Z6" s="110"/>
      <c r="AA6" s="100">
        <v>1</v>
      </c>
      <c r="AB6" s="109"/>
      <c r="AC6" s="108"/>
      <c r="AD6" s="109"/>
      <c r="AE6" s="109"/>
      <c r="AF6" s="109"/>
      <c r="AG6" s="109"/>
      <c r="AH6" s="108"/>
      <c r="AI6" s="100"/>
      <c r="AJ6" s="110"/>
      <c r="AK6" s="110"/>
      <c r="AL6" s="100"/>
      <c r="AM6" s="100"/>
      <c r="AN6" s="110"/>
      <c r="AO6" s="100"/>
      <c r="AP6" s="100"/>
      <c r="AQ6" s="110"/>
      <c r="AR6" s="100"/>
      <c r="AS6" s="111"/>
      <c r="AT6" s="111"/>
    </row>
    <row r="7" spans="1:48" ht="16.3">
      <c r="A7" s="83" t="s">
        <v>363</v>
      </c>
      <c r="B7" s="247">
        <f>SUM(B5+B6)</f>
        <v>95</v>
      </c>
      <c r="C7" s="214">
        <f t="shared" si="0"/>
        <v>95</v>
      </c>
      <c r="D7" s="133"/>
      <c r="E7" s="134"/>
      <c r="F7" s="135"/>
      <c r="G7" s="136"/>
      <c r="H7" s="107"/>
      <c r="I7" s="96"/>
      <c r="J7" s="104"/>
      <c r="K7" s="75"/>
      <c r="L7" s="75"/>
      <c r="M7" s="75"/>
      <c r="N7" s="104"/>
      <c r="O7" s="109"/>
      <c r="P7" s="108"/>
      <c r="Q7" s="109"/>
      <c r="R7" s="109"/>
      <c r="S7" s="100"/>
      <c r="T7" s="110"/>
      <c r="U7" s="110"/>
      <c r="V7" s="100"/>
      <c r="W7" s="100"/>
      <c r="X7" s="100"/>
      <c r="Y7" s="110"/>
      <c r="Z7" s="110"/>
      <c r="AA7" s="100"/>
      <c r="AB7" s="109"/>
      <c r="AC7" s="108"/>
      <c r="AD7" s="109"/>
      <c r="AE7" s="109"/>
      <c r="AF7" s="109"/>
      <c r="AG7" s="109"/>
      <c r="AH7" s="108"/>
      <c r="AI7" s="100"/>
      <c r="AJ7" s="110"/>
      <c r="AK7" s="110"/>
      <c r="AL7" s="100"/>
      <c r="AM7" s="100"/>
      <c r="AN7" s="110"/>
      <c r="AO7" s="100"/>
      <c r="AP7" s="100"/>
      <c r="AQ7" s="110"/>
      <c r="AR7" s="100"/>
      <c r="AS7" s="111"/>
      <c r="AT7" s="111"/>
    </row>
    <row r="8" spans="1:48" ht="16.3">
      <c r="A8" s="246" t="s">
        <v>366</v>
      </c>
      <c r="B8" s="248">
        <f>SUM(J8+K8+L8+M8+N8+S8+V8+W8+X8+AA8+AI8+AJ8+AI8+AM8+AP8+AQ8+AS8+AT8+AU8+AV8)+15</f>
        <v>17</v>
      </c>
      <c r="C8" s="215">
        <f t="shared" si="0"/>
        <v>17</v>
      </c>
      <c r="D8" s="139"/>
      <c r="E8" s="140"/>
      <c r="F8" s="135"/>
      <c r="G8" s="136"/>
      <c r="H8" s="107"/>
      <c r="I8" s="96"/>
      <c r="J8" s="104"/>
      <c r="K8" s="75"/>
      <c r="L8" s="75"/>
      <c r="M8" s="75"/>
      <c r="N8" s="104"/>
      <c r="O8" s="109"/>
      <c r="P8" s="108"/>
      <c r="Q8" s="109"/>
      <c r="R8" s="109">
        <v>1</v>
      </c>
      <c r="S8" s="100">
        <v>1</v>
      </c>
      <c r="T8" s="110">
        <v>1</v>
      </c>
      <c r="U8" s="110">
        <v>1</v>
      </c>
      <c r="V8" s="100">
        <v>1</v>
      </c>
      <c r="W8" s="100"/>
      <c r="X8" s="100"/>
      <c r="Y8" s="110"/>
      <c r="Z8" s="110"/>
      <c r="AA8" s="100"/>
      <c r="AB8" s="109"/>
      <c r="AC8" s="108"/>
      <c r="AD8" s="109"/>
      <c r="AE8" s="109"/>
      <c r="AF8" s="109"/>
      <c r="AG8" s="109"/>
      <c r="AH8" s="108"/>
      <c r="AI8" s="100"/>
      <c r="AJ8" s="110"/>
      <c r="AK8" s="110"/>
      <c r="AL8" s="100"/>
      <c r="AM8" s="100"/>
      <c r="AN8" s="110"/>
      <c r="AO8" s="100"/>
      <c r="AP8" s="100"/>
      <c r="AQ8" s="110"/>
      <c r="AR8" s="100"/>
      <c r="AS8" s="111"/>
      <c r="AT8" s="111"/>
    </row>
    <row r="9" spans="1:48" ht="16.3">
      <c r="A9" s="246" t="s">
        <v>362</v>
      </c>
      <c r="B9" s="248">
        <f>SUM(J9+K9+L9+M9+N9+S9+V9+W9+X9+AA9+AI9+AJ9+AI9+AM9+AP9+AQ9+AS9+AT9+AU9+AV9)+2</f>
        <v>2</v>
      </c>
      <c r="C9" s="215">
        <f t="shared" si="0"/>
        <v>2</v>
      </c>
      <c r="D9" s="139"/>
      <c r="E9" s="140"/>
      <c r="F9" s="135"/>
      <c r="G9" s="136"/>
      <c r="H9" s="107"/>
      <c r="I9" s="96"/>
      <c r="J9" s="104"/>
      <c r="K9" s="75"/>
      <c r="L9" s="75"/>
      <c r="M9" s="75"/>
      <c r="N9" s="104"/>
      <c r="O9" s="109"/>
      <c r="P9" s="108"/>
      <c r="Q9" s="109"/>
      <c r="R9" s="109"/>
      <c r="S9" s="100"/>
      <c r="T9" s="110"/>
      <c r="U9" s="110"/>
      <c r="V9" s="100"/>
      <c r="W9" s="100"/>
      <c r="X9" s="100"/>
      <c r="Y9" s="110"/>
      <c r="Z9" s="110"/>
      <c r="AA9" s="100"/>
      <c r="AB9" s="109"/>
      <c r="AC9" s="108"/>
      <c r="AD9" s="109"/>
      <c r="AE9" s="109"/>
      <c r="AF9" s="109"/>
      <c r="AG9" s="109"/>
      <c r="AH9" s="108"/>
      <c r="AI9" s="100"/>
      <c r="AJ9" s="110"/>
      <c r="AK9" s="110"/>
      <c r="AL9" s="100"/>
      <c r="AM9" s="100"/>
      <c r="AN9" s="110"/>
      <c r="AO9" s="100"/>
      <c r="AP9" s="100"/>
      <c r="AQ9" s="110"/>
      <c r="AR9" s="100"/>
      <c r="AS9" s="111"/>
      <c r="AT9" s="111"/>
    </row>
    <row r="10" spans="1:48" ht="16.3">
      <c r="A10" s="246" t="s">
        <v>5</v>
      </c>
      <c r="B10" s="248">
        <f>SUM(J10+K10+L10+M10+N10+S10+V10+W10+X10+AA10+AI10+AJ10+AI10+AM10+AP10+AQ10+AS10+AT10+AU10+AV10)+42</f>
        <v>43</v>
      </c>
      <c r="C10" s="215">
        <f t="shared" si="0"/>
        <v>43</v>
      </c>
      <c r="D10" s="139"/>
      <c r="E10" s="140"/>
      <c r="F10" s="135"/>
      <c r="G10" s="136"/>
      <c r="H10" s="107"/>
      <c r="I10" s="96"/>
      <c r="J10" s="104"/>
      <c r="K10" s="75"/>
      <c r="L10" s="75"/>
      <c r="M10" s="75"/>
      <c r="N10" s="104"/>
      <c r="O10" s="109"/>
      <c r="P10" s="108"/>
      <c r="Q10" s="109"/>
      <c r="R10" s="109">
        <v>1</v>
      </c>
      <c r="S10" s="100"/>
      <c r="T10" s="110"/>
      <c r="U10" s="110"/>
      <c r="V10" s="100"/>
      <c r="W10" s="100"/>
      <c r="X10" s="100"/>
      <c r="Y10" s="110"/>
      <c r="Z10" s="110"/>
      <c r="AA10" s="100">
        <v>1</v>
      </c>
      <c r="AB10" s="109"/>
      <c r="AC10" s="108"/>
      <c r="AD10" s="109"/>
      <c r="AE10" s="109"/>
      <c r="AF10" s="109"/>
      <c r="AG10" s="109"/>
      <c r="AH10" s="108"/>
      <c r="AI10" s="100"/>
      <c r="AJ10" s="110"/>
      <c r="AK10" s="110"/>
      <c r="AL10" s="100"/>
      <c r="AM10" s="100"/>
      <c r="AN10" s="110"/>
      <c r="AO10" s="100"/>
      <c r="AP10" s="100"/>
      <c r="AQ10" s="110"/>
      <c r="AR10" s="100"/>
      <c r="AS10" s="111"/>
      <c r="AT10" s="111"/>
    </row>
    <row r="11" spans="1:48" ht="16.3">
      <c r="A11" s="246" t="s">
        <v>6</v>
      </c>
      <c r="B11" s="248">
        <f>SUM(J11+K11+L11+M11+N11+S11+V11+W11+X11+AA11+AI11+AJ11+AI11+AM11+AP11+AQ11+AS11+AT11+AU11+AV11)+57</f>
        <v>59</v>
      </c>
      <c r="C11" s="215">
        <f t="shared" ref="C11" si="1">B11</f>
        <v>59</v>
      </c>
      <c r="D11" s="139"/>
      <c r="E11" s="140"/>
      <c r="F11" s="135"/>
      <c r="G11" s="136"/>
      <c r="H11" s="107"/>
      <c r="I11" s="96"/>
      <c r="J11" s="104"/>
      <c r="K11" s="75"/>
      <c r="L11" s="75"/>
      <c r="M11" s="75"/>
      <c r="N11" s="104"/>
      <c r="O11" s="109"/>
      <c r="P11" s="108"/>
      <c r="Q11" s="109"/>
      <c r="R11" s="109">
        <v>2</v>
      </c>
      <c r="S11" s="100"/>
      <c r="T11" s="110"/>
      <c r="U11" s="110"/>
      <c r="V11" s="100"/>
      <c r="W11" s="100"/>
      <c r="X11" s="100"/>
      <c r="Y11" s="110"/>
      <c r="Z11" s="110"/>
      <c r="AA11" s="100">
        <v>2</v>
      </c>
      <c r="AB11" s="109"/>
      <c r="AC11" s="108"/>
      <c r="AD11" s="109"/>
      <c r="AE11" s="109"/>
      <c r="AF11" s="109"/>
      <c r="AG11" s="109"/>
      <c r="AH11" s="108"/>
      <c r="AI11" s="100"/>
      <c r="AJ11" s="110"/>
      <c r="AK11" s="110"/>
      <c r="AL11" s="100"/>
      <c r="AM11" s="100"/>
      <c r="AN11" s="110"/>
      <c r="AO11" s="100"/>
      <c r="AP11" s="100"/>
      <c r="AQ11" s="110"/>
      <c r="AR11" s="100"/>
      <c r="AS11" s="111"/>
      <c r="AT11" s="111"/>
    </row>
    <row r="12" spans="1:48" ht="16.3">
      <c r="A12" s="246" t="s">
        <v>368</v>
      </c>
      <c r="B12" s="249">
        <f>SUM(B10/B11)*100</f>
        <v>72.881355932203391</v>
      </c>
      <c r="C12" s="216">
        <f>SUM(C10/C11)*100</f>
        <v>72.881355932203391</v>
      </c>
      <c r="D12" s="139"/>
      <c r="E12" s="140"/>
      <c r="F12" s="135"/>
      <c r="G12" s="136"/>
      <c r="H12" s="107"/>
      <c r="I12" s="96"/>
      <c r="J12" s="104"/>
      <c r="K12" s="75"/>
      <c r="L12" s="75"/>
      <c r="M12" s="75"/>
      <c r="N12" s="104"/>
      <c r="O12" s="109"/>
      <c r="P12" s="108"/>
      <c r="Q12" s="109"/>
      <c r="R12" s="109">
        <v>50</v>
      </c>
      <c r="S12" s="100"/>
      <c r="T12" s="110"/>
      <c r="U12" s="110"/>
      <c r="V12" s="100"/>
      <c r="W12" s="100"/>
      <c r="X12" s="100"/>
      <c r="Y12" s="110"/>
      <c r="Z12" s="110"/>
      <c r="AA12" s="100">
        <v>50</v>
      </c>
      <c r="AB12" s="109"/>
      <c r="AC12" s="108"/>
      <c r="AD12" s="109"/>
      <c r="AE12" s="109"/>
      <c r="AF12" s="109"/>
      <c r="AG12" s="109"/>
      <c r="AH12" s="108"/>
      <c r="AI12" s="100"/>
      <c r="AJ12" s="110"/>
      <c r="AK12" s="110"/>
      <c r="AL12" s="100"/>
      <c r="AM12" s="100"/>
      <c r="AN12" s="110"/>
      <c r="AO12" s="100"/>
      <c r="AP12" s="100"/>
      <c r="AQ12" s="110"/>
      <c r="AR12" s="100"/>
      <c r="AS12" s="111"/>
      <c r="AT12" s="111"/>
    </row>
    <row r="13" spans="1:48" ht="16.3">
      <c r="A13" s="246" t="s">
        <v>386</v>
      </c>
      <c r="B13" s="249">
        <f>SUM(J13+K13+L13+M13+N13+S13+V13+W13+X13+AA13+AI13+AJ13+AI13+AM13+AP13+AQ13+AS13+AT13+AU13+AV13)</f>
        <v>0</v>
      </c>
      <c r="C13" s="216">
        <f t="shared" ref="C13" si="2">B13</f>
        <v>0</v>
      </c>
      <c r="D13" s="139"/>
      <c r="E13" s="140"/>
      <c r="F13" s="135"/>
      <c r="G13" s="136"/>
      <c r="H13" s="107"/>
      <c r="I13" s="96"/>
      <c r="J13" s="104"/>
      <c r="K13" s="75"/>
      <c r="L13" s="75"/>
      <c r="M13" s="75"/>
      <c r="N13" s="104"/>
      <c r="O13" s="109"/>
      <c r="P13" s="108"/>
      <c r="Q13" s="109"/>
      <c r="R13" s="109">
        <v>1</v>
      </c>
      <c r="S13" s="100"/>
      <c r="T13" s="110"/>
      <c r="U13" s="110"/>
      <c r="V13" s="100"/>
      <c r="W13" s="100"/>
      <c r="X13" s="100"/>
      <c r="Y13" s="110"/>
      <c r="Z13" s="110"/>
      <c r="AA13" s="100"/>
      <c r="AB13" s="109"/>
      <c r="AC13" s="108"/>
      <c r="AD13" s="109"/>
      <c r="AE13" s="109"/>
      <c r="AF13" s="109"/>
      <c r="AG13" s="109"/>
      <c r="AH13" s="108"/>
      <c r="AI13" s="100"/>
      <c r="AJ13" s="110"/>
      <c r="AK13" s="110"/>
      <c r="AL13" s="100"/>
      <c r="AM13" s="100"/>
      <c r="AN13" s="110"/>
      <c r="AO13" s="100"/>
      <c r="AP13" s="100"/>
      <c r="AQ13" s="110"/>
      <c r="AR13" s="100"/>
      <c r="AS13" s="111"/>
      <c r="AT13" s="111"/>
    </row>
    <row r="14" spans="1:48" ht="16.3">
      <c r="A14" s="83" t="s">
        <v>3</v>
      </c>
      <c r="B14" s="247">
        <f>SUM(J14+K14+L14+M14+N14+S14+V14+W14+X14+AA14+AI14+AJ14+AI14+AM14+AP14+AQ14+AS14+AT14+AU14+AV14)+19</f>
        <v>20</v>
      </c>
      <c r="C14" s="214">
        <f t="shared" ref="C14:C15" si="3">B14</f>
        <v>20</v>
      </c>
      <c r="D14" s="133"/>
      <c r="E14" s="134"/>
      <c r="F14" s="135"/>
      <c r="G14" s="136"/>
      <c r="H14" s="107"/>
      <c r="I14" s="96"/>
      <c r="J14" s="104"/>
      <c r="K14" s="75"/>
      <c r="L14" s="75"/>
      <c r="M14" s="75"/>
      <c r="N14" s="104"/>
      <c r="O14" s="109"/>
      <c r="P14" s="108"/>
      <c r="Q14" s="109"/>
      <c r="R14" s="109"/>
      <c r="S14" s="100"/>
      <c r="T14" s="110"/>
      <c r="U14" s="110"/>
      <c r="V14" s="100">
        <v>1</v>
      </c>
      <c r="W14" s="100"/>
      <c r="X14" s="100"/>
      <c r="Y14" s="110"/>
      <c r="Z14" s="110"/>
      <c r="AA14" s="100"/>
      <c r="AB14" s="109"/>
      <c r="AC14" s="108"/>
      <c r="AD14" s="109"/>
      <c r="AE14" s="109"/>
      <c r="AF14" s="109">
        <v>1</v>
      </c>
      <c r="AG14" s="109"/>
      <c r="AH14" s="108"/>
      <c r="AI14" s="100"/>
      <c r="AJ14" s="110"/>
      <c r="AK14" s="110"/>
      <c r="AL14" s="100"/>
      <c r="AM14" s="100"/>
      <c r="AN14" s="110"/>
      <c r="AO14" s="100"/>
      <c r="AP14" s="100"/>
      <c r="AQ14" s="110"/>
      <c r="AR14" s="100"/>
      <c r="AS14" s="111"/>
      <c r="AT14" s="111"/>
    </row>
    <row r="15" spans="1:48" ht="17" thickBot="1">
      <c r="A15" s="83" t="s">
        <v>4</v>
      </c>
      <c r="B15" s="250">
        <f>SUM(J15+K15+L15+M15+N15+S15+V15+W15+X15+AA15+AI15+AJ15+AI15+AM15+AP15+AQ15+AS15+AT15+AU15+AV15)+193</f>
        <v>200</v>
      </c>
      <c r="C15" s="217">
        <f t="shared" si="3"/>
        <v>200</v>
      </c>
      <c r="D15" s="144"/>
      <c r="E15" s="145"/>
      <c r="F15" s="146"/>
      <c r="G15" s="147"/>
      <c r="H15" s="107"/>
      <c r="I15" s="96"/>
      <c r="J15" s="104"/>
      <c r="K15" s="75"/>
      <c r="L15" s="75"/>
      <c r="M15" s="75"/>
      <c r="N15" s="104"/>
      <c r="O15" s="109"/>
      <c r="P15" s="105"/>
      <c r="Q15" s="109"/>
      <c r="R15" s="109">
        <v>5</v>
      </c>
      <c r="S15" s="100"/>
      <c r="T15" s="110"/>
      <c r="U15" s="110"/>
      <c r="V15" s="100">
        <v>5</v>
      </c>
      <c r="W15" s="100"/>
      <c r="X15" s="100"/>
      <c r="Y15" s="110"/>
      <c r="Z15" s="110"/>
      <c r="AA15" s="100">
        <v>2</v>
      </c>
      <c r="AB15" s="109"/>
      <c r="AC15" s="108"/>
      <c r="AD15" s="109"/>
      <c r="AE15" s="109"/>
      <c r="AF15" s="109">
        <v>5</v>
      </c>
      <c r="AG15" s="109"/>
      <c r="AH15" s="108"/>
      <c r="AI15" s="100"/>
      <c r="AJ15" s="110"/>
      <c r="AK15" s="110"/>
      <c r="AL15" s="100"/>
      <c r="AM15" s="100"/>
      <c r="AN15" s="110"/>
      <c r="AO15" s="100"/>
      <c r="AP15" s="100"/>
      <c r="AQ15" s="110"/>
      <c r="AR15" s="100"/>
      <c r="AS15" s="111"/>
      <c r="AT15" s="111"/>
    </row>
    <row r="16" spans="1:48" ht="21.1">
      <c r="A16" s="86" t="s">
        <v>166</v>
      </c>
      <c r="B16" s="247"/>
      <c r="C16" s="214"/>
      <c r="D16" s="133"/>
      <c r="E16" s="134"/>
      <c r="F16" s="135"/>
      <c r="G16" s="136"/>
      <c r="H16" s="131"/>
      <c r="I16" s="124">
        <v>15</v>
      </c>
      <c r="J16" s="122">
        <v>15</v>
      </c>
      <c r="K16" s="122" t="s">
        <v>715</v>
      </c>
      <c r="L16" s="122" t="s">
        <v>379</v>
      </c>
      <c r="M16" s="122" t="s">
        <v>339</v>
      </c>
      <c r="N16" s="123">
        <v>15</v>
      </c>
      <c r="O16" s="99" t="s">
        <v>375</v>
      </c>
      <c r="P16" s="98"/>
      <c r="Q16" s="99"/>
      <c r="R16" s="99" t="s">
        <v>379</v>
      </c>
      <c r="S16" s="102" t="s">
        <v>339</v>
      </c>
      <c r="T16" s="101">
        <v>11</v>
      </c>
      <c r="U16" s="101">
        <v>11</v>
      </c>
      <c r="V16" s="102" t="s">
        <v>896</v>
      </c>
      <c r="W16" s="102">
        <v>15</v>
      </c>
      <c r="X16" s="102">
        <v>15</v>
      </c>
      <c r="Y16" s="101">
        <v>15</v>
      </c>
      <c r="Z16" s="101" t="s">
        <v>375</v>
      </c>
      <c r="AA16" s="102" t="s">
        <v>379</v>
      </c>
      <c r="AB16" s="99"/>
      <c r="AC16" s="98"/>
      <c r="AD16" s="99"/>
      <c r="AE16" s="99" t="s">
        <v>375</v>
      </c>
      <c r="AF16" s="99" t="s">
        <v>375</v>
      </c>
      <c r="AG16" s="99" t="s">
        <v>379</v>
      </c>
      <c r="AH16" s="98"/>
      <c r="AI16" s="102"/>
      <c r="AJ16" s="101"/>
      <c r="AK16" s="101"/>
      <c r="AL16" s="102"/>
      <c r="AM16" s="102"/>
      <c r="AN16" s="101"/>
      <c r="AO16" s="102"/>
      <c r="AP16" s="102"/>
      <c r="AQ16" s="101"/>
      <c r="AR16" s="102"/>
      <c r="AS16" s="103"/>
      <c r="AT16" s="103"/>
    </row>
    <row r="17" spans="1:46" ht="16.3">
      <c r="A17" s="246" t="s">
        <v>1</v>
      </c>
      <c r="B17" s="248">
        <f>SUM(J17+K17+L17+M17+N17+S17+V17+W17+X17+AA17+AI17+AJ17+AI17+AM17+AP17+AQ17+AS17+AT17+AU17+AV17+AN17)+19</f>
        <v>27</v>
      </c>
      <c r="C17" s="215">
        <f>B17</f>
        <v>27</v>
      </c>
      <c r="D17" s="139"/>
      <c r="E17" s="140"/>
      <c r="F17" s="135"/>
      <c r="G17" s="136"/>
      <c r="H17" s="107"/>
      <c r="I17" s="96">
        <v>1</v>
      </c>
      <c r="J17" s="104">
        <v>1</v>
      </c>
      <c r="K17" s="75">
        <v>1</v>
      </c>
      <c r="L17" s="75">
        <v>1</v>
      </c>
      <c r="M17" s="75"/>
      <c r="N17" s="104">
        <v>1</v>
      </c>
      <c r="O17" s="109"/>
      <c r="P17" s="108"/>
      <c r="Q17" s="109"/>
      <c r="R17" s="109">
        <v>1</v>
      </c>
      <c r="S17" s="100"/>
      <c r="T17" s="110">
        <v>1</v>
      </c>
      <c r="U17" s="110">
        <v>1</v>
      </c>
      <c r="V17" s="100">
        <v>1</v>
      </c>
      <c r="W17" s="100">
        <v>1</v>
      </c>
      <c r="X17" s="100">
        <v>1</v>
      </c>
      <c r="Y17" s="110">
        <v>1</v>
      </c>
      <c r="Z17" s="110"/>
      <c r="AA17" s="100">
        <v>1</v>
      </c>
      <c r="AB17" s="109"/>
      <c r="AC17" s="108"/>
      <c r="AD17" s="109"/>
      <c r="AE17" s="109"/>
      <c r="AF17" s="109"/>
      <c r="AG17" s="109">
        <v>1</v>
      </c>
      <c r="AH17" s="108"/>
      <c r="AI17" s="100"/>
      <c r="AJ17" s="110"/>
      <c r="AK17" s="110"/>
      <c r="AL17" s="100"/>
      <c r="AM17" s="100"/>
      <c r="AN17" s="110"/>
      <c r="AO17" s="100"/>
      <c r="AP17" s="100"/>
      <c r="AQ17" s="110"/>
      <c r="AR17" s="100"/>
      <c r="AS17" s="111"/>
      <c r="AT17" s="111"/>
    </row>
    <row r="18" spans="1:46" ht="16.3">
      <c r="A18" s="246" t="s">
        <v>2</v>
      </c>
      <c r="B18" s="248">
        <f>SUM(J18+K18+L18+M18+N18+S18+V18+W18+X18+AA18+AI18+AJ18+AI18+AM18+AP18+AQ18+AS18+AT18+AU18+AV18)+5</f>
        <v>5</v>
      </c>
      <c r="C18" s="215">
        <f t="shared" ref="C18:C22" si="4">B18</f>
        <v>5</v>
      </c>
      <c r="D18" s="139"/>
      <c r="E18" s="140"/>
      <c r="F18" s="135"/>
      <c r="G18" s="136"/>
      <c r="H18" s="107"/>
      <c r="I18" s="96"/>
      <c r="J18" s="104"/>
      <c r="K18" s="75"/>
      <c r="L18" s="75"/>
      <c r="M18" s="75"/>
      <c r="N18" s="104"/>
      <c r="O18" s="109">
        <v>1</v>
      </c>
      <c r="P18" s="108"/>
      <c r="Q18" s="109"/>
      <c r="R18" s="109"/>
      <c r="S18" s="100"/>
      <c r="T18" s="110"/>
      <c r="U18" s="110"/>
      <c r="V18" s="100"/>
      <c r="W18" s="100"/>
      <c r="X18" s="100"/>
      <c r="Y18" s="110"/>
      <c r="Z18" s="110">
        <v>1</v>
      </c>
      <c r="AA18" s="100"/>
      <c r="AB18" s="109"/>
      <c r="AC18" s="108"/>
      <c r="AD18" s="109"/>
      <c r="AE18" s="109">
        <v>1</v>
      </c>
      <c r="AF18" s="109">
        <v>1</v>
      </c>
      <c r="AG18" s="109"/>
      <c r="AH18" s="108"/>
      <c r="AI18" s="100"/>
      <c r="AJ18" s="110"/>
      <c r="AK18" s="110"/>
      <c r="AL18" s="100"/>
      <c r="AM18" s="100"/>
      <c r="AN18" s="110"/>
      <c r="AO18" s="100"/>
      <c r="AP18" s="100"/>
      <c r="AQ18" s="110"/>
      <c r="AR18" s="100"/>
      <c r="AS18" s="111"/>
      <c r="AT18" s="111"/>
    </row>
    <row r="19" spans="1:46" ht="16.3">
      <c r="A19" s="83" t="s">
        <v>363</v>
      </c>
      <c r="B19" s="247">
        <f>SUM(B17+B18)</f>
        <v>32</v>
      </c>
      <c r="C19" s="214">
        <f t="shared" si="4"/>
        <v>32</v>
      </c>
      <c r="D19" s="139"/>
      <c r="E19" s="140"/>
      <c r="F19" s="135"/>
      <c r="G19" s="136"/>
      <c r="H19" s="107"/>
      <c r="I19" s="96"/>
      <c r="J19" s="104"/>
      <c r="K19" s="75"/>
      <c r="L19" s="75"/>
      <c r="M19" s="75"/>
      <c r="N19" s="104"/>
      <c r="O19" s="109"/>
      <c r="P19" s="108"/>
      <c r="Q19" s="109"/>
      <c r="R19" s="109"/>
      <c r="S19" s="100"/>
      <c r="T19" s="110"/>
      <c r="U19" s="110"/>
      <c r="V19" s="100"/>
      <c r="W19" s="100"/>
      <c r="X19" s="100"/>
      <c r="Y19" s="110"/>
      <c r="Z19" s="110"/>
      <c r="AA19" s="100"/>
      <c r="AB19" s="109"/>
      <c r="AC19" s="108"/>
      <c r="AD19" s="109"/>
      <c r="AE19" s="109"/>
      <c r="AF19" s="109"/>
      <c r="AG19" s="109"/>
      <c r="AH19" s="108"/>
      <c r="AI19" s="100"/>
      <c r="AJ19" s="110"/>
      <c r="AK19" s="110"/>
      <c r="AL19" s="100"/>
      <c r="AM19" s="100"/>
      <c r="AN19" s="110"/>
      <c r="AO19" s="100"/>
      <c r="AP19" s="100"/>
      <c r="AQ19" s="110"/>
      <c r="AR19" s="100"/>
      <c r="AS19" s="111"/>
      <c r="AT19" s="111"/>
    </row>
    <row r="20" spans="1:46" ht="16.3">
      <c r="A20" s="246" t="s">
        <v>362</v>
      </c>
      <c r="B20" s="248">
        <f>SUM(J20+K20+L20+M20+N20+S20+V20+W20+X20+AA20+AI20+AJ20+AI20+AM20+AP20+AQ20+AS20+AT20+AU20+AV20)+2</f>
        <v>3</v>
      </c>
      <c r="C20" s="215">
        <f t="shared" si="4"/>
        <v>3</v>
      </c>
      <c r="D20" s="139"/>
      <c r="E20" s="140"/>
      <c r="F20" s="135"/>
      <c r="G20" s="136"/>
      <c r="H20" s="107"/>
      <c r="I20" s="96"/>
      <c r="J20" s="104"/>
      <c r="K20" s="75">
        <v>1</v>
      </c>
      <c r="L20" s="75"/>
      <c r="M20" s="75"/>
      <c r="N20" s="104"/>
      <c r="O20" s="109"/>
      <c r="P20" s="108"/>
      <c r="Q20" s="109"/>
      <c r="R20" s="109"/>
      <c r="S20" s="100"/>
      <c r="T20" s="110"/>
      <c r="U20" s="110"/>
      <c r="V20" s="100"/>
      <c r="W20" s="100"/>
      <c r="X20" s="100"/>
      <c r="Y20" s="110"/>
      <c r="Z20" s="110"/>
      <c r="AA20" s="100"/>
      <c r="AB20" s="109"/>
      <c r="AC20" s="108"/>
      <c r="AD20" s="109"/>
      <c r="AE20" s="109"/>
      <c r="AF20" s="109"/>
      <c r="AG20" s="109"/>
      <c r="AH20" s="108"/>
      <c r="AI20" s="100"/>
      <c r="AJ20" s="110"/>
      <c r="AK20" s="110"/>
      <c r="AL20" s="100"/>
      <c r="AM20" s="100"/>
      <c r="AN20" s="110"/>
      <c r="AO20" s="100"/>
      <c r="AP20" s="100"/>
      <c r="AQ20" s="110"/>
      <c r="AR20" s="100"/>
      <c r="AS20" s="111"/>
      <c r="AT20" s="111"/>
    </row>
    <row r="21" spans="1:46" ht="16.3">
      <c r="A21" s="83" t="s">
        <v>3</v>
      </c>
      <c r="B21" s="247">
        <f>SUM(J21+K21+L21+M21+N21+S21+V21+W21+X21+AA21+AI21+AJ21+AI21+AM21+AP21+AQ21+AS21+AT21+AU21+AV21)+6</f>
        <v>10</v>
      </c>
      <c r="C21" s="214">
        <f t="shared" si="4"/>
        <v>10</v>
      </c>
      <c r="D21" s="133"/>
      <c r="E21" s="134"/>
      <c r="F21" s="135"/>
      <c r="G21" s="136"/>
      <c r="H21" s="107"/>
      <c r="I21" s="96"/>
      <c r="J21" s="104"/>
      <c r="K21" s="75">
        <v>1</v>
      </c>
      <c r="L21" s="75"/>
      <c r="M21" s="75"/>
      <c r="N21" s="104">
        <v>1</v>
      </c>
      <c r="O21" s="109"/>
      <c r="P21" s="108"/>
      <c r="Q21" s="109"/>
      <c r="R21" s="109"/>
      <c r="S21" s="100"/>
      <c r="T21" s="110">
        <v>1</v>
      </c>
      <c r="U21" s="150">
        <v>3</v>
      </c>
      <c r="V21" s="100">
        <v>2</v>
      </c>
      <c r="W21" s="100"/>
      <c r="X21" s="100"/>
      <c r="Y21" s="110"/>
      <c r="Z21" s="110"/>
      <c r="AA21" s="100"/>
      <c r="AB21" s="109"/>
      <c r="AC21" s="108"/>
      <c r="AD21" s="109"/>
      <c r="AE21" s="109">
        <v>1</v>
      </c>
      <c r="AF21" s="109">
        <v>1</v>
      </c>
      <c r="AG21" s="109"/>
      <c r="AH21" s="108"/>
      <c r="AI21" s="100"/>
      <c r="AJ21" s="110"/>
      <c r="AK21" s="110"/>
      <c r="AL21" s="100"/>
      <c r="AM21" s="100"/>
      <c r="AN21" s="110"/>
      <c r="AO21" s="100"/>
      <c r="AP21" s="100"/>
      <c r="AQ21" s="110"/>
      <c r="AR21" s="100"/>
      <c r="AS21" s="111"/>
      <c r="AT21" s="111"/>
    </row>
    <row r="22" spans="1:46" ht="17" thickBot="1">
      <c r="A22" s="85" t="s">
        <v>4</v>
      </c>
      <c r="B22" s="250">
        <f>SUM(J22+K22+L22+M22+N22+S22+V22+W22+X22+AA22+AI22+AJ22+AI22+AM22+AP22+AQ22+AS22+AT22+AU22+AV22)+30</f>
        <v>50</v>
      </c>
      <c r="C22" s="217">
        <f t="shared" si="4"/>
        <v>50</v>
      </c>
      <c r="D22" s="144"/>
      <c r="E22" s="145"/>
      <c r="F22" s="146"/>
      <c r="G22" s="179"/>
      <c r="H22" s="130"/>
      <c r="I22" s="114"/>
      <c r="J22" s="113"/>
      <c r="K22" s="112">
        <v>5</v>
      </c>
      <c r="L22" s="112"/>
      <c r="M22" s="112"/>
      <c r="N22" s="113">
        <v>5</v>
      </c>
      <c r="O22" s="118"/>
      <c r="P22" s="117"/>
      <c r="Q22" s="118"/>
      <c r="R22" s="118"/>
      <c r="S22" s="116"/>
      <c r="T22" s="120">
        <v>5</v>
      </c>
      <c r="U22" s="120">
        <v>15</v>
      </c>
      <c r="V22" s="116">
        <v>10</v>
      </c>
      <c r="W22" s="116"/>
      <c r="X22" s="116"/>
      <c r="Y22" s="120"/>
      <c r="Z22" s="120"/>
      <c r="AA22" s="116"/>
      <c r="AB22" s="118"/>
      <c r="AC22" s="117"/>
      <c r="AD22" s="118"/>
      <c r="AE22" s="118">
        <v>5</v>
      </c>
      <c r="AF22" s="118">
        <v>5</v>
      </c>
      <c r="AG22" s="118"/>
      <c r="AH22" s="117"/>
      <c r="AI22" s="116"/>
      <c r="AJ22" s="120"/>
      <c r="AK22" s="120"/>
      <c r="AL22" s="116"/>
      <c r="AM22" s="116"/>
      <c r="AN22" s="120"/>
      <c r="AO22" s="116"/>
      <c r="AP22" s="116"/>
      <c r="AQ22" s="120"/>
      <c r="AR22" s="116"/>
      <c r="AS22" s="130"/>
      <c r="AT22" s="111"/>
    </row>
    <row r="23" spans="1:46" ht="21.1">
      <c r="A23" s="82" t="s">
        <v>116</v>
      </c>
      <c r="B23" s="247"/>
      <c r="C23" s="214"/>
      <c r="D23" s="133"/>
      <c r="E23" s="134"/>
      <c r="F23" s="135"/>
      <c r="G23" s="136"/>
      <c r="H23" s="107"/>
      <c r="I23" s="96" t="s">
        <v>501</v>
      </c>
      <c r="J23" s="104" t="s">
        <v>501</v>
      </c>
      <c r="K23" s="75" t="s">
        <v>501</v>
      </c>
      <c r="L23" s="75" t="s">
        <v>383</v>
      </c>
      <c r="M23" s="75">
        <v>15</v>
      </c>
      <c r="N23" s="104" t="s">
        <v>695</v>
      </c>
      <c r="O23" s="109" t="s">
        <v>775</v>
      </c>
      <c r="P23" s="108"/>
      <c r="Q23" s="109" t="s">
        <v>339</v>
      </c>
      <c r="R23" s="109" t="s">
        <v>339</v>
      </c>
      <c r="S23" s="100" t="s">
        <v>339</v>
      </c>
      <c r="T23" s="110" t="s">
        <v>339</v>
      </c>
      <c r="U23" s="110" t="s">
        <v>339</v>
      </c>
      <c r="V23" s="100" t="s">
        <v>375</v>
      </c>
      <c r="W23" s="100" t="s">
        <v>772</v>
      </c>
      <c r="X23" s="100">
        <v>13</v>
      </c>
      <c r="Y23" s="110" t="s">
        <v>377</v>
      </c>
      <c r="Z23" s="110">
        <v>13</v>
      </c>
      <c r="AA23" s="100">
        <v>14</v>
      </c>
      <c r="AB23" s="109" t="s">
        <v>775</v>
      </c>
      <c r="AC23" s="108"/>
      <c r="AD23" s="109" t="s">
        <v>775</v>
      </c>
      <c r="AE23" s="109" t="s">
        <v>775</v>
      </c>
      <c r="AF23" s="109" t="s">
        <v>775</v>
      </c>
      <c r="AG23" s="109" t="s">
        <v>775</v>
      </c>
      <c r="AH23" s="108"/>
      <c r="AI23" s="100"/>
      <c r="AJ23" s="110"/>
      <c r="AK23" s="110"/>
      <c r="AL23" s="100"/>
      <c r="AM23" s="100"/>
      <c r="AN23" s="110"/>
      <c r="AO23" s="100"/>
      <c r="AP23" s="100"/>
      <c r="AQ23" s="110"/>
      <c r="AR23" s="100"/>
      <c r="AS23" s="111"/>
      <c r="AT23" s="103"/>
    </row>
    <row r="24" spans="1:46" ht="16.3">
      <c r="A24" s="246" t="s">
        <v>1</v>
      </c>
      <c r="B24" s="248">
        <f>SUM(J24+K24+L24+M24+N24+S24+V24+W24+X24+AA24+AI24+AJ24+AI24+AM24+AP24+AQ24+AS24+AT24+AU24+AV24+AN24)+63</f>
        <v>69</v>
      </c>
      <c r="C24" s="215">
        <f>B24</f>
        <v>69</v>
      </c>
      <c r="D24" s="139"/>
      <c r="E24" s="140"/>
      <c r="F24" s="135"/>
      <c r="G24" s="136"/>
      <c r="H24" s="107"/>
      <c r="I24" s="96"/>
      <c r="J24" s="104"/>
      <c r="K24" s="75"/>
      <c r="L24" s="75">
        <v>1</v>
      </c>
      <c r="M24" s="75">
        <v>1</v>
      </c>
      <c r="N24" s="104">
        <v>1</v>
      </c>
      <c r="O24" s="109"/>
      <c r="P24" s="108"/>
      <c r="Q24" s="109"/>
      <c r="R24" s="109"/>
      <c r="S24" s="100"/>
      <c r="T24" s="110"/>
      <c r="U24" s="110"/>
      <c r="V24" s="100"/>
      <c r="W24" s="100">
        <v>1</v>
      </c>
      <c r="X24" s="100">
        <v>1</v>
      </c>
      <c r="Y24" s="110">
        <v>1</v>
      </c>
      <c r="Z24" s="110">
        <v>1</v>
      </c>
      <c r="AA24" s="100">
        <v>1</v>
      </c>
      <c r="AB24" s="109"/>
      <c r="AC24" s="108"/>
      <c r="AD24" s="109"/>
      <c r="AE24" s="109"/>
      <c r="AF24" s="109"/>
      <c r="AG24" s="109"/>
      <c r="AH24" s="108"/>
      <c r="AI24" s="100"/>
      <c r="AJ24" s="110"/>
      <c r="AK24" s="110"/>
      <c r="AL24" s="100"/>
      <c r="AM24" s="100"/>
      <c r="AN24" s="110"/>
      <c r="AO24" s="100"/>
      <c r="AP24" s="100"/>
      <c r="AQ24" s="110"/>
      <c r="AR24" s="100"/>
      <c r="AS24" s="111"/>
      <c r="AT24" s="111"/>
    </row>
    <row r="25" spans="1:46" ht="16.3">
      <c r="A25" s="246" t="s">
        <v>2</v>
      </c>
      <c r="B25" s="248">
        <f>SUM(J25+K25+L25+M25+N25+S25+V25+W25+X25+AA25+AI25+AJ25+AI25+AM25+AP25+AQ25+AS25+AT25+AU25+AV25)+8</f>
        <v>9</v>
      </c>
      <c r="C25" s="215">
        <f t="shared" ref="C25:C30" si="5">B25</f>
        <v>9</v>
      </c>
      <c r="D25" s="139"/>
      <c r="E25" s="140"/>
      <c r="F25" s="135"/>
      <c r="G25" s="136"/>
      <c r="H25" s="107"/>
      <c r="I25" s="96"/>
      <c r="J25" s="104"/>
      <c r="K25" s="75"/>
      <c r="L25" s="75"/>
      <c r="M25" s="75"/>
      <c r="N25" s="104"/>
      <c r="O25" s="109"/>
      <c r="P25" s="108"/>
      <c r="Q25" s="109"/>
      <c r="R25" s="109"/>
      <c r="S25" s="100"/>
      <c r="T25" s="110"/>
      <c r="U25" s="110"/>
      <c r="V25" s="100">
        <v>1</v>
      </c>
      <c r="W25" s="100"/>
      <c r="X25" s="100"/>
      <c r="Y25" s="110"/>
      <c r="Z25" s="110"/>
      <c r="AA25" s="100"/>
      <c r="AB25" s="109"/>
      <c r="AC25" s="108"/>
      <c r="AD25" s="109"/>
      <c r="AE25" s="109"/>
      <c r="AF25" s="109"/>
      <c r="AG25" s="109"/>
      <c r="AH25" s="108"/>
      <c r="AI25" s="100"/>
      <c r="AJ25" s="110"/>
      <c r="AK25" s="110"/>
      <c r="AL25" s="100"/>
      <c r="AM25" s="100"/>
      <c r="AN25" s="110"/>
      <c r="AO25" s="100"/>
      <c r="AP25" s="100"/>
      <c r="AQ25" s="110"/>
      <c r="AR25" s="100"/>
      <c r="AS25" s="111"/>
      <c r="AT25" s="111"/>
    </row>
    <row r="26" spans="1:46" ht="16.3">
      <c r="A26" s="83" t="s">
        <v>363</v>
      </c>
      <c r="B26" s="247">
        <f>SUM(B24+B25)</f>
        <v>78</v>
      </c>
      <c r="C26" s="214">
        <f t="shared" si="5"/>
        <v>78</v>
      </c>
      <c r="D26" s="133"/>
      <c r="E26" s="134"/>
      <c r="F26" s="135"/>
      <c r="G26" s="136"/>
      <c r="H26" s="107"/>
      <c r="I26" s="96"/>
      <c r="J26" s="104"/>
      <c r="K26" s="75"/>
      <c r="L26" s="75"/>
      <c r="M26" s="75"/>
      <c r="N26" s="104"/>
      <c r="O26" s="109"/>
      <c r="P26" s="108"/>
      <c r="Q26" s="109"/>
      <c r="R26" s="109"/>
      <c r="S26" s="100"/>
      <c r="T26" s="110"/>
      <c r="U26" s="110"/>
      <c r="V26" s="100"/>
      <c r="W26" s="100"/>
      <c r="X26" s="100"/>
      <c r="Y26" s="110"/>
      <c r="Z26" s="110"/>
      <c r="AA26" s="100"/>
      <c r="AB26" s="109"/>
      <c r="AC26" s="108"/>
      <c r="AD26" s="109"/>
      <c r="AE26" s="109"/>
      <c r="AF26" s="109"/>
      <c r="AG26" s="109"/>
      <c r="AH26" s="108"/>
      <c r="AI26" s="100"/>
      <c r="AJ26" s="110"/>
      <c r="AK26" s="110"/>
      <c r="AL26" s="100"/>
      <c r="AM26" s="100"/>
      <c r="AN26" s="110"/>
      <c r="AO26" s="100"/>
      <c r="AP26" s="100"/>
      <c r="AQ26" s="110"/>
      <c r="AR26" s="100"/>
      <c r="AS26" s="111"/>
      <c r="AT26" s="111"/>
    </row>
    <row r="27" spans="1:46" ht="16.3">
      <c r="A27" s="246" t="s">
        <v>362</v>
      </c>
      <c r="B27" s="248">
        <f>SUM(J27+K27+L27+M27+N27+S27+V27+W27+X27+AA27+AI27+AJ27+AI27+AM27+AP27+AQ27+AS27+AT27+AU27+AV27)+2</f>
        <v>2</v>
      </c>
      <c r="C27" s="215">
        <f t="shared" si="5"/>
        <v>2</v>
      </c>
      <c r="D27" s="139"/>
      <c r="E27" s="140"/>
      <c r="F27" s="135"/>
      <c r="G27" s="136"/>
      <c r="H27" s="107"/>
      <c r="I27" s="96"/>
      <c r="J27" s="104"/>
      <c r="K27" s="75"/>
      <c r="L27" s="75"/>
      <c r="M27" s="75"/>
      <c r="N27" s="104"/>
      <c r="O27" s="109"/>
      <c r="P27" s="108"/>
      <c r="Q27" s="109"/>
      <c r="R27" s="109"/>
      <c r="S27" s="100"/>
      <c r="T27" s="110"/>
      <c r="U27" s="110"/>
      <c r="V27" s="100"/>
      <c r="W27" s="100"/>
      <c r="X27" s="100"/>
      <c r="Y27" s="110"/>
      <c r="Z27" s="110"/>
      <c r="AA27" s="100"/>
      <c r="AB27" s="109"/>
      <c r="AC27" s="108"/>
      <c r="AD27" s="109"/>
      <c r="AE27" s="109"/>
      <c r="AF27" s="109"/>
      <c r="AG27" s="109"/>
      <c r="AH27" s="108"/>
      <c r="AI27" s="100"/>
      <c r="AJ27" s="110"/>
      <c r="AK27" s="110"/>
      <c r="AL27" s="100"/>
      <c r="AM27" s="100"/>
      <c r="AN27" s="110"/>
      <c r="AO27" s="100"/>
      <c r="AP27" s="100"/>
      <c r="AQ27" s="110"/>
      <c r="AR27" s="100"/>
      <c r="AS27" s="111"/>
      <c r="AT27" s="111"/>
    </row>
    <row r="28" spans="1:46" ht="16.3">
      <c r="A28" s="246" t="s">
        <v>746</v>
      </c>
      <c r="B28" s="248">
        <f>SUM(J28+K28+L28+M28+N28+S28+V28+W28+X28+AA28+AI28+AJ28+AI28+AM28+AP28+AQ28+AS28+AT28+AU28+AV28)+1</f>
        <v>3</v>
      </c>
      <c r="C28" s="215">
        <f t="shared" ref="C28" si="6">B28</f>
        <v>3</v>
      </c>
      <c r="D28" s="139"/>
      <c r="E28" s="140"/>
      <c r="F28" s="135"/>
      <c r="G28" s="136"/>
      <c r="H28" s="107"/>
      <c r="I28" s="96"/>
      <c r="J28" s="104"/>
      <c r="K28" s="75"/>
      <c r="L28" s="75"/>
      <c r="M28" s="75"/>
      <c r="N28" s="104">
        <v>1</v>
      </c>
      <c r="O28" s="109"/>
      <c r="P28" s="108"/>
      <c r="Q28" s="109"/>
      <c r="R28" s="109"/>
      <c r="S28" s="100"/>
      <c r="T28" s="110"/>
      <c r="U28" s="110"/>
      <c r="V28" s="100"/>
      <c r="W28" s="100">
        <v>1</v>
      </c>
      <c r="X28" s="100"/>
      <c r="Y28" s="110"/>
      <c r="Z28" s="110"/>
      <c r="AA28" s="100"/>
      <c r="AB28" s="109"/>
      <c r="AC28" s="108"/>
      <c r="AD28" s="109"/>
      <c r="AE28" s="109"/>
      <c r="AF28" s="109"/>
      <c r="AG28" s="109"/>
      <c r="AH28" s="108"/>
      <c r="AI28" s="100"/>
      <c r="AJ28" s="110"/>
      <c r="AK28" s="110"/>
      <c r="AL28" s="100"/>
      <c r="AM28" s="100"/>
      <c r="AN28" s="110"/>
      <c r="AO28" s="100"/>
      <c r="AP28" s="100"/>
      <c r="AQ28" s="110"/>
      <c r="AR28" s="100"/>
      <c r="AS28" s="111"/>
      <c r="AT28" s="111"/>
    </row>
    <row r="29" spans="1:46" ht="16.3">
      <c r="A29" s="83" t="s">
        <v>3</v>
      </c>
      <c r="B29" s="247">
        <f>SUM(J29+K29+L29+M29+N29+S29+V29+W29+X29+AA29+AI29+AJ29+AI29+AM29+AP29+AQ29+AS29+AT29+AU29+AV29)+37</f>
        <v>47</v>
      </c>
      <c r="C29" s="214">
        <f t="shared" si="5"/>
        <v>47</v>
      </c>
      <c r="D29" s="133"/>
      <c r="E29" s="134"/>
      <c r="F29" s="135"/>
      <c r="G29" s="136"/>
      <c r="H29" s="107"/>
      <c r="I29" s="96"/>
      <c r="J29" s="104"/>
      <c r="K29" s="75"/>
      <c r="L29" s="75"/>
      <c r="M29" s="75">
        <v>1</v>
      </c>
      <c r="N29" s="162">
        <v>4</v>
      </c>
      <c r="O29" s="109"/>
      <c r="P29" s="108"/>
      <c r="Q29" s="109"/>
      <c r="R29" s="109"/>
      <c r="S29" s="100"/>
      <c r="T29" s="110"/>
      <c r="U29" s="110"/>
      <c r="V29" s="100"/>
      <c r="W29" s="150">
        <v>3</v>
      </c>
      <c r="X29" s="100">
        <v>1</v>
      </c>
      <c r="Y29" s="110">
        <v>1</v>
      </c>
      <c r="Z29" s="110"/>
      <c r="AA29" s="100">
        <v>1</v>
      </c>
      <c r="AB29" s="109"/>
      <c r="AC29" s="108"/>
      <c r="AD29" s="109"/>
      <c r="AE29" s="109"/>
      <c r="AF29" s="109"/>
      <c r="AG29" s="109"/>
      <c r="AH29" s="108"/>
      <c r="AI29" s="100"/>
      <c r="AJ29" s="150"/>
      <c r="AK29" s="110"/>
      <c r="AL29" s="100"/>
      <c r="AM29" s="100"/>
      <c r="AN29" s="150"/>
      <c r="AO29" s="100"/>
      <c r="AP29" s="100"/>
      <c r="AQ29" s="110"/>
      <c r="AR29" s="100"/>
      <c r="AS29" s="111"/>
      <c r="AT29" s="111"/>
    </row>
    <row r="30" spans="1:46" ht="17" thickBot="1">
      <c r="A30" s="85" t="s">
        <v>4</v>
      </c>
      <c r="B30" s="250">
        <f>SUM(J30+K30+L30+M30+N30+S30+V30+W30+X30+AA30+AI30+AJ30+AI30+AM30+AP30+AQ30+AS30+AT30+AU30+AV30)+185</f>
        <v>235</v>
      </c>
      <c r="C30" s="217">
        <f t="shared" si="5"/>
        <v>235</v>
      </c>
      <c r="D30" s="144"/>
      <c r="E30" s="145"/>
      <c r="F30" s="146"/>
      <c r="G30" s="147"/>
      <c r="H30" s="130"/>
      <c r="I30" s="114"/>
      <c r="J30" s="113"/>
      <c r="K30" s="112"/>
      <c r="L30" s="112"/>
      <c r="M30" s="112">
        <v>5</v>
      </c>
      <c r="N30" s="582">
        <v>20</v>
      </c>
      <c r="O30" s="118"/>
      <c r="P30" s="127"/>
      <c r="Q30" s="118"/>
      <c r="R30" s="118"/>
      <c r="S30" s="116"/>
      <c r="T30" s="120"/>
      <c r="U30" s="120"/>
      <c r="V30" s="116"/>
      <c r="W30" s="116">
        <v>15</v>
      </c>
      <c r="X30" s="116">
        <v>5</v>
      </c>
      <c r="Y30" s="120">
        <v>5</v>
      </c>
      <c r="Z30" s="120"/>
      <c r="AA30" s="116">
        <v>5</v>
      </c>
      <c r="AB30" s="118"/>
      <c r="AC30" s="117"/>
      <c r="AD30" s="118"/>
      <c r="AE30" s="118"/>
      <c r="AF30" s="118"/>
      <c r="AG30" s="118"/>
      <c r="AH30" s="117"/>
      <c r="AI30" s="116"/>
      <c r="AJ30" s="120"/>
      <c r="AK30" s="120"/>
      <c r="AL30" s="116"/>
      <c r="AM30" s="116"/>
      <c r="AN30" s="120"/>
      <c r="AO30" s="116"/>
      <c r="AP30" s="116"/>
      <c r="AQ30" s="120"/>
      <c r="AR30" s="116"/>
      <c r="AS30" s="121"/>
      <c r="AT30" s="121"/>
    </row>
    <row r="31" spans="1:46" ht="21.1">
      <c r="A31" s="82" t="s">
        <v>178</v>
      </c>
      <c r="B31" s="247"/>
      <c r="C31" s="214"/>
      <c r="D31" s="133"/>
      <c r="E31" s="134"/>
      <c r="F31" s="135"/>
      <c r="G31" s="136"/>
      <c r="H31" s="107"/>
      <c r="I31" s="96">
        <v>14</v>
      </c>
      <c r="J31" s="104">
        <v>11</v>
      </c>
      <c r="K31" s="75" t="s">
        <v>339</v>
      </c>
      <c r="L31" s="75" t="s">
        <v>339</v>
      </c>
      <c r="M31" s="75" t="s">
        <v>339</v>
      </c>
      <c r="N31" s="104" t="s">
        <v>339</v>
      </c>
      <c r="O31" s="109" t="s">
        <v>339</v>
      </c>
      <c r="P31" s="108"/>
      <c r="Q31" s="109" t="s">
        <v>339</v>
      </c>
      <c r="R31" s="109" t="s">
        <v>339</v>
      </c>
      <c r="S31" s="100" t="s">
        <v>339</v>
      </c>
      <c r="T31" s="110" t="s">
        <v>860</v>
      </c>
      <c r="U31" s="110" t="s">
        <v>703</v>
      </c>
      <c r="V31" s="100" t="s">
        <v>703</v>
      </c>
      <c r="W31" s="102" t="s">
        <v>367</v>
      </c>
      <c r="X31" s="102">
        <v>11</v>
      </c>
      <c r="Y31" s="101" t="s">
        <v>339</v>
      </c>
      <c r="Z31" s="101" t="s">
        <v>379</v>
      </c>
      <c r="AA31" s="102"/>
      <c r="AB31" s="99" t="s">
        <v>375</v>
      </c>
      <c r="AC31" s="98"/>
      <c r="AD31" s="99">
        <v>15</v>
      </c>
      <c r="AE31" s="99"/>
      <c r="AF31" s="99">
        <v>14</v>
      </c>
      <c r="AG31" s="99" t="s">
        <v>367</v>
      </c>
      <c r="AH31" s="98"/>
      <c r="AI31" s="102"/>
      <c r="AJ31" s="101"/>
      <c r="AK31" s="101"/>
      <c r="AL31" s="102"/>
      <c r="AM31" s="102"/>
      <c r="AN31" s="101"/>
      <c r="AO31" s="102"/>
      <c r="AP31" s="102"/>
      <c r="AQ31" s="101"/>
      <c r="AR31" s="102"/>
      <c r="AS31" s="103"/>
      <c r="AT31" s="103"/>
    </row>
    <row r="32" spans="1:46" ht="16.3">
      <c r="A32" s="246" t="s">
        <v>1</v>
      </c>
      <c r="B32" s="248">
        <f>SUM(J32+K32+L32+M32+N32+S32+V32+W32+X32+AA32+AI32+AJ32+AI32+AM32+AP32+AQ32+AS32+AT32+AU32+AV32+AN32)+30</f>
        <v>33</v>
      </c>
      <c r="C32" s="215">
        <f>B32</f>
        <v>33</v>
      </c>
      <c r="D32" s="139"/>
      <c r="E32" s="140"/>
      <c r="F32" s="135"/>
      <c r="G32" s="136"/>
      <c r="H32" s="107"/>
      <c r="I32" s="96">
        <v>1</v>
      </c>
      <c r="J32" s="104">
        <v>1</v>
      </c>
      <c r="K32" s="75"/>
      <c r="L32" s="75"/>
      <c r="M32" s="75"/>
      <c r="N32" s="104"/>
      <c r="O32" s="109"/>
      <c r="P32" s="108"/>
      <c r="Q32" s="109"/>
      <c r="R32" s="109"/>
      <c r="S32" s="100"/>
      <c r="T32" s="110">
        <v>1</v>
      </c>
      <c r="U32" s="110"/>
      <c r="V32" s="100"/>
      <c r="W32" s="100">
        <v>1</v>
      </c>
      <c r="X32" s="100">
        <v>1</v>
      </c>
      <c r="Y32" s="110"/>
      <c r="Z32" s="110">
        <v>1</v>
      </c>
      <c r="AA32" s="100"/>
      <c r="AB32" s="109"/>
      <c r="AC32" s="108"/>
      <c r="AD32" s="109">
        <v>1</v>
      </c>
      <c r="AE32" s="109"/>
      <c r="AF32" s="109">
        <v>1</v>
      </c>
      <c r="AG32" s="109">
        <v>1</v>
      </c>
      <c r="AH32" s="108"/>
      <c r="AI32" s="100"/>
      <c r="AJ32" s="110"/>
      <c r="AK32" s="110"/>
      <c r="AL32" s="100"/>
      <c r="AM32" s="100"/>
      <c r="AN32" s="110"/>
      <c r="AO32" s="100"/>
      <c r="AP32" s="100"/>
      <c r="AQ32" s="110"/>
      <c r="AR32" s="100"/>
      <c r="AS32" s="111"/>
      <c r="AT32" s="111"/>
    </row>
    <row r="33" spans="1:46" ht="16.3">
      <c r="A33" s="246" t="s">
        <v>2</v>
      </c>
      <c r="B33" s="248">
        <f>SUM(J33+K33+L33+M33+N33+S33+V33+W33+X33+AA33+AI33+AJ33+AI33+AM33+AP33+AQ33+AS33+AT33+AU33+AV33)+4</f>
        <v>4</v>
      </c>
      <c r="C33" s="215">
        <f t="shared" ref="C33:C38" si="7">B33</f>
        <v>4</v>
      </c>
      <c r="D33" s="139"/>
      <c r="E33" s="140"/>
      <c r="F33" s="135"/>
      <c r="G33" s="136"/>
      <c r="H33" s="107"/>
      <c r="I33" s="96"/>
      <c r="J33" s="104"/>
      <c r="K33" s="75"/>
      <c r="L33" s="75"/>
      <c r="M33" s="75"/>
      <c r="N33" s="104"/>
      <c r="O33" s="109"/>
      <c r="P33" s="108"/>
      <c r="Q33" s="109"/>
      <c r="R33" s="109"/>
      <c r="S33" s="100"/>
      <c r="T33" s="110"/>
      <c r="U33" s="110"/>
      <c r="V33" s="100"/>
      <c r="W33" s="100"/>
      <c r="X33" s="100"/>
      <c r="Y33" s="110"/>
      <c r="Z33" s="110"/>
      <c r="AA33" s="100"/>
      <c r="AB33" s="109">
        <v>1</v>
      </c>
      <c r="AC33" s="108"/>
      <c r="AD33" s="109"/>
      <c r="AE33" s="109"/>
      <c r="AF33" s="109"/>
      <c r="AG33" s="109"/>
      <c r="AH33" s="108"/>
      <c r="AI33" s="100"/>
      <c r="AJ33" s="110"/>
      <c r="AK33" s="110"/>
      <c r="AL33" s="100"/>
      <c r="AM33" s="100"/>
      <c r="AN33" s="110"/>
      <c r="AO33" s="100"/>
      <c r="AP33" s="100"/>
      <c r="AQ33" s="110"/>
      <c r="AR33" s="100"/>
      <c r="AS33" s="111"/>
      <c r="AT33" s="111"/>
    </row>
    <row r="34" spans="1:46" ht="16.3">
      <c r="A34" s="83" t="s">
        <v>363</v>
      </c>
      <c r="B34" s="247">
        <f>SUM(B32+B33)</f>
        <v>37</v>
      </c>
      <c r="C34" s="214">
        <f t="shared" si="7"/>
        <v>37</v>
      </c>
      <c r="D34" s="133"/>
      <c r="E34" s="134"/>
      <c r="F34" s="135"/>
      <c r="G34" s="136"/>
      <c r="H34" s="107"/>
      <c r="I34" s="96"/>
      <c r="J34" s="104"/>
      <c r="K34" s="75"/>
      <c r="L34" s="75"/>
      <c r="M34" s="75"/>
      <c r="N34" s="104"/>
      <c r="O34" s="109"/>
      <c r="P34" s="108"/>
      <c r="Q34" s="109"/>
      <c r="R34" s="109"/>
      <c r="S34" s="100"/>
      <c r="T34" s="110"/>
      <c r="U34" s="110"/>
      <c r="V34" s="100"/>
      <c r="W34" s="100"/>
      <c r="X34" s="100"/>
      <c r="Y34" s="110"/>
      <c r="Z34" s="110"/>
      <c r="AA34" s="100"/>
      <c r="AB34" s="109"/>
      <c r="AC34" s="108"/>
      <c r="AD34" s="109"/>
      <c r="AE34" s="109"/>
      <c r="AF34" s="109"/>
      <c r="AG34" s="109"/>
      <c r="AH34" s="108"/>
      <c r="AI34" s="100"/>
      <c r="AJ34" s="110"/>
      <c r="AK34" s="110"/>
      <c r="AL34" s="100"/>
      <c r="AM34" s="100"/>
      <c r="AN34" s="110"/>
      <c r="AO34" s="100"/>
      <c r="AP34" s="100"/>
      <c r="AQ34" s="110"/>
      <c r="AR34" s="100"/>
      <c r="AS34" s="111"/>
      <c r="AT34" s="111"/>
    </row>
    <row r="35" spans="1:46" ht="16.3">
      <c r="A35" s="246" t="s">
        <v>362</v>
      </c>
      <c r="B35" s="248">
        <f>SUM(J35+K35+L35+M35+N35+S35+V35+W35+X35+AA35+AI35+AJ35+AI35+AM35+AP35+AQ35+AS35+AT35+AU35+AV35)+1</f>
        <v>1</v>
      </c>
      <c r="C35" s="215">
        <f t="shared" si="7"/>
        <v>1</v>
      </c>
      <c r="D35" s="139"/>
      <c r="E35" s="140"/>
      <c r="F35" s="135"/>
      <c r="G35" s="136"/>
      <c r="H35" s="107"/>
      <c r="I35" s="96"/>
      <c r="J35" s="104"/>
      <c r="K35" s="75"/>
      <c r="L35" s="75"/>
      <c r="M35" s="75"/>
      <c r="N35" s="104"/>
      <c r="O35" s="109"/>
      <c r="P35" s="108"/>
      <c r="Q35" s="109"/>
      <c r="R35" s="109"/>
      <c r="S35" s="100"/>
      <c r="T35" s="110"/>
      <c r="U35" s="110"/>
      <c r="V35" s="100"/>
      <c r="W35" s="100"/>
      <c r="X35" s="100"/>
      <c r="Y35" s="110"/>
      <c r="Z35" s="110"/>
      <c r="AA35" s="100"/>
      <c r="AB35" s="109"/>
      <c r="AC35" s="108"/>
      <c r="AD35" s="109"/>
      <c r="AE35" s="109"/>
      <c r="AF35" s="109"/>
      <c r="AG35" s="109"/>
      <c r="AH35" s="108"/>
      <c r="AI35" s="100"/>
      <c r="AJ35" s="110"/>
      <c r="AK35" s="110"/>
      <c r="AL35" s="100"/>
      <c r="AM35" s="100"/>
      <c r="AN35" s="110"/>
      <c r="AO35" s="100"/>
      <c r="AP35" s="100"/>
      <c r="AQ35" s="110"/>
      <c r="AR35" s="100"/>
      <c r="AS35" s="111"/>
      <c r="AT35" s="111"/>
    </row>
    <row r="36" spans="1:46" ht="16.3">
      <c r="A36" s="246" t="s">
        <v>364</v>
      </c>
      <c r="B36" s="248">
        <f>SUM(J36+K36+L36+M36+N36+S36+V36+W36+X36+AA36+AI36+AJ36+AI36+AM36+AP36+AQ36+AS36+AT36+AU36+AV36)</f>
        <v>0</v>
      </c>
      <c r="C36" s="215">
        <f t="shared" ref="C36" si="8">B36</f>
        <v>0</v>
      </c>
      <c r="D36" s="139"/>
      <c r="E36" s="140"/>
      <c r="F36" s="135"/>
      <c r="G36" s="136"/>
      <c r="H36" s="107"/>
      <c r="I36" s="96"/>
      <c r="J36" s="104"/>
      <c r="K36" s="75"/>
      <c r="L36" s="75"/>
      <c r="M36" s="75"/>
      <c r="N36" s="104"/>
      <c r="O36" s="109"/>
      <c r="P36" s="108"/>
      <c r="Q36" s="109"/>
      <c r="R36" s="109"/>
      <c r="S36" s="100"/>
      <c r="T36" s="110">
        <v>1</v>
      </c>
      <c r="U36" s="110"/>
      <c r="V36" s="100"/>
      <c r="W36" s="100"/>
      <c r="X36" s="100"/>
      <c r="Y36" s="110"/>
      <c r="Z36" s="110"/>
      <c r="AA36" s="100"/>
      <c r="AB36" s="109"/>
      <c r="AC36" s="108"/>
      <c r="AD36" s="109"/>
      <c r="AE36" s="109"/>
      <c r="AF36" s="109"/>
      <c r="AG36" s="109"/>
      <c r="AH36" s="108"/>
      <c r="AI36" s="100"/>
      <c r="AJ36" s="110"/>
      <c r="AK36" s="110"/>
      <c r="AL36" s="100"/>
      <c r="AM36" s="100"/>
      <c r="AN36" s="110"/>
      <c r="AO36" s="100"/>
      <c r="AP36" s="100"/>
      <c r="AQ36" s="110"/>
      <c r="AR36" s="100"/>
      <c r="AS36" s="111"/>
      <c r="AT36" s="111"/>
    </row>
    <row r="37" spans="1:46" ht="16.3">
      <c r="A37" s="83" t="s">
        <v>3</v>
      </c>
      <c r="B37" s="247">
        <f>SUM(J37+K37+L37+M37+N37+S37+V37+W37+X37+AA37+AI37+AJ37+AI37+AM37+AP37+AQ37+AS37+AT37+AU37+AV37)+12</f>
        <v>12</v>
      </c>
      <c r="C37" s="214">
        <f t="shared" si="7"/>
        <v>12</v>
      </c>
      <c r="D37" s="133"/>
      <c r="E37" s="134"/>
      <c r="F37" s="135"/>
      <c r="G37" s="136"/>
      <c r="H37" s="107"/>
      <c r="I37" s="96">
        <v>2</v>
      </c>
      <c r="J37" s="104"/>
      <c r="K37" s="75"/>
      <c r="L37" s="75"/>
      <c r="M37" s="75"/>
      <c r="N37" s="104"/>
      <c r="O37" s="109"/>
      <c r="P37" s="108"/>
      <c r="Q37" s="109"/>
      <c r="R37" s="109"/>
      <c r="S37" s="100"/>
      <c r="T37" s="110">
        <v>2</v>
      </c>
      <c r="U37" s="110"/>
      <c r="V37" s="100"/>
      <c r="W37" s="100"/>
      <c r="X37" s="100"/>
      <c r="Y37" s="110"/>
      <c r="Z37" s="110"/>
      <c r="AA37" s="100"/>
      <c r="AB37" s="109"/>
      <c r="AC37" s="108"/>
      <c r="AD37" s="109"/>
      <c r="AE37" s="150"/>
      <c r="AF37" s="109">
        <v>1</v>
      </c>
      <c r="AG37" s="109"/>
      <c r="AH37" s="108"/>
      <c r="AI37" s="100"/>
      <c r="AJ37" s="110"/>
      <c r="AK37" s="110"/>
      <c r="AL37" s="100"/>
      <c r="AM37" s="100"/>
      <c r="AN37" s="110"/>
      <c r="AO37" s="100"/>
      <c r="AP37" s="100"/>
      <c r="AQ37" s="110"/>
      <c r="AR37" s="100"/>
      <c r="AS37" s="111"/>
      <c r="AT37" s="111"/>
    </row>
    <row r="38" spans="1:46" ht="17" thickBot="1">
      <c r="A38" s="85" t="s">
        <v>4</v>
      </c>
      <c r="B38" s="250">
        <f>SUM(J38+K38+L38+M38+N38+S38+V38+W38+X38+AA38+AI38+AJ38+AI38+AM38+AP38+AQ38+AS38+AT38+AU38+AV38)+60</f>
        <v>60</v>
      </c>
      <c r="C38" s="217">
        <f t="shared" si="7"/>
        <v>60</v>
      </c>
      <c r="D38" s="144"/>
      <c r="E38" s="145"/>
      <c r="F38" s="146"/>
      <c r="G38" s="147"/>
      <c r="H38" s="130"/>
      <c r="I38" s="114">
        <v>10</v>
      </c>
      <c r="J38" s="113"/>
      <c r="K38" s="112"/>
      <c r="L38" s="112"/>
      <c r="M38" s="112"/>
      <c r="N38" s="113"/>
      <c r="O38" s="118"/>
      <c r="P38" s="117"/>
      <c r="Q38" s="118"/>
      <c r="R38" s="118"/>
      <c r="S38" s="116"/>
      <c r="T38" s="120">
        <v>10</v>
      </c>
      <c r="U38" s="120"/>
      <c r="V38" s="116"/>
      <c r="W38" s="116"/>
      <c r="X38" s="116"/>
      <c r="Y38" s="120"/>
      <c r="Z38" s="120"/>
      <c r="AA38" s="116"/>
      <c r="AB38" s="118"/>
      <c r="AC38" s="117"/>
      <c r="AD38" s="118"/>
      <c r="AE38" s="118"/>
      <c r="AF38" s="118">
        <v>5</v>
      </c>
      <c r="AG38" s="118"/>
      <c r="AH38" s="117"/>
      <c r="AI38" s="116"/>
      <c r="AJ38" s="120"/>
      <c r="AK38" s="120"/>
      <c r="AL38" s="116"/>
      <c r="AM38" s="116"/>
      <c r="AN38" s="120"/>
      <c r="AO38" s="116"/>
      <c r="AP38" s="116"/>
      <c r="AQ38" s="120"/>
      <c r="AR38" s="116"/>
      <c r="AS38" s="121"/>
      <c r="AT38" s="121"/>
    </row>
    <row r="39" spans="1:46" ht="21.1">
      <c r="A39" s="82" t="s">
        <v>650</v>
      </c>
      <c r="B39" s="247"/>
      <c r="C39" s="214"/>
      <c r="D39" s="133"/>
      <c r="E39" s="134"/>
      <c r="F39" s="135"/>
      <c r="G39" s="136"/>
      <c r="H39" s="107"/>
      <c r="I39" s="96" t="s">
        <v>432</v>
      </c>
      <c r="J39" s="104"/>
      <c r="K39" s="75">
        <v>11</v>
      </c>
      <c r="L39" s="75"/>
      <c r="M39" s="75"/>
      <c r="N39" s="104"/>
      <c r="O39" s="109"/>
      <c r="P39" s="108"/>
      <c r="Q39" s="109"/>
      <c r="R39" s="109"/>
      <c r="S39" s="100"/>
      <c r="T39" s="110"/>
      <c r="U39" s="110"/>
      <c r="V39" s="100"/>
      <c r="W39" s="102"/>
      <c r="X39" s="102"/>
      <c r="Y39" s="101"/>
      <c r="Z39" s="101"/>
      <c r="AA39" s="102"/>
      <c r="AB39" s="99">
        <v>15</v>
      </c>
      <c r="AC39" s="98"/>
      <c r="AD39" s="99" t="s">
        <v>375</v>
      </c>
      <c r="AE39" s="99" t="s">
        <v>379</v>
      </c>
      <c r="AF39" s="99">
        <v>11</v>
      </c>
      <c r="AG39" s="99">
        <v>14</v>
      </c>
      <c r="AH39" s="98"/>
      <c r="AI39" s="102"/>
      <c r="AJ39" s="101"/>
      <c r="AK39" s="101"/>
      <c r="AL39" s="102"/>
      <c r="AM39" s="102"/>
      <c r="AN39" s="101"/>
      <c r="AO39" s="102"/>
      <c r="AP39" s="102"/>
      <c r="AQ39" s="101"/>
      <c r="AR39" s="102"/>
      <c r="AS39" s="103"/>
      <c r="AT39" s="103"/>
    </row>
    <row r="40" spans="1:46" ht="16.3">
      <c r="A40" s="246" t="s">
        <v>1</v>
      </c>
      <c r="B40" s="248">
        <f>SUM(J40+K40+L40+M40+N40+S40+V40+W40+X40+AA40+AI40+AJ40+AI40+AM40+AP40+AQ40+AS40+AT40+AU40+AV40+AN40)</f>
        <v>1</v>
      </c>
      <c r="C40" s="215">
        <f>B40</f>
        <v>1</v>
      </c>
      <c r="D40" s="139"/>
      <c r="E40" s="140"/>
      <c r="F40" s="135"/>
      <c r="G40" s="136"/>
      <c r="H40" s="107"/>
      <c r="I40" s="96"/>
      <c r="J40" s="104"/>
      <c r="K40" s="75">
        <v>1</v>
      </c>
      <c r="L40" s="75"/>
      <c r="M40" s="75"/>
      <c r="N40" s="104"/>
      <c r="O40" s="109"/>
      <c r="P40" s="108"/>
      <c r="Q40" s="109"/>
      <c r="R40" s="109"/>
      <c r="S40" s="100"/>
      <c r="T40" s="110"/>
      <c r="U40" s="110"/>
      <c r="V40" s="100"/>
      <c r="W40" s="100"/>
      <c r="X40" s="100"/>
      <c r="Y40" s="110"/>
      <c r="Z40" s="110"/>
      <c r="AA40" s="100"/>
      <c r="AB40" s="109">
        <v>1</v>
      </c>
      <c r="AC40" s="108"/>
      <c r="AD40" s="109"/>
      <c r="AE40" s="109">
        <v>1</v>
      </c>
      <c r="AF40" s="109">
        <v>1</v>
      </c>
      <c r="AG40" s="109">
        <v>1</v>
      </c>
      <c r="AH40" s="108"/>
      <c r="AI40" s="100"/>
      <c r="AJ40" s="110"/>
      <c r="AK40" s="110"/>
      <c r="AL40" s="100"/>
      <c r="AM40" s="100"/>
      <c r="AN40" s="110"/>
      <c r="AO40" s="100"/>
      <c r="AP40" s="100"/>
      <c r="AQ40" s="110"/>
      <c r="AR40" s="100"/>
      <c r="AS40" s="111"/>
      <c r="AT40" s="111"/>
    </row>
    <row r="41" spans="1:46" ht="16.3">
      <c r="A41" s="246" t="s">
        <v>2</v>
      </c>
      <c r="B41" s="248">
        <f>SUM(J41+K41+L41+M41+N41+S41+V41+W41+X41+AA41+AI41+AJ41+AI41+AM41+AP41+AQ41+AS41+AT41+AU41+AV41)</f>
        <v>0</v>
      </c>
      <c r="C41" s="215">
        <f t="shared" ref="C41:C43" si="9">B41</f>
        <v>0</v>
      </c>
      <c r="D41" s="139"/>
      <c r="E41" s="140"/>
      <c r="F41" s="135"/>
      <c r="G41" s="136"/>
      <c r="H41" s="107"/>
      <c r="I41" s="96">
        <v>1</v>
      </c>
      <c r="J41" s="104"/>
      <c r="K41" s="75"/>
      <c r="L41" s="75"/>
      <c r="M41" s="75"/>
      <c r="N41" s="104"/>
      <c r="O41" s="109"/>
      <c r="P41" s="108"/>
      <c r="Q41" s="109"/>
      <c r="R41" s="109"/>
      <c r="S41" s="100"/>
      <c r="T41" s="110"/>
      <c r="U41" s="110"/>
      <c r="V41" s="100"/>
      <c r="W41" s="100"/>
      <c r="X41" s="100"/>
      <c r="Y41" s="110"/>
      <c r="Z41" s="110"/>
      <c r="AA41" s="100"/>
      <c r="AB41" s="109"/>
      <c r="AC41" s="108"/>
      <c r="AD41" s="109">
        <v>1</v>
      </c>
      <c r="AE41" s="109"/>
      <c r="AF41" s="109"/>
      <c r="AG41" s="109"/>
      <c r="AH41" s="108"/>
      <c r="AI41" s="100"/>
      <c r="AJ41" s="110"/>
      <c r="AK41" s="110"/>
      <c r="AL41" s="100"/>
      <c r="AM41" s="100"/>
      <c r="AN41" s="110"/>
      <c r="AO41" s="100"/>
      <c r="AP41" s="100"/>
      <c r="AQ41" s="110"/>
      <c r="AR41" s="100"/>
      <c r="AS41" s="111"/>
      <c r="AT41" s="111"/>
    </row>
    <row r="42" spans="1:46" ht="16.3">
      <c r="A42" s="83" t="s">
        <v>363</v>
      </c>
      <c r="B42" s="247">
        <f>SUM(B40+B41)</f>
        <v>1</v>
      </c>
      <c r="C42" s="214">
        <f t="shared" si="9"/>
        <v>1</v>
      </c>
      <c r="D42" s="133"/>
      <c r="E42" s="134"/>
      <c r="F42" s="135"/>
      <c r="G42" s="136"/>
      <c r="H42" s="107"/>
      <c r="I42" s="96"/>
      <c r="J42" s="104"/>
      <c r="K42" s="75"/>
      <c r="L42" s="75"/>
      <c r="M42" s="75"/>
      <c r="N42" s="104"/>
      <c r="O42" s="109"/>
      <c r="P42" s="108"/>
      <c r="Q42" s="109"/>
      <c r="R42" s="109"/>
      <c r="S42" s="100"/>
      <c r="T42" s="110"/>
      <c r="U42" s="110"/>
      <c r="V42" s="100"/>
      <c r="W42" s="100"/>
      <c r="X42" s="100"/>
      <c r="Y42" s="110"/>
      <c r="Z42" s="110"/>
      <c r="AA42" s="100"/>
      <c r="AB42" s="109"/>
      <c r="AC42" s="108"/>
      <c r="AD42" s="109"/>
      <c r="AE42" s="109"/>
      <c r="AF42" s="109"/>
      <c r="AG42" s="109"/>
      <c r="AH42" s="108"/>
      <c r="AI42" s="100"/>
      <c r="AJ42" s="110"/>
      <c r="AK42" s="110"/>
      <c r="AL42" s="100"/>
      <c r="AM42" s="100"/>
      <c r="AN42" s="110"/>
      <c r="AO42" s="100"/>
      <c r="AP42" s="100"/>
      <c r="AQ42" s="110"/>
      <c r="AR42" s="100"/>
      <c r="AS42" s="111"/>
      <c r="AT42" s="111"/>
    </row>
    <row r="43" spans="1:46" ht="16.3">
      <c r="A43" s="83" t="s">
        <v>3</v>
      </c>
      <c r="B43" s="247">
        <f>SUM(J43+K43+L43+M43+N43+S43+V43+W43+X43+AA43+AI43+AJ43+AI43+AM43+AP43+AQ43+AS43+AT43+AU43+AV43)</f>
        <v>0</v>
      </c>
      <c r="C43" s="214">
        <f t="shared" si="9"/>
        <v>0</v>
      </c>
      <c r="D43" s="133"/>
      <c r="E43" s="134"/>
      <c r="F43" s="135"/>
      <c r="G43" s="136"/>
      <c r="H43" s="107"/>
      <c r="I43" s="96"/>
      <c r="J43" s="104"/>
      <c r="K43" s="75"/>
      <c r="L43" s="75"/>
      <c r="M43" s="75"/>
      <c r="N43" s="104"/>
      <c r="O43" s="109"/>
      <c r="P43" s="108"/>
      <c r="Q43" s="109"/>
      <c r="R43" s="109"/>
      <c r="S43" s="100"/>
      <c r="T43" s="110"/>
      <c r="U43" s="110"/>
      <c r="V43" s="100"/>
      <c r="W43" s="100"/>
      <c r="X43" s="100"/>
      <c r="Y43" s="150"/>
      <c r="Z43" s="110"/>
      <c r="AA43" s="100"/>
      <c r="AB43" s="109">
        <v>1</v>
      </c>
      <c r="AC43" s="108"/>
      <c r="AD43" s="109"/>
      <c r="AE43" s="109"/>
      <c r="AF43" s="109"/>
      <c r="AG43" s="109"/>
      <c r="AH43" s="108"/>
      <c r="AI43" s="100"/>
      <c r="AJ43" s="110"/>
      <c r="AK43" s="110"/>
      <c r="AL43" s="100"/>
      <c r="AM43" s="100"/>
      <c r="AN43" s="110"/>
      <c r="AO43" s="100"/>
      <c r="AP43" s="100"/>
      <c r="AQ43" s="110"/>
      <c r="AR43" s="100"/>
      <c r="AS43" s="111"/>
      <c r="AT43" s="111"/>
    </row>
    <row r="44" spans="1:46" ht="17" thickBot="1">
      <c r="A44" s="85" t="s">
        <v>4</v>
      </c>
      <c r="B44" s="250">
        <f>SUM(J44+K44+L44+M44+N44+S44+V44+W44+X44+AA44+AI44+AJ44+AI44+AM44+AP44+AQ44+AS44+AT44+AU44+AV44)</f>
        <v>0</v>
      </c>
      <c r="C44" s="217">
        <f t="shared" ref="C44" si="10">B44</f>
        <v>0</v>
      </c>
      <c r="D44" s="144"/>
      <c r="E44" s="145"/>
      <c r="F44" s="146"/>
      <c r="G44" s="147"/>
      <c r="H44" s="130"/>
      <c r="I44" s="114"/>
      <c r="J44" s="113"/>
      <c r="K44" s="112"/>
      <c r="L44" s="112"/>
      <c r="M44" s="112"/>
      <c r="N44" s="113"/>
      <c r="O44" s="118"/>
      <c r="P44" s="127"/>
      <c r="Q44" s="118"/>
      <c r="R44" s="118"/>
      <c r="S44" s="116"/>
      <c r="T44" s="120"/>
      <c r="U44" s="120"/>
      <c r="V44" s="116"/>
      <c r="W44" s="116"/>
      <c r="X44" s="116"/>
      <c r="Y44" s="120"/>
      <c r="Z44" s="120"/>
      <c r="AA44" s="116"/>
      <c r="AB44" s="118">
        <v>5</v>
      </c>
      <c r="AC44" s="117"/>
      <c r="AD44" s="118"/>
      <c r="AE44" s="118"/>
      <c r="AF44" s="118"/>
      <c r="AG44" s="118"/>
      <c r="AH44" s="117"/>
      <c r="AI44" s="116"/>
      <c r="AJ44" s="120"/>
      <c r="AK44" s="120"/>
      <c r="AL44" s="116"/>
      <c r="AM44" s="116"/>
      <c r="AN44" s="120"/>
      <c r="AO44" s="116"/>
      <c r="AP44" s="116"/>
      <c r="AQ44" s="120"/>
      <c r="AR44" s="116"/>
      <c r="AS44" s="121"/>
      <c r="AT44" s="121"/>
    </row>
    <row r="45" spans="1:46" ht="21.1">
      <c r="A45" s="82" t="s">
        <v>272</v>
      </c>
      <c r="B45" s="247"/>
      <c r="C45" s="214"/>
      <c r="D45" s="133"/>
      <c r="E45" s="134"/>
      <c r="F45" s="135"/>
      <c r="G45" s="136"/>
      <c r="H45" s="107"/>
      <c r="I45" s="96" t="s">
        <v>339</v>
      </c>
      <c r="J45" s="104" t="s">
        <v>339</v>
      </c>
      <c r="K45" s="75" t="s">
        <v>339</v>
      </c>
      <c r="L45" s="75" t="s">
        <v>339</v>
      </c>
      <c r="M45" s="75" t="s">
        <v>339</v>
      </c>
      <c r="N45" s="104" t="s">
        <v>339</v>
      </c>
      <c r="O45" s="109" t="s">
        <v>339</v>
      </c>
      <c r="P45" s="108"/>
      <c r="Q45" s="109" t="s">
        <v>383</v>
      </c>
      <c r="R45" s="109" t="s">
        <v>367</v>
      </c>
      <c r="S45" s="100"/>
      <c r="T45" s="110"/>
      <c r="U45" s="110">
        <v>14</v>
      </c>
      <c r="V45" s="100" t="s">
        <v>375</v>
      </c>
      <c r="W45" s="102" t="s">
        <v>375</v>
      </c>
      <c r="X45" s="102"/>
      <c r="Y45" s="101" t="s">
        <v>367</v>
      </c>
      <c r="Z45" s="101">
        <v>11</v>
      </c>
      <c r="AA45" s="102"/>
      <c r="AB45" s="99" t="s">
        <v>986</v>
      </c>
      <c r="AC45" s="98"/>
      <c r="AD45" s="99">
        <v>14</v>
      </c>
      <c r="AE45" s="99">
        <v>14</v>
      </c>
      <c r="AF45" s="99" t="s">
        <v>339</v>
      </c>
      <c r="AG45" s="99" t="s">
        <v>339</v>
      </c>
      <c r="AH45" s="98"/>
      <c r="AI45" s="102"/>
      <c r="AJ45" s="101"/>
      <c r="AK45" s="101"/>
      <c r="AL45" s="102"/>
      <c r="AM45" s="102"/>
      <c r="AN45" s="101"/>
      <c r="AO45" s="102"/>
      <c r="AP45" s="102"/>
      <c r="AQ45" s="101"/>
      <c r="AR45" s="102"/>
      <c r="AS45" s="103"/>
      <c r="AT45" s="103"/>
    </row>
    <row r="46" spans="1:46" ht="16.3">
      <c r="A46" s="246" t="s">
        <v>1</v>
      </c>
      <c r="B46" s="248">
        <f>SUM(J46+K46+L46+M46+N46+S46+V46+W46+X46+AA46+AI46+AJ46+AI46+AM46+AP46+AQ46+AS46+AT46+AU46+AV46+AN46)+46</f>
        <v>46</v>
      </c>
      <c r="C46" s="215">
        <f>B46</f>
        <v>46</v>
      </c>
      <c r="D46" s="139"/>
      <c r="E46" s="140"/>
      <c r="F46" s="135"/>
      <c r="G46" s="136"/>
      <c r="H46" s="107"/>
      <c r="I46" s="96"/>
      <c r="J46" s="104"/>
      <c r="K46" s="75"/>
      <c r="L46" s="75"/>
      <c r="M46" s="75"/>
      <c r="N46" s="104"/>
      <c r="O46" s="109"/>
      <c r="P46" s="108"/>
      <c r="Q46" s="109">
        <v>1</v>
      </c>
      <c r="R46" s="109">
        <v>1</v>
      </c>
      <c r="S46" s="100"/>
      <c r="T46" s="110"/>
      <c r="U46" s="110">
        <v>1</v>
      </c>
      <c r="V46" s="100"/>
      <c r="W46" s="100"/>
      <c r="X46" s="100"/>
      <c r="Y46" s="110">
        <v>1</v>
      </c>
      <c r="Z46" s="110">
        <v>1</v>
      </c>
      <c r="AA46" s="100"/>
      <c r="AB46" s="109">
        <v>1</v>
      </c>
      <c r="AC46" s="108"/>
      <c r="AD46" s="109">
        <v>1</v>
      </c>
      <c r="AE46" s="109">
        <v>1</v>
      </c>
      <c r="AF46" s="109"/>
      <c r="AG46" s="109"/>
      <c r="AH46" s="108"/>
      <c r="AI46" s="100"/>
      <c r="AJ46" s="110"/>
      <c r="AK46" s="110"/>
      <c r="AL46" s="100"/>
      <c r="AM46" s="100"/>
      <c r="AN46" s="110"/>
      <c r="AO46" s="100"/>
      <c r="AP46" s="100"/>
      <c r="AQ46" s="110"/>
      <c r="AR46" s="100"/>
      <c r="AS46" s="111"/>
      <c r="AT46" s="111"/>
    </row>
    <row r="47" spans="1:46" ht="16.3">
      <c r="A47" s="246" t="s">
        <v>2</v>
      </c>
      <c r="B47" s="248">
        <f>SUM(J47+K47+L47+M47+N47+S47+V47+W47+X47+AA47+AI47+AJ47+AI47+AM47+AP47+AQ47+AS47+AT47+AU47+AV47)+16</f>
        <v>18</v>
      </c>
      <c r="C47" s="215">
        <f t="shared" ref="C47:C51" si="11">B47</f>
        <v>18</v>
      </c>
      <c r="D47" s="139"/>
      <c r="E47" s="140"/>
      <c r="F47" s="135"/>
      <c r="G47" s="136"/>
      <c r="H47" s="107"/>
      <c r="I47" s="96"/>
      <c r="J47" s="104"/>
      <c r="K47" s="75"/>
      <c r="L47" s="75"/>
      <c r="M47" s="75"/>
      <c r="N47" s="104"/>
      <c r="O47" s="109"/>
      <c r="P47" s="108"/>
      <c r="Q47" s="109"/>
      <c r="R47" s="109"/>
      <c r="S47" s="100"/>
      <c r="T47" s="110"/>
      <c r="U47" s="110"/>
      <c r="V47" s="100">
        <v>1</v>
      </c>
      <c r="W47" s="100">
        <v>1</v>
      </c>
      <c r="X47" s="100"/>
      <c r="Y47" s="110"/>
      <c r="Z47" s="110"/>
      <c r="AA47" s="100"/>
      <c r="AB47" s="109"/>
      <c r="AC47" s="108"/>
      <c r="AD47" s="109"/>
      <c r="AE47" s="109"/>
      <c r="AF47" s="109"/>
      <c r="AG47" s="109"/>
      <c r="AH47" s="108"/>
      <c r="AI47" s="100"/>
      <c r="AJ47" s="110"/>
      <c r="AK47" s="110"/>
      <c r="AL47" s="100"/>
      <c r="AM47" s="100"/>
      <c r="AN47" s="110"/>
      <c r="AO47" s="100"/>
      <c r="AP47" s="100"/>
      <c r="AQ47" s="110"/>
      <c r="AR47" s="100"/>
      <c r="AS47" s="111"/>
      <c r="AT47" s="111"/>
    </row>
    <row r="48" spans="1:46" ht="16.3">
      <c r="A48" s="83" t="s">
        <v>363</v>
      </c>
      <c r="B48" s="247">
        <f>SUM(B46+B47)</f>
        <v>64</v>
      </c>
      <c r="C48" s="214">
        <f t="shared" si="11"/>
        <v>64</v>
      </c>
      <c r="D48" s="139"/>
      <c r="E48" s="140"/>
      <c r="F48" s="135"/>
      <c r="G48" s="136"/>
      <c r="H48" s="107"/>
      <c r="I48" s="96"/>
      <c r="J48" s="104"/>
      <c r="K48" s="75"/>
      <c r="L48" s="75"/>
      <c r="M48" s="75"/>
      <c r="N48" s="104"/>
      <c r="O48" s="109"/>
      <c r="P48" s="108"/>
      <c r="Q48" s="109"/>
      <c r="R48" s="109"/>
      <c r="S48" s="100"/>
      <c r="T48" s="110"/>
      <c r="U48" s="110"/>
      <c r="V48" s="100"/>
      <c r="W48" s="100"/>
      <c r="X48" s="100"/>
      <c r="Y48" s="110"/>
      <c r="Z48" s="110"/>
      <c r="AA48" s="100"/>
      <c r="AB48" s="109"/>
      <c r="AC48" s="108"/>
      <c r="AD48" s="109"/>
      <c r="AE48" s="109"/>
      <c r="AF48" s="109"/>
      <c r="AG48" s="109"/>
      <c r="AH48" s="108"/>
      <c r="AI48" s="100"/>
      <c r="AJ48" s="110"/>
      <c r="AK48" s="110"/>
      <c r="AL48" s="100"/>
      <c r="AM48" s="100"/>
      <c r="AN48" s="110"/>
      <c r="AO48" s="100"/>
      <c r="AP48" s="100"/>
      <c r="AQ48" s="110"/>
      <c r="AR48" s="100"/>
      <c r="AS48" s="111"/>
      <c r="AT48" s="111"/>
    </row>
    <row r="49" spans="1:46" ht="16.3">
      <c r="A49" s="246" t="s">
        <v>362</v>
      </c>
      <c r="B49" s="248">
        <f>SUM(J49+K49+L49+M49+N49+S49+V49+W49+X49+AA49+AI49+AJ49+AI49+AM49+AP49+AQ49+AS49+AT49+AU49+AV49)+1</f>
        <v>1</v>
      </c>
      <c r="C49" s="215">
        <f t="shared" si="11"/>
        <v>1</v>
      </c>
      <c r="D49" s="139"/>
      <c r="E49" s="140"/>
      <c r="F49" s="135"/>
      <c r="G49" s="136"/>
      <c r="H49" s="107"/>
      <c r="I49" s="96"/>
      <c r="J49" s="104"/>
      <c r="K49" s="75"/>
      <c r="L49" s="75"/>
      <c r="M49" s="75"/>
      <c r="N49" s="104"/>
      <c r="O49" s="109"/>
      <c r="P49" s="108"/>
      <c r="Q49" s="109"/>
      <c r="R49" s="109"/>
      <c r="S49" s="100"/>
      <c r="T49" s="110"/>
      <c r="U49" s="110"/>
      <c r="V49" s="100"/>
      <c r="W49" s="100"/>
      <c r="X49" s="100"/>
      <c r="Y49" s="110"/>
      <c r="Z49" s="110"/>
      <c r="AA49" s="100"/>
      <c r="AB49" s="109"/>
      <c r="AC49" s="108"/>
      <c r="AD49" s="109"/>
      <c r="AE49" s="109"/>
      <c r="AF49" s="109"/>
      <c r="AG49" s="109"/>
      <c r="AH49" s="108"/>
      <c r="AI49" s="100"/>
      <c r="AJ49" s="110"/>
      <c r="AK49" s="110"/>
      <c r="AL49" s="100"/>
      <c r="AM49" s="100"/>
      <c r="AN49" s="110"/>
      <c r="AO49" s="100"/>
      <c r="AP49" s="100"/>
      <c r="AQ49" s="110"/>
      <c r="AR49" s="100"/>
      <c r="AS49" s="111"/>
      <c r="AT49" s="111"/>
    </row>
    <row r="50" spans="1:46" ht="16.3">
      <c r="A50" s="83" t="s">
        <v>3</v>
      </c>
      <c r="B50" s="247">
        <f>SUM(J50+K50+L50+M50+N50+S50+V50+W50+X50+AA50+AI50+AJ50+AI50+AM50+AP50+AQ50+AS50+AT50+AU50+AV50)+37</f>
        <v>37</v>
      </c>
      <c r="C50" s="214">
        <f t="shared" si="11"/>
        <v>37</v>
      </c>
      <c r="D50" s="133"/>
      <c r="E50" s="134"/>
      <c r="F50" s="135"/>
      <c r="G50" s="136"/>
      <c r="H50" s="107"/>
      <c r="I50" s="96"/>
      <c r="J50" s="104"/>
      <c r="K50" s="75"/>
      <c r="L50" s="75"/>
      <c r="M50" s="75"/>
      <c r="N50" s="104"/>
      <c r="O50" s="109"/>
      <c r="P50" s="108"/>
      <c r="Q50" s="109">
        <v>1</v>
      </c>
      <c r="R50" s="109"/>
      <c r="S50" s="100"/>
      <c r="T50" s="110"/>
      <c r="U50" s="110">
        <v>2</v>
      </c>
      <c r="V50" s="100"/>
      <c r="W50" s="100"/>
      <c r="X50" s="100"/>
      <c r="Y50" s="110"/>
      <c r="Z50" s="110">
        <v>1</v>
      </c>
      <c r="AA50" s="100"/>
      <c r="AB50" s="109"/>
      <c r="AC50" s="108"/>
      <c r="AD50" s="109">
        <v>1</v>
      </c>
      <c r="AE50" s="109">
        <v>1</v>
      </c>
      <c r="AF50" s="109"/>
      <c r="AG50" s="109"/>
      <c r="AH50" s="108"/>
      <c r="AI50" s="100"/>
      <c r="AJ50" s="110"/>
      <c r="AK50" s="110"/>
      <c r="AL50" s="100"/>
      <c r="AM50" s="100"/>
      <c r="AN50" s="110"/>
      <c r="AO50" s="100"/>
      <c r="AP50" s="100"/>
      <c r="AQ50" s="110"/>
      <c r="AR50" s="100"/>
      <c r="AS50" s="111"/>
      <c r="AT50" s="111"/>
    </row>
    <row r="51" spans="1:46" ht="17" thickBot="1">
      <c r="A51" s="85" t="s">
        <v>4</v>
      </c>
      <c r="B51" s="250">
        <f>SUM(J51+K51+L51+M51+N51+S51+V51+W51+X51+AA51+AI51+AJ51+AI51+AM51+AP51+AQ51+AS51+AT51+AU51+AV51)+185</f>
        <v>185</v>
      </c>
      <c r="C51" s="217">
        <f t="shared" si="11"/>
        <v>185</v>
      </c>
      <c r="D51" s="144"/>
      <c r="E51" s="145"/>
      <c r="F51" s="146"/>
      <c r="G51" s="147"/>
      <c r="H51" s="130"/>
      <c r="I51" s="114"/>
      <c r="J51" s="113"/>
      <c r="K51" s="112"/>
      <c r="L51" s="112"/>
      <c r="M51" s="112"/>
      <c r="N51" s="113"/>
      <c r="O51" s="118"/>
      <c r="P51" s="127"/>
      <c r="Q51" s="118">
        <v>5</v>
      </c>
      <c r="R51" s="118"/>
      <c r="S51" s="116"/>
      <c r="T51" s="120"/>
      <c r="U51" s="120">
        <v>10</v>
      </c>
      <c r="V51" s="116"/>
      <c r="W51" s="116"/>
      <c r="X51" s="116"/>
      <c r="Y51" s="120"/>
      <c r="Z51" s="120">
        <v>5</v>
      </c>
      <c r="AA51" s="116"/>
      <c r="AB51" s="118"/>
      <c r="AC51" s="117"/>
      <c r="AD51" s="118">
        <v>5</v>
      </c>
      <c r="AE51" s="118">
        <v>5</v>
      </c>
      <c r="AF51" s="118"/>
      <c r="AG51" s="118"/>
      <c r="AH51" s="117"/>
      <c r="AI51" s="116"/>
      <c r="AJ51" s="120"/>
      <c r="AK51" s="120"/>
      <c r="AL51" s="116"/>
      <c r="AM51" s="116"/>
      <c r="AN51" s="120"/>
      <c r="AO51" s="116"/>
      <c r="AP51" s="116"/>
      <c r="AQ51" s="120"/>
      <c r="AR51" s="116"/>
      <c r="AS51" s="121"/>
      <c r="AT51" s="121"/>
    </row>
    <row r="52" spans="1:46" ht="21.1">
      <c r="A52" s="82" t="s">
        <v>643</v>
      </c>
      <c r="B52" s="247"/>
      <c r="C52" s="214"/>
      <c r="D52" s="133"/>
      <c r="E52" s="134"/>
      <c r="F52" s="135"/>
      <c r="G52" s="136"/>
      <c r="H52" s="107"/>
      <c r="I52" s="96" t="s">
        <v>644</v>
      </c>
      <c r="J52" s="104" t="s">
        <v>695</v>
      </c>
      <c r="K52" s="75">
        <v>14</v>
      </c>
      <c r="L52" s="75" t="s">
        <v>738</v>
      </c>
      <c r="M52" s="75">
        <v>14</v>
      </c>
      <c r="N52" s="104">
        <v>11</v>
      </c>
      <c r="O52" s="109"/>
      <c r="P52" s="108"/>
      <c r="Q52" s="109" t="s">
        <v>782</v>
      </c>
      <c r="R52" s="109" t="s">
        <v>782</v>
      </c>
      <c r="S52" s="100" t="s">
        <v>843</v>
      </c>
      <c r="T52" s="110" t="s">
        <v>703</v>
      </c>
      <c r="U52" s="110" t="s">
        <v>703</v>
      </c>
      <c r="V52" s="100">
        <v>11</v>
      </c>
      <c r="W52" s="100">
        <v>14</v>
      </c>
      <c r="X52" s="100">
        <v>14</v>
      </c>
      <c r="Y52" s="110">
        <v>14</v>
      </c>
      <c r="Z52" s="110" t="s">
        <v>695</v>
      </c>
      <c r="AA52" s="100">
        <v>11</v>
      </c>
      <c r="AB52" s="109"/>
      <c r="AC52" s="108"/>
      <c r="AD52" s="109" t="s">
        <v>339</v>
      </c>
      <c r="AE52" s="109" t="s">
        <v>339</v>
      </c>
      <c r="AF52" s="109" t="s">
        <v>339</v>
      </c>
      <c r="AG52" s="109" t="s">
        <v>339</v>
      </c>
      <c r="AH52" s="108"/>
      <c r="AI52" s="100" t="s">
        <v>339</v>
      </c>
      <c r="AJ52" s="110" t="s">
        <v>339</v>
      </c>
      <c r="AK52" s="110" t="s">
        <v>339</v>
      </c>
      <c r="AL52" s="100" t="s">
        <v>339</v>
      </c>
      <c r="AM52" s="100" t="s">
        <v>339</v>
      </c>
      <c r="AN52" s="110" t="s">
        <v>339</v>
      </c>
      <c r="AO52" s="100" t="s">
        <v>339</v>
      </c>
      <c r="AP52" s="100" t="s">
        <v>339</v>
      </c>
      <c r="AQ52" s="110" t="s">
        <v>339</v>
      </c>
      <c r="AR52" s="100" t="s">
        <v>339</v>
      </c>
      <c r="AS52" s="111"/>
      <c r="AT52" s="111"/>
    </row>
    <row r="53" spans="1:46" ht="16.3">
      <c r="A53" s="246" t="s">
        <v>1</v>
      </c>
      <c r="B53" s="248">
        <f>SUM(J53+K53+L53+M53+N53+S53+V53+W53+X53+AA53+AI53+AJ53+AI53+AM53+AP53+AQ53+AS53+AT53+AU53+AV53+AN53)</f>
        <v>10</v>
      </c>
      <c r="C53" s="215">
        <f>B53</f>
        <v>10</v>
      </c>
      <c r="D53" s="133"/>
      <c r="E53" s="134"/>
      <c r="F53" s="135"/>
      <c r="G53" s="136"/>
      <c r="H53" s="107"/>
      <c r="I53" s="96">
        <v>1</v>
      </c>
      <c r="J53" s="104">
        <v>1</v>
      </c>
      <c r="K53" s="75">
        <v>1</v>
      </c>
      <c r="L53" s="75">
        <v>1</v>
      </c>
      <c r="M53" s="75">
        <v>1</v>
      </c>
      <c r="N53" s="104">
        <v>1</v>
      </c>
      <c r="O53" s="109"/>
      <c r="P53" s="108"/>
      <c r="Q53" s="109"/>
      <c r="R53" s="109"/>
      <c r="S53" s="100">
        <v>1</v>
      </c>
      <c r="T53" s="110"/>
      <c r="U53" s="110"/>
      <c r="V53" s="100">
        <v>1</v>
      </c>
      <c r="W53" s="100">
        <v>1</v>
      </c>
      <c r="X53" s="100">
        <v>1</v>
      </c>
      <c r="Y53" s="110">
        <v>1</v>
      </c>
      <c r="Z53" s="110">
        <v>1</v>
      </c>
      <c r="AA53" s="100">
        <v>1</v>
      </c>
      <c r="AB53" s="109"/>
      <c r="AC53" s="108"/>
      <c r="AD53" s="109"/>
      <c r="AE53" s="109"/>
      <c r="AF53" s="109"/>
      <c r="AG53" s="109"/>
      <c r="AH53" s="108"/>
      <c r="AI53" s="100"/>
      <c r="AJ53" s="110"/>
      <c r="AK53" s="110"/>
      <c r="AL53" s="100"/>
      <c r="AM53" s="100"/>
      <c r="AN53" s="110"/>
      <c r="AO53" s="100"/>
      <c r="AP53" s="100"/>
      <c r="AQ53" s="110"/>
      <c r="AR53" s="100"/>
      <c r="AS53" s="111"/>
      <c r="AT53" s="111"/>
    </row>
    <row r="54" spans="1:46" ht="16.3">
      <c r="A54" s="246" t="s">
        <v>2</v>
      </c>
      <c r="B54" s="248">
        <f>SUM(J54+K54+L54+M54+N54+S54+V54+W54+X54+AA54+AI54+AJ54+AI54+AM54+AP54+AQ54+AS54+AT54+AU54+AV54)</f>
        <v>0</v>
      </c>
      <c r="C54" s="215">
        <f t="shared" ref="C54:C59" si="12">B54</f>
        <v>0</v>
      </c>
      <c r="D54" s="133"/>
      <c r="E54" s="134"/>
      <c r="F54" s="135"/>
      <c r="G54" s="136"/>
      <c r="H54" s="107"/>
      <c r="I54" s="96"/>
      <c r="J54" s="104"/>
      <c r="K54" s="75"/>
      <c r="L54" s="75"/>
      <c r="M54" s="75"/>
      <c r="N54" s="104"/>
      <c r="O54" s="109"/>
      <c r="P54" s="108"/>
      <c r="Q54" s="109"/>
      <c r="R54" s="109"/>
      <c r="S54" s="100"/>
      <c r="T54" s="110"/>
      <c r="U54" s="110"/>
      <c r="V54" s="100"/>
      <c r="W54" s="100"/>
      <c r="X54" s="100"/>
      <c r="Y54" s="110"/>
      <c r="Z54" s="110"/>
      <c r="AA54" s="100"/>
      <c r="AB54" s="109"/>
      <c r="AC54" s="108"/>
      <c r="AD54" s="109"/>
      <c r="AE54" s="109"/>
      <c r="AF54" s="109"/>
      <c r="AG54" s="109"/>
      <c r="AH54" s="108"/>
      <c r="AI54" s="100"/>
      <c r="AJ54" s="110"/>
      <c r="AK54" s="110"/>
      <c r="AL54" s="100"/>
      <c r="AM54" s="100"/>
      <c r="AN54" s="110"/>
      <c r="AO54" s="100"/>
      <c r="AP54" s="100"/>
      <c r="AQ54" s="110"/>
      <c r="AR54" s="100"/>
      <c r="AS54" s="111"/>
      <c r="AT54" s="111"/>
    </row>
    <row r="55" spans="1:46" ht="16.3">
      <c r="A55" s="83" t="s">
        <v>363</v>
      </c>
      <c r="B55" s="247">
        <f>SUM(B53+B54)</f>
        <v>10</v>
      </c>
      <c r="C55" s="214">
        <f t="shared" si="12"/>
        <v>10</v>
      </c>
      <c r="D55" s="133"/>
      <c r="E55" s="134"/>
      <c r="F55" s="135"/>
      <c r="G55" s="136"/>
      <c r="H55" s="107"/>
      <c r="I55" s="96"/>
      <c r="J55" s="104"/>
      <c r="K55" s="75"/>
      <c r="L55" s="75"/>
      <c r="M55" s="75"/>
      <c r="N55" s="104"/>
      <c r="O55" s="109"/>
      <c r="P55" s="108"/>
      <c r="Q55" s="109"/>
      <c r="R55" s="109"/>
      <c r="S55" s="100"/>
      <c r="T55" s="110"/>
      <c r="U55" s="110"/>
      <c r="V55" s="100"/>
      <c r="W55" s="100"/>
      <c r="X55" s="100"/>
      <c r="Y55" s="110"/>
      <c r="Z55" s="110"/>
      <c r="AA55" s="100"/>
      <c r="AB55" s="109"/>
      <c r="AC55" s="108"/>
      <c r="AD55" s="109"/>
      <c r="AE55" s="109"/>
      <c r="AF55" s="109"/>
      <c r="AG55" s="109"/>
      <c r="AH55" s="108"/>
      <c r="AI55" s="100"/>
      <c r="AJ55" s="110"/>
      <c r="AK55" s="110"/>
      <c r="AL55" s="100"/>
      <c r="AM55" s="100"/>
      <c r="AN55" s="110"/>
      <c r="AO55" s="100"/>
      <c r="AP55" s="100"/>
      <c r="AQ55" s="110"/>
      <c r="AR55" s="100"/>
      <c r="AS55" s="111"/>
      <c r="AT55" s="111"/>
    </row>
    <row r="56" spans="1:46" ht="16.3">
      <c r="A56" s="246" t="s">
        <v>364</v>
      </c>
      <c r="B56" s="248">
        <f>SUM(J56+K56+L56+M56+N56+S56+V56+W56+X56+AA56+AI56+AJ56+AI56+AM56+AP56+AQ56+AS56+AT56+AU56+AV56)</f>
        <v>1</v>
      </c>
      <c r="C56" s="215">
        <f t="shared" ref="C56" si="13">B56</f>
        <v>1</v>
      </c>
      <c r="D56" s="133"/>
      <c r="E56" s="134"/>
      <c r="F56" s="135"/>
      <c r="G56" s="136"/>
      <c r="H56" s="107"/>
      <c r="I56" s="96"/>
      <c r="J56" s="104"/>
      <c r="K56" s="75"/>
      <c r="L56" s="75"/>
      <c r="M56" s="75"/>
      <c r="N56" s="104"/>
      <c r="O56" s="109"/>
      <c r="P56" s="108"/>
      <c r="Q56" s="109"/>
      <c r="R56" s="109"/>
      <c r="S56" s="100">
        <v>1</v>
      </c>
      <c r="T56" s="110"/>
      <c r="U56" s="110"/>
      <c r="V56" s="100"/>
      <c r="W56" s="100"/>
      <c r="X56" s="100"/>
      <c r="Y56" s="110"/>
      <c r="Z56" s="110"/>
      <c r="AA56" s="100"/>
      <c r="AB56" s="109"/>
      <c r="AC56" s="108"/>
      <c r="AD56" s="109"/>
      <c r="AE56" s="109"/>
      <c r="AF56" s="109"/>
      <c r="AG56" s="109"/>
      <c r="AH56" s="108"/>
      <c r="AI56" s="100"/>
      <c r="AJ56" s="110"/>
      <c r="AK56" s="110"/>
      <c r="AL56" s="100"/>
      <c r="AM56" s="100"/>
      <c r="AN56" s="110"/>
      <c r="AO56" s="100"/>
      <c r="AP56" s="100"/>
      <c r="AQ56" s="110"/>
      <c r="AR56" s="100"/>
      <c r="AS56" s="111"/>
      <c r="AT56" s="111"/>
    </row>
    <row r="57" spans="1:46" ht="16.3">
      <c r="A57" s="246" t="s">
        <v>746</v>
      </c>
      <c r="B57" s="248">
        <f>SUM(J57+K57+L57+M57+N57+S57+V57+W57+X57+AA57+AI57+AJ57+AI57+AM57+AP57+AQ57+AS57+AT57+AU57+AV57)</f>
        <v>0</v>
      </c>
      <c r="C57" s="215">
        <f t="shared" ref="C57" si="14">B57</f>
        <v>0</v>
      </c>
      <c r="D57" s="133"/>
      <c r="E57" s="134"/>
      <c r="F57" s="135"/>
      <c r="G57" s="136"/>
      <c r="H57" s="107"/>
      <c r="I57" s="96"/>
      <c r="J57" s="104"/>
      <c r="K57" s="75"/>
      <c r="L57" s="75"/>
      <c r="M57" s="75"/>
      <c r="N57" s="104"/>
      <c r="O57" s="109"/>
      <c r="P57" s="108"/>
      <c r="Q57" s="109"/>
      <c r="R57" s="109"/>
      <c r="S57" s="100"/>
      <c r="T57" s="110"/>
      <c r="U57" s="110"/>
      <c r="V57" s="100"/>
      <c r="W57" s="100"/>
      <c r="X57" s="100"/>
      <c r="Y57" s="110"/>
      <c r="Z57" s="110">
        <v>1</v>
      </c>
      <c r="AA57" s="100"/>
      <c r="AB57" s="109"/>
      <c r="AC57" s="108"/>
      <c r="AD57" s="109"/>
      <c r="AE57" s="109"/>
      <c r="AF57" s="109"/>
      <c r="AG57" s="109"/>
      <c r="AH57" s="108"/>
      <c r="AI57" s="100"/>
      <c r="AJ57" s="110"/>
      <c r="AK57" s="110"/>
      <c r="AL57" s="100"/>
      <c r="AM57" s="100"/>
      <c r="AN57" s="110"/>
      <c r="AO57" s="100"/>
      <c r="AP57" s="100"/>
      <c r="AQ57" s="110"/>
      <c r="AR57" s="100"/>
      <c r="AS57" s="111"/>
      <c r="AT57" s="111"/>
    </row>
    <row r="58" spans="1:46" ht="16.3">
      <c r="A58" s="83" t="s">
        <v>3</v>
      </c>
      <c r="B58" s="247">
        <f>SUM(J58+K58+L58+M58+N58+S58+V58+W58+X58+AA58+AI58+AJ58+AI58+AM58+AP58+AQ58+AS58+AT58+AU58+AV58)</f>
        <v>7</v>
      </c>
      <c r="C58" s="214">
        <f t="shared" si="12"/>
        <v>7</v>
      </c>
      <c r="D58" s="133"/>
      <c r="E58" s="134"/>
      <c r="F58" s="135"/>
      <c r="G58" s="136"/>
      <c r="H58" s="107"/>
      <c r="I58" s="96"/>
      <c r="J58" s="104">
        <v>2</v>
      </c>
      <c r="K58" s="75"/>
      <c r="L58" s="75">
        <v>1</v>
      </c>
      <c r="M58" s="75">
        <v>1</v>
      </c>
      <c r="N58" s="104"/>
      <c r="O58" s="109"/>
      <c r="P58" s="108"/>
      <c r="Q58" s="109"/>
      <c r="R58" s="109"/>
      <c r="S58" s="100"/>
      <c r="T58" s="110"/>
      <c r="U58" s="110"/>
      <c r="V58" s="100"/>
      <c r="W58" s="100"/>
      <c r="X58" s="100">
        <v>2</v>
      </c>
      <c r="Y58" s="110"/>
      <c r="Z58" s="150">
        <v>3</v>
      </c>
      <c r="AA58" s="100">
        <v>1</v>
      </c>
      <c r="AB58" s="109"/>
      <c r="AC58" s="108"/>
      <c r="AD58" s="109"/>
      <c r="AE58" s="109"/>
      <c r="AF58" s="109"/>
      <c r="AG58" s="109"/>
      <c r="AH58" s="108"/>
      <c r="AI58" s="100"/>
      <c r="AJ58" s="110"/>
      <c r="AK58" s="110"/>
      <c r="AL58" s="100"/>
      <c r="AM58" s="100"/>
      <c r="AN58" s="110"/>
      <c r="AO58" s="100"/>
      <c r="AP58" s="100"/>
      <c r="AQ58" s="110"/>
      <c r="AR58" s="100"/>
      <c r="AS58" s="111"/>
      <c r="AT58" s="111"/>
    </row>
    <row r="59" spans="1:46" ht="17" thickBot="1">
      <c r="A59" s="85" t="s">
        <v>4</v>
      </c>
      <c r="B59" s="250">
        <f>SUM(J59+K59+L59+M59+N59+S59+V59+W59+X59+AA59+AI59+AJ59+AI59+AM59+AP59+AQ59+AS59+AT59+AU59+AV59)</f>
        <v>35</v>
      </c>
      <c r="C59" s="217">
        <f t="shared" si="12"/>
        <v>35</v>
      </c>
      <c r="D59" s="144"/>
      <c r="E59" s="145"/>
      <c r="F59" s="146"/>
      <c r="G59" s="147"/>
      <c r="H59" s="130"/>
      <c r="I59" s="114"/>
      <c r="J59" s="113">
        <v>10</v>
      </c>
      <c r="K59" s="112"/>
      <c r="L59" s="112">
        <v>5</v>
      </c>
      <c r="M59" s="112">
        <v>5</v>
      </c>
      <c r="N59" s="113"/>
      <c r="O59" s="118"/>
      <c r="P59" s="117"/>
      <c r="Q59" s="118"/>
      <c r="R59" s="118"/>
      <c r="S59" s="116"/>
      <c r="T59" s="120"/>
      <c r="U59" s="120"/>
      <c r="V59" s="116"/>
      <c r="W59" s="116"/>
      <c r="X59" s="116">
        <v>10</v>
      </c>
      <c r="Y59" s="120"/>
      <c r="Z59" s="120">
        <v>15</v>
      </c>
      <c r="AA59" s="116">
        <v>5</v>
      </c>
      <c r="AB59" s="118"/>
      <c r="AC59" s="117"/>
      <c r="AD59" s="118"/>
      <c r="AE59" s="118"/>
      <c r="AF59" s="118"/>
      <c r="AG59" s="118"/>
      <c r="AH59" s="117"/>
      <c r="AI59" s="116"/>
      <c r="AJ59" s="120"/>
      <c r="AK59" s="120"/>
      <c r="AL59" s="116"/>
      <c r="AM59" s="116"/>
      <c r="AN59" s="120"/>
      <c r="AO59" s="116"/>
      <c r="AP59" s="116"/>
      <c r="AQ59" s="120"/>
      <c r="AR59" s="116"/>
      <c r="AS59" s="121"/>
      <c r="AT59" s="121"/>
    </row>
    <row r="60" spans="1:46" ht="21.1">
      <c r="A60" s="82" t="s">
        <v>784</v>
      </c>
      <c r="B60" s="247"/>
      <c r="C60" s="214"/>
      <c r="D60" s="133"/>
      <c r="E60" s="134"/>
      <c r="F60" s="135"/>
      <c r="G60" s="136"/>
      <c r="H60" s="107"/>
      <c r="I60" s="96"/>
      <c r="J60" s="104"/>
      <c r="K60" s="75"/>
      <c r="L60" s="75"/>
      <c r="M60" s="75"/>
      <c r="N60" s="104"/>
      <c r="O60" s="109" t="s">
        <v>787</v>
      </c>
      <c r="P60" s="108"/>
      <c r="Q60" s="109"/>
      <c r="R60" s="109"/>
      <c r="S60" s="100"/>
      <c r="T60" s="110"/>
      <c r="U60" s="110"/>
      <c r="V60" s="100"/>
      <c r="W60" s="100"/>
      <c r="X60" s="100"/>
      <c r="Y60" s="110"/>
      <c r="Z60" s="110"/>
      <c r="AA60" s="100"/>
      <c r="AB60" s="109"/>
      <c r="AC60" s="108"/>
      <c r="AD60" s="109"/>
      <c r="AE60" s="109"/>
      <c r="AF60" s="109"/>
      <c r="AG60" s="109"/>
      <c r="AH60" s="108"/>
      <c r="AI60" s="100"/>
      <c r="AJ60" s="110"/>
      <c r="AK60" s="110"/>
      <c r="AL60" s="100"/>
      <c r="AM60" s="100"/>
      <c r="AN60" s="110"/>
      <c r="AO60" s="100"/>
      <c r="AP60" s="100"/>
      <c r="AQ60" s="110"/>
      <c r="AR60" s="100"/>
      <c r="AS60" s="111"/>
      <c r="AT60" s="111"/>
    </row>
    <row r="61" spans="1:46" ht="16.3">
      <c r="A61" s="246" t="s">
        <v>1</v>
      </c>
      <c r="B61" s="248">
        <f>SUM(J61+K61+L61+M61+N61+S61+V61+W61+X61+AA61+AI61+AJ61+AI61+AM61+AP61+AQ61+AS61+AT61+AU61+AV61+AN61)</f>
        <v>0</v>
      </c>
      <c r="C61" s="215">
        <f>B61</f>
        <v>0</v>
      </c>
      <c r="D61" s="133"/>
      <c r="E61" s="134"/>
      <c r="F61" s="135"/>
      <c r="G61" s="136"/>
      <c r="H61" s="107"/>
      <c r="I61" s="96"/>
      <c r="J61" s="104"/>
      <c r="K61" s="75"/>
      <c r="L61" s="75"/>
      <c r="M61" s="75"/>
      <c r="N61" s="104"/>
      <c r="O61" s="109">
        <v>1</v>
      </c>
      <c r="P61" s="108"/>
      <c r="Q61" s="109"/>
      <c r="R61" s="109"/>
      <c r="S61" s="100"/>
      <c r="T61" s="110"/>
      <c r="U61" s="110"/>
      <c r="V61" s="100"/>
      <c r="W61" s="100"/>
      <c r="X61" s="100"/>
      <c r="Y61" s="110"/>
      <c r="Z61" s="110"/>
      <c r="AA61" s="100"/>
      <c r="AB61" s="109"/>
      <c r="AC61" s="108"/>
      <c r="AD61" s="109"/>
      <c r="AE61" s="109"/>
      <c r="AF61" s="109"/>
      <c r="AG61" s="109"/>
      <c r="AH61" s="108"/>
      <c r="AI61" s="100"/>
      <c r="AJ61" s="110"/>
      <c r="AK61" s="110"/>
      <c r="AL61" s="100"/>
      <c r="AM61" s="100"/>
      <c r="AN61" s="110"/>
      <c r="AO61" s="100"/>
      <c r="AP61" s="100"/>
      <c r="AQ61" s="110"/>
      <c r="AR61" s="100"/>
      <c r="AS61" s="111"/>
      <c r="AT61" s="111"/>
    </row>
    <row r="62" spans="1:46" ht="16.3">
      <c r="A62" s="246" t="s">
        <v>2</v>
      </c>
      <c r="B62" s="248">
        <f>SUM(J62+K62+L62+M62+N62+S62+V62+W62+X62+AA62+AI62+AJ62+AI62+AM62+AP62+AQ62+AS62+AT62+AU62+AV62)</f>
        <v>0</v>
      </c>
      <c r="C62" s="215">
        <f t="shared" ref="C62:C65" si="15">B62</f>
        <v>0</v>
      </c>
      <c r="D62" s="133"/>
      <c r="E62" s="134"/>
      <c r="F62" s="135"/>
      <c r="G62" s="136"/>
      <c r="H62" s="107"/>
      <c r="I62" s="96"/>
      <c r="J62" s="104"/>
      <c r="K62" s="75"/>
      <c r="L62" s="75"/>
      <c r="M62" s="75"/>
      <c r="N62" s="104"/>
      <c r="O62" s="109"/>
      <c r="P62" s="108"/>
      <c r="Q62" s="109"/>
      <c r="R62" s="109"/>
      <c r="S62" s="100"/>
      <c r="T62" s="110"/>
      <c r="U62" s="110"/>
      <c r="V62" s="100"/>
      <c r="W62" s="100"/>
      <c r="X62" s="100"/>
      <c r="Y62" s="110"/>
      <c r="Z62" s="110"/>
      <c r="AA62" s="100"/>
      <c r="AB62" s="109"/>
      <c r="AC62" s="108"/>
      <c r="AD62" s="109"/>
      <c r="AE62" s="109"/>
      <c r="AF62" s="109"/>
      <c r="AG62" s="109"/>
      <c r="AH62" s="108"/>
      <c r="AI62" s="100"/>
      <c r="AJ62" s="110"/>
      <c r="AK62" s="110"/>
      <c r="AL62" s="100"/>
      <c r="AM62" s="100"/>
      <c r="AN62" s="110"/>
      <c r="AO62" s="100"/>
      <c r="AP62" s="100"/>
      <c r="AQ62" s="110"/>
      <c r="AR62" s="100"/>
      <c r="AS62" s="111"/>
      <c r="AT62" s="111"/>
    </row>
    <row r="63" spans="1:46" ht="16.3">
      <c r="A63" s="83" t="s">
        <v>363</v>
      </c>
      <c r="B63" s="247">
        <f>SUM(B61+B62)</f>
        <v>0</v>
      </c>
      <c r="C63" s="214">
        <f t="shared" si="15"/>
        <v>0</v>
      </c>
      <c r="D63" s="133"/>
      <c r="E63" s="134"/>
      <c r="F63" s="135"/>
      <c r="G63" s="136"/>
      <c r="H63" s="107"/>
      <c r="I63" s="96"/>
      <c r="J63" s="104"/>
      <c r="K63" s="75"/>
      <c r="L63" s="75"/>
      <c r="M63" s="75"/>
      <c r="N63" s="104"/>
      <c r="O63" s="109"/>
      <c r="P63" s="108"/>
      <c r="Q63" s="109"/>
      <c r="R63" s="109"/>
      <c r="S63" s="100"/>
      <c r="T63" s="110"/>
      <c r="U63" s="110"/>
      <c r="V63" s="100"/>
      <c r="W63" s="100"/>
      <c r="X63" s="100"/>
      <c r="Y63" s="110"/>
      <c r="Z63" s="110"/>
      <c r="AA63" s="100"/>
      <c r="AB63" s="109"/>
      <c r="AC63" s="108"/>
      <c r="AD63" s="109"/>
      <c r="AE63" s="109"/>
      <c r="AF63" s="109"/>
      <c r="AG63" s="109"/>
      <c r="AH63" s="108"/>
      <c r="AI63" s="100"/>
      <c r="AJ63" s="110"/>
      <c r="AK63" s="110"/>
      <c r="AL63" s="100"/>
      <c r="AM63" s="100"/>
      <c r="AN63" s="110"/>
      <c r="AO63" s="100"/>
      <c r="AP63" s="100"/>
      <c r="AQ63" s="110"/>
      <c r="AR63" s="100"/>
      <c r="AS63" s="111"/>
      <c r="AT63" s="111"/>
    </row>
    <row r="64" spans="1:46" ht="16.3">
      <c r="A64" s="83" t="s">
        <v>3</v>
      </c>
      <c r="B64" s="247">
        <f>SUM(J64+K64+L64+M64+N64+S64+V64+W64+X64+AA64+AI64+AJ64+AI64+AM64+AP64+AQ64+AS64+AT64+AU64+AV64)</f>
        <v>0</v>
      </c>
      <c r="C64" s="214">
        <f t="shared" si="15"/>
        <v>0</v>
      </c>
      <c r="D64" s="133"/>
      <c r="E64" s="134"/>
      <c r="F64" s="135"/>
      <c r="G64" s="136"/>
      <c r="H64" s="107"/>
      <c r="I64" s="96"/>
      <c r="J64" s="104"/>
      <c r="K64" s="75"/>
      <c r="L64" s="75"/>
      <c r="M64" s="75"/>
      <c r="N64" s="104"/>
      <c r="O64" s="109">
        <v>1</v>
      </c>
      <c r="P64" s="108"/>
      <c r="Q64" s="109"/>
      <c r="R64" s="109"/>
      <c r="S64" s="100"/>
      <c r="T64" s="110"/>
      <c r="U64" s="110"/>
      <c r="V64" s="100"/>
      <c r="W64" s="100"/>
      <c r="X64" s="100"/>
      <c r="Y64" s="110"/>
      <c r="Z64" s="110"/>
      <c r="AA64" s="100"/>
      <c r="AB64" s="109"/>
      <c r="AC64" s="108"/>
      <c r="AD64" s="109"/>
      <c r="AE64" s="109"/>
      <c r="AF64" s="109"/>
      <c r="AG64" s="109"/>
      <c r="AH64" s="108"/>
      <c r="AI64" s="100"/>
      <c r="AJ64" s="110"/>
      <c r="AK64" s="110"/>
      <c r="AL64" s="100"/>
      <c r="AM64" s="100"/>
      <c r="AN64" s="110"/>
      <c r="AO64" s="100"/>
      <c r="AP64" s="100"/>
      <c r="AQ64" s="110"/>
      <c r="AR64" s="100"/>
      <c r="AS64" s="111"/>
      <c r="AT64" s="111"/>
    </row>
    <row r="65" spans="1:46" ht="17" thickBot="1">
      <c r="A65" s="85" t="s">
        <v>4</v>
      </c>
      <c r="B65" s="250">
        <f>SUM(J65+K65+L65+M65+N65+S65+V65+W65+X65+AA65+AI65+AJ65+AI65+AM65+AP65+AQ65+AS65+AT65+AU65+AV65)</f>
        <v>0</v>
      </c>
      <c r="C65" s="217">
        <f t="shared" si="15"/>
        <v>0</v>
      </c>
      <c r="D65" s="144"/>
      <c r="E65" s="145"/>
      <c r="F65" s="146"/>
      <c r="G65" s="147"/>
      <c r="H65" s="130"/>
      <c r="I65" s="114"/>
      <c r="J65" s="113"/>
      <c r="K65" s="112"/>
      <c r="L65" s="112"/>
      <c r="M65" s="112"/>
      <c r="N65" s="113"/>
      <c r="O65" s="118">
        <v>5</v>
      </c>
      <c r="P65" s="117"/>
      <c r="Q65" s="118"/>
      <c r="R65" s="118"/>
      <c r="S65" s="116"/>
      <c r="T65" s="120"/>
      <c r="U65" s="120"/>
      <c r="V65" s="116"/>
      <c r="W65" s="116"/>
      <c r="X65" s="116"/>
      <c r="Y65" s="120"/>
      <c r="Z65" s="120"/>
      <c r="AA65" s="116"/>
      <c r="AB65" s="118"/>
      <c r="AC65" s="117"/>
      <c r="AD65" s="118"/>
      <c r="AE65" s="118"/>
      <c r="AF65" s="118"/>
      <c r="AG65" s="118"/>
      <c r="AH65" s="117"/>
      <c r="AI65" s="116"/>
      <c r="AJ65" s="120"/>
      <c r="AK65" s="120"/>
      <c r="AL65" s="116"/>
      <c r="AM65" s="116"/>
      <c r="AN65" s="120"/>
      <c r="AO65" s="116"/>
      <c r="AP65" s="116"/>
      <c r="AQ65" s="120"/>
      <c r="AR65" s="116"/>
      <c r="AS65" s="121"/>
      <c r="AT65" s="121"/>
    </row>
    <row r="66" spans="1:46" ht="21.1">
      <c r="A66" s="82" t="s">
        <v>456</v>
      </c>
      <c r="B66" s="247"/>
      <c r="C66" s="214"/>
      <c r="D66" s="133"/>
      <c r="E66" s="134"/>
      <c r="F66" s="135"/>
      <c r="G66" s="136"/>
      <c r="H66" s="107"/>
      <c r="I66" s="96" t="s">
        <v>339</v>
      </c>
      <c r="J66" s="104" t="s">
        <v>339</v>
      </c>
      <c r="K66" s="75" t="s">
        <v>339</v>
      </c>
      <c r="L66" s="75" t="s">
        <v>339</v>
      </c>
      <c r="M66" s="75" t="s">
        <v>339</v>
      </c>
      <c r="N66" s="104" t="s">
        <v>339</v>
      </c>
      <c r="O66" s="109" t="s">
        <v>339</v>
      </c>
      <c r="P66" s="108"/>
      <c r="Q66" s="109" t="s">
        <v>339</v>
      </c>
      <c r="R66" s="109" t="s">
        <v>339</v>
      </c>
      <c r="S66" s="100" t="s">
        <v>339</v>
      </c>
      <c r="T66" s="110" t="s">
        <v>339</v>
      </c>
      <c r="U66" s="110" t="s">
        <v>339</v>
      </c>
      <c r="V66" s="100" t="s">
        <v>339</v>
      </c>
      <c r="W66" s="100" t="s">
        <v>339</v>
      </c>
      <c r="X66" s="100" t="s">
        <v>339</v>
      </c>
      <c r="Y66" s="110" t="s">
        <v>339</v>
      </c>
      <c r="Z66" s="110" t="s">
        <v>339</v>
      </c>
      <c r="AA66" s="100" t="s">
        <v>339</v>
      </c>
      <c r="AB66" s="99" t="s">
        <v>339</v>
      </c>
      <c r="AC66" s="108"/>
      <c r="AD66" s="109" t="s">
        <v>339</v>
      </c>
      <c r="AE66" s="109"/>
      <c r="AF66" s="109"/>
      <c r="AG66" s="109"/>
      <c r="AH66" s="108"/>
      <c r="AI66" s="100"/>
      <c r="AJ66" s="110"/>
      <c r="AK66" s="110"/>
      <c r="AL66" s="100"/>
      <c r="AM66" s="100"/>
      <c r="AN66" s="110"/>
      <c r="AO66" s="100"/>
      <c r="AP66" s="100"/>
      <c r="AQ66" s="110"/>
      <c r="AR66" s="100"/>
      <c r="AS66" s="111"/>
      <c r="AT66" s="111"/>
    </row>
    <row r="67" spans="1:46" ht="16.3">
      <c r="A67" s="246" t="s">
        <v>1</v>
      </c>
      <c r="B67" s="248">
        <f>SUM(J67+K67+L67+M67+N67+S67+V67+W67+X67+AA67+AI67+AJ67+AI67+AM67+AP67+AQ67+AS67+AT67+AU67+AV67+AN67)+2</f>
        <v>2</v>
      </c>
      <c r="C67" s="215">
        <f>B67</f>
        <v>2</v>
      </c>
      <c r="D67" s="133"/>
      <c r="E67" s="134"/>
      <c r="F67" s="135"/>
      <c r="G67" s="136"/>
      <c r="H67" s="107"/>
      <c r="I67" s="96"/>
      <c r="J67" s="104"/>
      <c r="K67" s="75"/>
      <c r="L67" s="75"/>
      <c r="M67" s="75"/>
      <c r="N67" s="104"/>
      <c r="O67" s="109"/>
      <c r="P67" s="108"/>
      <c r="Q67" s="109"/>
      <c r="R67" s="109"/>
      <c r="S67" s="100"/>
      <c r="T67" s="110"/>
      <c r="U67" s="110"/>
      <c r="V67" s="100"/>
      <c r="W67" s="100"/>
      <c r="X67" s="100"/>
      <c r="Y67" s="110"/>
      <c r="Z67" s="110"/>
      <c r="AA67" s="100"/>
      <c r="AB67" s="109"/>
      <c r="AC67" s="108"/>
      <c r="AD67" s="109"/>
      <c r="AE67" s="109"/>
      <c r="AF67" s="109"/>
      <c r="AG67" s="109"/>
      <c r="AH67" s="108"/>
      <c r="AI67" s="100"/>
      <c r="AJ67" s="110"/>
      <c r="AK67" s="110"/>
      <c r="AL67" s="100"/>
      <c r="AM67" s="100"/>
      <c r="AN67" s="110"/>
      <c r="AO67" s="100"/>
      <c r="AP67" s="100"/>
      <c r="AQ67" s="110"/>
      <c r="AR67" s="100"/>
      <c r="AS67" s="111"/>
      <c r="AT67" s="111"/>
    </row>
    <row r="68" spans="1:46" ht="16.3">
      <c r="A68" s="246" t="s">
        <v>2</v>
      </c>
      <c r="B68" s="248">
        <f>SUM(J68+K68+L68+M68+N68+S68+V68+W68+X68+AA68+AI68+AJ68+AI68+AM68+AP68+AQ68+AS68+AT68+AU68+AV68)+1</f>
        <v>1</v>
      </c>
      <c r="C68" s="215">
        <f t="shared" ref="C68:C71" si="16">B68</f>
        <v>1</v>
      </c>
      <c r="D68" s="133"/>
      <c r="E68" s="134"/>
      <c r="F68" s="135"/>
      <c r="G68" s="136"/>
      <c r="H68" s="107"/>
      <c r="I68" s="96"/>
      <c r="J68" s="104"/>
      <c r="K68" s="75"/>
      <c r="L68" s="75"/>
      <c r="M68" s="75"/>
      <c r="N68" s="104"/>
      <c r="O68" s="109"/>
      <c r="P68" s="108"/>
      <c r="Q68" s="109"/>
      <c r="R68" s="109"/>
      <c r="S68" s="100"/>
      <c r="T68" s="110"/>
      <c r="U68" s="110"/>
      <c r="V68" s="100"/>
      <c r="W68" s="100"/>
      <c r="X68" s="100"/>
      <c r="Y68" s="110"/>
      <c r="Z68" s="110"/>
      <c r="AA68" s="100"/>
      <c r="AB68" s="109"/>
      <c r="AC68" s="108"/>
      <c r="AD68" s="109"/>
      <c r="AE68" s="109"/>
      <c r="AF68" s="109"/>
      <c r="AG68" s="109"/>
      <c r="AH68" s="108"/>
      <c r="AI68" s="100"/>
      <c r="AJ68" s="110"/>
      <c r="AK68" s="110"/>
      <c r="AL68" s="100"/>
      <c r="AM68" s="100"/>
      <c r="AN68" s="110"/>
      <c r="AO68" s="100"/>
      <c r="AP68" s="100"/>
      <c r="AQ68" s="110"/>
      <c r="AR68" s="100"/>
      <c r="AS68" s="111"/>
      <c r="AT68" s="111"/>
    </row>
    <row r="69" spans="1:46" ht="16.3">
      <c r="A69" s="83" t="s">
        <v>363</v>
      </c>
      <c r="B69" s="247">
        <f>SUM(B67+B68)</f>
        <v>3</v>
      </c>
      <c r="C69" s="214">
        <f t="shared" si="16"/>
        <v>3</v>
      </c>
      <c r="D69" s="133"/>
      <c r="E69" s="134"/>
      <c r="F69" s="135"/>
      <c r="G69" s="136"/>
      <c r="H69" s="107"/>
      <c r="I69" s="96"/>
      <c r="J69" s="104"/>
      <c r="K69" s="75"/>
      <c r="L69" s="75"/>
      <c r="M69" s="75"/>
      <c r="N69" s="104"/>
      <c r="O69" s="109"/>
      <c r="P69" s="108"/>
      <c r="Q69" s="109"/>
      <c r="R69" s="109"/>
      <c r="S69" s="100"/>
      <c r="T69" s="110"/>
      <c r="U69" s="110"/>
      <c r="V69" s="100"/>
      <c r="W69" s="100"/>
      <c r="X69" s="100"/>
      <c r="Y69" s="110"/>
      <c r="Z69" s="110"/>
      <c r="AA69" s="100"/>
      <c r="AB69" s="109"/>
      <c r="AC69" s="108"/>
      <c r="AD69" s="109"/>
      <c r="AE69" s="109"/>
      <c r="AF69" s="109"/>
      <c r="AG69" s="109"/>
      <c r="AH69" s="108"/>
      <c r="AI69" s="100"/>
      <c r="AJ69" s="110"/>
      <c r="AK69" s="110"/>
      <c r="AL69" s="100"/>
      <c r="AM69" s="100"/>
      <c r="AN69" s="110"/>
      <c r="AO69" s="100"/>
      <c r="AP69" s="100"/>
      <c r="AQ69" s="110"/>
      <c r="AR69" s="100"/>
      <c r="AS69" s="111"/>
      <c r="AT69" s="111"/>
    </row>
    <row r="70" spans="1:46" ht="16.3">
      <c r="A70" s="83" t="s">
        <v>3</v>
      </c>
      <c r="B70" s="247">
        <f>SUM(J70+K70+L70+M70+N70+S70+V70+W70+X70+AA70+AI70+AJ70+AI70+AM70+AP70+AQ70+AS70+AT70+AU70+AV70)+1</f>
        <v>1</v>
      </c>
      <c r="C70" s="214">
        <f t="shared" si="16"/>
        <v>1</v>
      </c>
      <c r="D70" s="133"/>
      <c r="E70" s="134"/>
      <c r="F70" s="135"/>
      <c r="G70" s="136"/>
      <c r="H70" s="107"/>
      <c r="I70" s="96"/>
      <c r="J70" s="104"/>
      <c r="K70" s="75"/>
      <c r="L70" s="75"/>
      <c r="M70" s="75"/>
      <c r="N70" s="104"/>
      <c r="O70" s="109"/>
      <c r="P70" s="108"/>
      <c r="Q70" s="109"/>
      <c r="R70" s="109"/>
      <c r="S70" s="100"/>
      <c r="T70" s="110"/>
      <c r="U70" s="110"/>
      <c r="V70" s="100"/>
      <c r="W70" s="100"/>
      <c r="X70" s="100"/>
      <c r="Y70" s="110"/>
      <c r="Z70" s="110"/>
      <c r="AA70" s="100"/>
      <c r="AB70" s="109"/>
      <c r="AC70" s="108"/>
      <c r="AD70" s="109"/>
      <c r="AE70" s="109"/>
      <c r="AF70" s="109"/>
      <c r="AG70" s="109"/>
      <c r="AH70" s="108"/>
      <c r="AI70" s="100"/>
      <c r="AJ70" s="110"/>
      <c r="AK70" s="110"/>
      <c r="AL70" s="100"/>
      <c r="AM70" s="100"/>
      <c r="AN70" s="110"/>
      <c r="AO70" s="100"/>
      <c r="AP70" s="100"/>
      <c r="AQ70" s="110"/>
      <c r="AR70" s="100"/>
      <c r="AS70" s="111"/>
      <c r="AT70" s="111"/>
    </row>
    <row r="71" spans="1:46" ht="17" thickBot="1">
      <c r="A71" s="85" t="s">
        <v>4</v>
      </c>
      <c r="B71" s="250">
        <f>SUM(J71+K71+L71+M71+N71+S71+V71+W71+X71+AA71+AI71+AJ71+AI71+AM71+AP71+AQ71+AS71+AT71+AU71+AV71)+5</f>
        <v>5</v>
      </c>
      <c r="C71" s="217">
        <f t="shared" si="16"/>
        <v>5</v>
      </c>
      <c r="D71" s="144"/>
      <c r="E71" s="145"/>
      <c r="F71" s="146"/>
      <c r="G71" s="147"/>
      <c r="H71" s="130"/>
      <c r="I71" s="114"/>
      <c r="J71" s="113"/>
      <c r="K71" s="112"/>
      <c r="L71" s="112"/>
      <c r="M71" s="112"/>
      <c r="N71" s="113"/>
      <c r="O71" s="118"/>
      <c r="P71" s="117"/>
      <c r="Q71" s="118"/>
      <c r="R71" s="118"/>
      <c r="S71" s="116"/>
      <c r="T71" s="120"/>
      <c r="U71" s="120"/>
      <c r="V71" s="116"/>
      <c r="W71" s="116"/>
      <c r="X71" s="116"/>
      <c r="Y71" s="120"/>
      <c r="Z71" s="120"/>
      <c r="AA71" s="116"/>
      <c r="AB71" s="118"/>
      <c r="AC71" s="117"/>
      <c r="AD71" s="118"/>
      <c r="AE71" s="118"/>
      <c r="AF71" s="118"/>
      <c r="AG71" s="118"/>
      <c r="AH71" s="117"/>
      <c r="AI71" s="116"/>
      <c r="AJ71" s="120"/>
      <c r="AK71" s="120"/>
      <c r="AL71" s="116"/>
      <c r="AM71" s="116"/>
      <c r="AN71" s="120"/>
      <c r="AO71" s="116"/>
      <c r="AP71" s="116"/>
      <c r="AQ71" s="120"/>
      <c r="AR71" s="116"/>
      <c r="AS71" s="121"/>
      <c r="AT71" s="121"/>
    </row>
    <row r="72" spans="1:46" ht="21.1">
      <c r="A72" s="82" t="s">
        <v>651</v>
      </c>
      <c r="B72" s="247"/>
      <c r="C72" s="214"/>
      <c r="D72" s="133"/>
      <c r="E72" s="134"/>
      <c r="F72" s="135"/>
      <c r="G72" s="136"/>
      <c r="H72" s="107"/>
      <c r="I72" s="96" t="s">
        <v>432</v>
      </c>
      <c r="J72" s="104"/>
      <c r="K72" s="75"/>
      <c r="L72" s="75"/>
      <c r="M72" s="75"/>
      <c r="N72" s="104"/>
      <c r="O72" s="109" t="s">
        <v>367</v>
      </c>
      <c r="P72" s="108"/>
      <c r="Q72" s="109" t="s">
        <v>375</v>
      </c>
      <c r="R72" s="109">
        <v>11</v>
      </c>
      <c r="S72" s="100" t="s">
        <v>367</v>
      </c>
      <c r="T72" s="110"/>
      <c r="U72" s="110"/>
      <c r="V72" s="100"/>
      <c r="W72" s="100"/>
      <c r="X72" s="100"/>
      <c r="Y72" s="110"/>
      <c r="Z72" s="110"/>
      <c r="AA72" s="100"/>
      <c r="AB72" s="109">
        <v>11</v>
      </c>
      <c r="AC72" s="108"/>
      <c r="AD72" s="109" t="s">
        <v>367</v>
      </c>
      <c r="AE72" s="109" t="s">
        <v>367</v>
      </c>
      <c r="AF72" s="109"/>
      <c r="AG72" s="109" t="s">
        <v>375</v>
      </c>
      <c r="AH72" s="108"/>
      <c r="AI72" s="100"/>
      <c r="AJ72" s="110"/>
      <c r="AK72" s="110"/>
      <c r="AL72" s="100"/>
      <c r="AM72" s="100"/>
      <c r="AN72" s="110"/>
      <c r="AO72" s="100"/>
      <c r="AP72" s="100"/>
      <c r="AQ72" s="110"/>
      <c r="AR72" s="100"/>
      <c r="AS72" s="111"/>
      <c r="AT72" s="111"/>
    </row>
    <row r="73" spans="1:46" ht="16.3">
      <c r="A73" s="246" t="s">
        <v>1</v>
      </c>
      <c r="B73" s="248">
        <f>SUM(J73+K73+L73+M73+N73+S73+V73+W73+X73+AA73+AI73+AJ73+AI73+AM73+AP73+AQ73+AS73+AT73+AU73+AV73+AN73)</f>
        <v>1</v>
      </c>
      <c r="C73" s="215">
        <f>B73</f>
        <v>1</v>
      </c>
      <c r="D73" s="133"/>
      <c r="E73" s="134"/>
      <c r="F73" s="135"/>
      <c r="G73" s="136"/>
      <c r="H73" s="107"/>
      <c r="I73" s="96"/>
      <c r="J73" s="104"/>
      <c r="K73" s="75"/>
      <c r="L73" s="75"/>
      <c r="M73" s="75"/>
      <c r="N73" s="104"/>
      <c r="O73" s="109">
        <v>1</v>
      </c>
      <c r="P73" s="108"/>
      <c r="Q73" s="109"/>
      <c r="R73" s="109">
        <v>1</v>
      </c>
      <c r="S73" s="100">
        <v>1</v>
      </c>
      <c r="T73" s="110"/>
      <c r="U73" s="110"/>
      <c r="V73" s="100"/>
      <c r="W73" s="100"/>
      <c r="X73" s="100"/>
      <c r="Y73" s="110"/>
      <c r="Z73" s="110"/>
      <c r="AA73" s="100"/>
      <c r="AB73" s="109">
        <v>1</v>
      </c>
      <c r="AC73" s="108"/>
      <c r="AD73" s="109">
        <v>1</v>
      </c>
      <c r="AE73" s="109">
        <v>1</v>
      </c>
      <c r="AF73" s="109"/>
      <c r="AG73" s="109"/>
      <c r="AH73" s="108"/>
      <c r="AI73" s="100"/>
      <c r="AJ73" s="110"/>
      <c r="AK73" s="110"/>
      <c r="AL73" s="100"/>
      <c r="AM73" s="100"/>
      <c r="AN73" s="110"/>
      <c r="AO73" s="100"/>
      <c r="AP73" s="100"/>
      <c r="AQ73" s="110"/>
      <c r="AR73" s="100"/>
      <c r="AS73" s="111"/>
      <c r="AT73" s="111"/>
    </row>
    <row r="74" spans="1:46" ht="16.3">
      <c r="A74" s="246" t="s">
        <v>2</v>
      </c>
      <c r="B74" s="248">
        <f>SUM(J74+K74+L74+M74+N74+S74+V74+W74+X74+AA74+AI74+AJ74+AI74+AM74+AP74+AQ74+AS74+AT74+AU74+AV74)</f>
        <v>0</v>
      </c>
      <c r="C74" s="215">
        <f t="shared" ref="C74:C77" si="17">B74</f>
        <v>0</v>
      </c>
      <c r="D74" s="133"/>
      <c r="E74" s="134"/>
      <c r="F74" s="135"/>
      <c r="G74" s="136"/>
      <c r="H74" s="107"/>
      <c r="I74" s="96">
        <v>1</v>
      </c>
      <c r="J74" s="104"/>
      <c r="K74" s="75"/>
      <c r="L74" s="75"/>
      <c r="M74" s="75"/>
      <c r="N74" s="104"/>
      <c r="O74" s="109"/>
      <c r="P74" s="108"/>
      <c r="Q74" s="109">
        <v>1</v>
      </c>
      <c r="R74" s="109"/>
      <c r="S74" s="100"/>
      <c r="T74" s="110"/>
      <c r="U74" s="110"/>
      <c r="V74" s="100"/>
      <c r="W74" s="100"/>
      <c r="X74" s="100"/>
      <c r="Y74" s="110"/>
      <c r="Z74" s="110"/>
      <c r="AA74" s="100"/>
      <c r="AB74" s="109"/>
      <c r="AC74" s="108"/>
      <c r="AD74" s="109"/>
      <c r="AE74" s="109"/>
      <c r="AF74" s="109"/>
      <c r="AG74" s="109">
        <v>1</v>
      </c>
      <c r="AH74" s="108"/>
      <c r="AI74" s="100"/>
      <c r="AJ74" s="110"/>
      <c r="AK74" s="110"/>
      <c r="AL74" s="100"/>
      <c r="AM74" s="100"/>
      <c r="AN74" s="110"/>
      <c r="AO74" s="100"/>
      <c r="AP74" s="100"/>
      <c r="AQ74" s="110"/>
      <c r="AR74" s="100"/>
      <c r="AS74" s="111"/>
      <c r="AT74" s="111"/>
    </row>
    <row r="75" spans="1:46" ht="16.3">
      <c r="A75" s="83" t="s">
        <v>363</v>
      </c>
      <c r="B75" s="247">
        <f>SUM(B73+B74)</f>
        <v>1</v>
      </c>
      <c r="C75" s="214">
        <f t="shared" si="17"/>
        <v>1</v>
      </c>
      <c r="D75" s="133"/>
      <c r="E75" s="134"/>
      <c r="F75" s="135"/>
      <c r="G75" s="136"/>
      <c r="H75" s="107"/>
      <c r="I75" s="96"/>
      <c r="J75" s="104"/>
      <c r="K75" s="75"/>
      <c r="L75" s="75"/>
      <c r="M75" s="75"/>
      <c r="N75" s="104"/>
      <c r="O75" s="109"/>
      <c r="P75" s="108"/>
      <c r="Q75" s="109"/>
      <c r="R75" s="109"/>
      <c r="S75" s="100"/>
      <c r="T75" s="110"/>
      <c r="U75" s="110"/>
      <c r="V75" s="100"/>
      <c r="W75" s="100"/>
      <c r="X75" s="100"/>
      <c r="Y75" s="110"/>
      <c r="Z75" s="110"/>
      <c r="AA75" s="100"/>
      <c r="AB75" s="109"/>
      <c r="AC75" s="108"/>
      <c r="AD75" s="109"/>
      <c r="AE75" s="109"/>
      <c r="AF75" s="109"/>
      <c r="AG75" s="109"/>
      <c r="AH75" s="108"/>
      <c r="AI75" s="100"/>
      <c r="AJ75" s="110"/>
      <c r="AK75" s="110"/>
      <c r="AL75" s="100"/>
      <c r="AM75" s="100"/>
      <c r="AN75" s="110"/>
      <c r="AO75" s="100"/>
      <c r="AP75" s="100"/>
      <c r="AQ75" s="110"/>
      <c r="AR75" s="100"/>
      <c r="AS75" s="111"/>
      <c r="AT75" s="111"/>
    </row>
    <row r="76" spans="1:46" ht="16.3">
      <c r="A76" s="83" t="s">
        <v>3</v>
      </c>
      <c r="B76" s="247">
        <f>SUM(J76+K76+L76+M76+N76+S76+V76+W76+X76+AA76+AI76+AJ76+AI76+AM76+AP76+AQ76+AS76+AT76+AU76+AV76)</f>
        <v>0</v>
      </c>
      <c r="C76" s="214">
        <f t="shared" si="17"/>
        <v>0</v>
      </c>
      <c r="D76" s="133"/>
      <c r="E76" s="134"/>
      <c r="F76" s="135"/>
      <c r="G76" s="136"/>
      <c r="H76" s="107"/>
      <c r="I76" s="96"/>
      <c r="J76" s="104"/>
      <c r="K76" s="75"/>
      <c r="L76" s="75"/>
      <c r="M76" s="75"/>
      <c r="N76" s="104"/>
      <c r="O76" s="109"/>
      <c r="P76" s="108"/>
      <c r="Q76" s="109">
        <v>1</v>
      </c>
      <c r="R76" s="109"/>
      <c r="S76" s="100"/>
      <c r="T76" s="110"/>
      <c r="U76" s="110"/>
      <c r="V76" s="100"/>
      <c r="W76" s="100"/>
      <c r="X76" s="100"/>
      <c r="Y76" s="110"/>
      <c r="Z76" s="110"/>
      <c r="AA76" s="100"/>
      <c r="AB76" s="109">
        <v>1</v>
      </c>
      <c r="AC76" s="108"/>
      <c r="AD76" s="109"/>
      <c r="AE76" s="109"/>
      <c r="AF76" s="109"/>
      <c r="AG76" s="109"/>
      <c r="AH76" s="108"/>
      <c r="AI76" s="100"/>
      <c r="AJ76" s="110"/>
      <c r="AK76" s="110"/>
      <c r="AL76" s="100"/>
      <c r="AM76" s="100"/>
      <c r="AN76" s="110"/>
      <c r="AO76" s="100"/>
      <c r="AP76" s="100"/>
      <c r="AQ76" s="110"/>
      <c r="AR76" s="100"/>
      <c r="AS76" s="111"/>
      <c r="AT76" s="111"/>
    </row>
    <row r="77" spans="1:46" ht="17" thickBot="1">
      <c r="A77" s="85" t="s">
        <v>4</v>
      </c>
      <c r="B77" s="250">
        <f>SUM(J77+K77+L77+M77+N77+S77+V77+W77+X77+AA77+AI77+AJ77+AI77+AM77+AP77+AQ77+AS77+AT77+AU77+AV77)</f>
        <v>0</v>
      </c>
      <c r="C77" s="217">
        <f t="shared" si="17"/>
        <v>0</v>
      </c>
      <c r="D77" s="144"/>
      <c r="E77" s="145"/>
      <c r="F77" s="146"/>
      <c r="G77" s="147"/>
      <c r="H77" s="130"/>
      <c r="I77" s="114"/>
      <c r="J77" s="113"/>
      <c r="K77" s="112"/>
      <c r="L77" s="112"/>
      <c r="M77" s="112"/>
      <c r="N77" s="113"/>
      <c r="O77" s="118"/>
      <c r="P77" s="117"/>
      <c r="Q77" s="118">
        <v>5</v>
      </c>
      <c r="R77" s="118"/>
      <c r="S77" s="116"/>
      <c r="T77" s="120"/>
      <c r="U77" s="120"/>
      <c r="V77" s="116"/>
      <c r="W77" s="116"/>
      <c r="X77" s="116"/>
      <c r="Y77" s="120"/>
      <c r="Z77" s="120"/>
      <c r="AA77" s="116"/>
      <c r="AB77" s="118">
        <v>5</v>
      </c>
      <c r="AC77" s="117"/>
      <c r="AD77" s="118"/>
      <c r="AE77" s="118"/>
      <c r="AF77" s="118"/>
      <c r="AG77" s="118"/>
      <c r="AH77" s="117"/>
      <c r="AI77" s="116"/>
      <c r="AJ77" s="120"/>
      <c r="AK77" s="120"/>
      <c r="AL77" s="116"/>
      <c r="AM77" s="116"/>
      <c r="AN77" s="120"/>
      <c r="AO77" s="116"/>
      <c r="AP77" s="116"/>
      <c r="AQ77" s="120"/>
      <c r="AR77" s="116"/>
      <c r="AS77" s="121"/>
      <c r="AT77" s="121"/>
    </row>
    <row r="78" spans="1:46" ht="21.1">
      <c r="A78" s="82" t="s">
        <v>81</v>
      </c>
      <c r="B78" s="247"/>
      <c r="C78" s="214"/>
      <c r="D78" s="133"/>
      <c r="E78" s="134"/>
      <c r="F78" s="135"/>
      <c r="G78" s="136"/>
      <c r="H78" s="107"/>
      <c r="I78" s="96"/>
      <c r="J78" s="104" t="s">
        <v>693</v>
      </c>
      <c r="K78" s="75" t="s">
        <v>339</v>
      </c>
      <c r="L78" s="75">
        <v>12</v>
      </c>
      <c r="M78" s="75">
        <v>12</v>
      </c>
      <c r="N78" s="104" t="s">
        <v>763</v>
      </c>
      <c r="O78" s="109" t="s">
        <v>775</v>
      </c>
      <c r="P78" s="108"/>
      <c r="Q78" s="109" t="s">
        <v>775</v>
      </c>
      <c r="R78" s="109" t="s">
        <v>775</v>
      </c>
      <c r="S78" s="100" t="s">
        <v>339</v>
      </c>
      <c r="T78" s="110">
        <v>13</v>
      </c>
      <c r="U78" s="110" t="s">
        <v>381</v>
      </c>
      <c r="V78" s="100" t="s">
        <v>381</v>
      </c>
      <c r="W78" s="102"/>
      <c r="X78" s="102" t="s">
        <v>693</v>
      </c>
      <c r="Y78" s="110"/>
      <c r="Z78" s="101" t="s">
        <v>763</v>
      </c>
      <c r="AA78" s="102" t="s">
        <v>763</v>
      </c>
      <c r="AB78" s="99" t="s">
        <v>775</v>
      </c>
      <c r="AC78" s="98"/>
      <c r="AD78" s="99" t="s">
        <v>775</v>
      </c>
      <c r="AE78" s="99" t="s">
        <v>775</v>
      </c>
      <c r="AF78" s="99" t="s">
        <v>775</v>
      </c>
      <c r="AG78" s="99" t="s">
        <v>775</v>
      </c>
      <c r="AH78" s="98"/>
      <c r="AI78" s="102"/>
      <c r="AJ78" s="101"/>
      <c r="AK78" s="101"/>
      <c r="AL78" s="102"/>
      <c r="AM78" s="102"/>
      <c r="AN78" s="101"/>
      <c r="AO78" s="102"/>
      <c r="AP78" s="102"/>
      <c r="AQ78" s="101"/>
      <c r="AR78" s="102"/>
      <c r="AS78" s="103"/>
      <c r="AT78" s="103"/>
    </row>
    <row r="79" spans="1:46" ht="16.3">
      <c r="A79" s="246" t="s">
        <v>1</v>
      </c>
      <c r="B79" s="248">
        <f>SUM(J79+K79+L79+M79+N79+S79+V79+W79+X79+AA79+AI79+AJ79+AI79+AM79+AP79+AQ79+AS79+AT79+AU79+AV79+AN79)+84</f>
        <v>91</v>
      </c>
      <c r="C79" s="215">
        <f>B79</f>
        <v>91</v>
      </c>
      <c r="D79" s="139"/>
      <c r="E79" s="140"/>
      <c r="F79" s="135"/>
      <c r="G79" s="136"/>
      <c r="H79" s="107"/>
      <c r="I79" s="96"/>
      <c r="J79" s="104">
        <v>1</v>
      </c>
      <c r="K79" s="75"/>
      <c r="L79" s="75">
        <v>1</v>
      </c>
      <c r="M79" s="75">
        <v>1</v>
      </c>
      <c r="N79" s="75">
        <v>1</v>
      </c>
      <c r="O79" s="96"/>
      <c r="P79" s="105"/>
      <c r="Q79" s="96"/>
      <c r="R79" s="96"/>
      <c r="S79" s="75"/>
      <c r="T79" s="106">
        <v>1</v>
      </c>
      <c r="U79" s="106">
        <v>1</v>
      </c>
      <c r="V79" s="75">
        <v>1</v>
      </c>
      <c r="W79" s="75"/>
      <c r="X79" s="75">
        <v>1</v>
      </c>
      <c r="Y79" s="106"/>
      <c r="Z79" s="106">
        <v>1</v>
      </c>
      <c r="AA79" s="75">
        <v>1</v>
      </c>
      <c r="AB79" s="96"/>
      <c r="AC79" s="105"/>
      <c r="AD79" s="96"/>
      <c r="AE79" s="96"/>
      <c r="AF79" s="96"/>
      <c r="AG79" s="96"/>
      <c r="AH79" s="105"/>
      <c r="AI79" s="75"/>
      <c r="AJ79" s="106"/>
      <c r="AK79" s="106"/>
      <c r="AL79" s="75"/>
      <c r="AM79" s="75"/>
      <c r="AN79" s="106"/>
      <c r="AO79" s="75"/>
      <c r="AP79" s="75"/>
      <c r="AQ79" s="106"/>
      <c r="AR79" s="75"/>
      <c r="AS79" s="107"/>
      <c r="AT79" s="107"/>
    </row>
    <row r="80" spans="1:46" ht="16.3">
      <c r="A80" s="246" t="s">
        <v>2</v>
      </c>
      <c r="B80" s="248">
        <f>SUM(J80+K80+L80+M80+N80+S80+V80+W80+X80+AA80+AI80+AJ80+AI80+AM80+AP80+AQ80+AS80+AT80+AU80+AV80)+24</f>
        <v>24</v>
      </c>
      <c r="C80" s="215">
        <f t="shared" ref="C80:C84" si="18">B80</f>
        <v>24</v>
      </c>
      <c r="D80" s="139"/>
      <c r="E80" s="140"/>
      <c r="F80" s="135"/>
      <c r="G80" s="136"/>
      <c r="H80" s="107"/>
      <c r="I80" s="96"/>
      <c r="J80" s="104"/>
      <c r="K80" s="75"/>
      <c r="L80" s="75"/>
      <c r="M80" s="75"/>
      <c r="N80" s="104"/>
      <c r="O80" s="109"/>
      <c r="P80" s="108"/>
      <c r="Q80" s="109"/>
      <c r="R80" s="109"/>
      <c r="S80" s="100"/>
      <c r="T80" s="110"/>
      <c r="U80" s="110"/>
      <c r="V80" s="100"/>
      <c r="W80" s="100"/>
      <c r="X80" s="100"/>
      <c r="Y80" s="110"/>
      <c r="Z80" s="110"/>
      <c r="AA80" s="100"/>
      <c r="AB80" s="109"/>
      <c r="AC80" s="108"/>
      <c r="AD80" s="109"/>
      <c r="AE80" s="109"/>
      <c r="AF80" s="109"/>
      <c r="AG80" s="109"/>
      <c r="AH80" s="108"/>
      <c r="AI80" s="100"/>
      <c r="AJ80" s="110"/>
      <c r="AK80" s="110"/>
      <c r="AL80" s="100"/>
      <c r="AM80" s="100"/>
      <c r="AN80" s="110"/>
      <c r="AO80" s="100"/>
      <c r="AP80" s="100"/>
      <c r="AQ80" s="110"/>
      <c r="AR80" s="100"/>
      <c r="AS80" s="111"/>
      <c r="AT80" s="111"/>
    </row>
    <row r="81" spans="1:46" ht="16.3">
      <c r="A81" s="83" t="s">
        <v>363</v>
      </c>
      <c r="B81" s="247">
        <f>SUM(B79+B80)</f>
        <v>115</v>
      </c>
      <c r="C81" s="214">
        <f t="shared" si="18"/>
        <v>115</v>
      </c>
      <c r="D81" s="133"/>
      <c r="E81" s="134"/>
      <c r="F81" s="135"/>
      <c r="G81" s="136"/>
      <c r="H81" s="107"/>
      <c r="I81" s="96"/>
      <c r="J81" s="104"/>
      <c r="K81" s="75"/>
      <c r="L81" s="75"/>
      <c r="M81" s="75"/>
      <c r="N81" s="104"/>
      <c r="O81" s="109"/>
      <c r="P81" s="108"/>
      <c r="Q81" s="109"/>
      <c r="R81" s="109"/>
      <c r="S81" s="100"/>
      <c r="T81" s="110"/>
      <c r="U81" s="110"/>
      <c r="V81" s="100"/>
      <c r="W81" s="100"/>
      <c r="X81" s="100"/>
      <c r="Y81" s="110"/>
      <c r="Z81" s="110"/>
      <c r="AA81" s="100"/>
      <c r="AB81" s="109"/>
      <c r="AC81" s="108"/>
      <c r="AD81" s="109"/>
      <c r="AE81" s="109"/>
      <c r="AF81" s="109"/>
      <c r="AG81" s="109"/>
      <c r="AH81" s="108"/>
      <c r="AI81" s="100"/>
      <c r="AJ81" s="110"/>
      <c r="AK81" s="110"/>
      <c r="AL81" s="100"/>
      <c r="AM81" s="100"/>
      <c r="AN81" s="110"/>
      <c r="AO81" s="100"/>
      <c r="AP81" s="100"/>
      <c r="AQ81" s="110"/>
      <c r="AR81" s="100"/>
      <c r="AS81" s="111"/>
      <c r="AT81" s="111"/>
    </row>
    <row r="82" spans="1:46" ht="16.3">
      <c r="A82" s="246" t="s">
        <v>366</v>
      </c>
      <c r="B82" s="248">
        <f>SUM(J82+K82+L82+M82+N82+S82+V82+W82+X82+AA82+AI82+AJ82+AI82+AM82+AP82+AQ82+AS82+AT82+AU82+AV82)+21</f>
        <v>25</v>
      </c>
      <c r="C82" s="215">
        <f t="shared" si="18"/>
        <v>25</v>
      </c>
      <c r="D82" s="139"/>
      <c r="E82" s="140"/>
      <c r="F82" s="135"/>
      <c r="G82" s="136"/>
      <c r="H82" s="107"/>
      <c r="I82" s="96"/>
      <c r="J82" s="104">
        <v>1</v>
      </c>
      <c r="K82" s="75"/>
      <c r="L82" s="75"/>
      <c r="M82" s="75"/>
      <c r="N82" s="104">
        <v>1</v>
      </c>
      <c r="O82" s="109"/>
      <c r="P82" s="108"/>
      <c r="Q82" s="109"/>
      <c r="R82" s="109"/>
      <c r="S82" s="100"/>
      <c r="T82" s="110"/>
      <c r="U82" s="110"/>
      <c r="V82" s="100"/>
      <c r="W82" s="100"/>
      <c r="X82" s="100">
        <v>1</v>
      </c>
      <c r="Y82" s="110"/>
      <c r="Z82" s="110">
        <v>1</v>
      </c>
      <c r="AA82" s="100">
        <v>1</v>
      </c>
      <c r="AB82" s="109"/>
      <c r="AC82" s="108"/>
      <c r="AD82" s="109"/>
      <c r="AE82" s="109"/>
      <c r="AF82" s="109"/>
      <c r="AG82" s="109"/>
      <c r="AH82" s="108"/>
      <c r="AI82" s="100"/>
      <c r="AJ82" s="110"/>
      <c r="AK82" s="110"/>
      <c r="AL82" s="100"/>
      <c r="AM82" s="100"/>
      <c r="AN82" s="110"/>
      <c r="AO82" s="100"/>
      <c r="AP82" s="100"/>
      <c r="AQ82" s="110"/>
      <c r="AR82" s="100"/>
      <c r="AS82" s="111"/>
      <c r="AT82" s="111"/>
    </row>
    <row r="83" spans="1:46" ht="16.3">
      <c r="A83" s="83" t="s">
        <v>3</v>
      </c>
      <c r="B83" s="247">
        <f>SUM(J83+K83+L83+M83+N83+S83+V83+W83+X83+AA83+AI83+AJ83+AI83+AM83+AP83+AQ83+AS83+AT83+AU83+AV83)+19</f>
        <v>19</v>
      </c>
      <c r="C83" s="214">
        <f t="shared" si="18"/>
        <v>19</v>
      </c>
      <c r="D83" s="133"/>
      <c r="E83" s="134"/>
      <c r="F83" s="135"/>
      <c r="G83" s="136"/>
      <c r="H83" s="107"/>
      <c r="I83" s="96"/>
      <c r="J83" s="104"/>
      <c r="K83" s="75"/>
      <c r="L83" s="75"/>
      <c r="M83" s="75"/>
      <c r="N83" s="104"/>
      <c r="O83" s="109"/>
      <c r="P83" s="108"/>
      <c r="Q83" s="109"/>
      <c r="R83" s="109"/>
      <c r="S83" s="100"/>
      <c r="T83" s="110">
        <v>1</v>
      </c>
      <c r="U83" s="110"/>
      <c r="V83" s="100"/>
      <c r="W83" s="100"/>
      <c r="X83" s="100"/>
      <c r="Y83" s="110"/>
      <c r="Z83" s="110"/>
      <c r="AA83" s="100"/>
      <c r="AB83" s="109"/>
      <c r="AC83" s="108"/>
      <c r="AD83" s="109"/>
      <c r="AE83" s="109"/>
      <c r="AF83" s="109"/>
      <c r="AG83" s="109"/>
      <c r="AH83" s="108"/>
      <c r="AI83" s="100"/>
      <c r="AJ83" s="110"/>
      <c r="AK83" s="110"/>
      <c r="AL83" s="100"/>
      <c r="AM83" s="100"/>
      <c r="AN83" s="110"/>
      <c r="AO83" s="100"/>
      <c r="AP83" s="100"/>
      <c r="AQ83" s="110"/>
      <c r="AR83" s="100"/>
      <c r="AS83" s="111"/>
      <c r="AT83" s="111"/>
    </row>
    <row r="84" spans="1:46" ht="17" thickBot="1">
      <c r="A84" s="85" t="s">
        <v>4</v>
      </c>
      <c r="B84" s="250">
        <f>SUM(J84+K84+L84+M84+N84+S84+V84+W84+X84+AA84+AI84+AJ84+AI84+AM84+AP84+AQ84+AS84+AT84+AU84+AV84)+95</f>
        <v>95</v>
      </c>
      <c r="C84" s="217">
        <f t="shared" si="18"/>
        <v>95</v>
      </c>
      <c r="D84" s="144"/>
      <c r="E84" s="145"/>
      <c r="F84" s="146"/>
      <c r="G84" s="147"/>
      <c r="H84" s="130"/>
      <c r="I84" s="114"/>
      <c r="J84" s="113"/>
      <c r="K84" s="112"/>
      <c r="L84" s="112"/>
      <c r="M84" s="112"/>
      <c r="N84" s="113"/>
      <c r="O84" s="118"/>
      <c r="P84" s="127"/>
      <c r="Q84" s="118"/>
      <c r="R84" s="118"/>
      <c r="S84" s="116"/>
      <c r="T84" s="120">
        <v>5</v>
      </c>
      <c r="U84" s="120"/>
      <c r="V84" s="116"/>
      <c r="W84" s="116"/>
      <c r="X84" s="116"/>
      <c r="Y84" s="120"/>
      <c r="Z84" s="120"/>
      <c r="AA84" s="116"/>
      <c r="AB84" s="118"/>
      <c r="AC84" s="117"/>
      <c r="AD84" s="118"/>
      <c r="AE84" s="118"/>
      <c r="AF84" s="118"/>
      <c r="AG84" s="118"/>
      <c r="AH84" s="117"/>
      <c r="AI84" s="116"/>
      <c r="AJ84" s="120"/>
      <c r="AK84" s="120"/>
      <c r="AL84" s="116"/>
      <c r="AM84" s="116"/>
      <c r="AN84" s="120"/>
      <c r="AO84" s="116"/>
      <c r="AP84" s="116"/>
      <c r="AQ84" s="120"/>
      <c r="AR84" s="116"/>
      <c r="AS84" s="121"/>
      <c r="AT84" s="121"/>
    </row>
    <row r="85" spans="1:46" ht="21.1">
      <c r="A85" s="82" t="s">
        <v>88</v>
      </c>
      <c r="B85" s="247"/>
      <c r="C85" s="214"/>
      <c r="D85" s="133"/>
      <c r="E85" s="134"/>
      <c r="F85" s="135"/>
      <c r="G85" s="136"/>
      <c r="H85" s="107"/>
      <c r="I85" s="96">
        <v>13</v>
      </c>
      <c r="J85" s="104" t="s">
        <v>377</v>
      </c>
      <c r="K85" s="75">
        <v>13</v>
      </c>
      <c r="L85" s="75" t="s">
        <v>375</v>
      </c>
      <c r="M85" s="75" t="s">
        <v>367</v>
      </c>
      <c r="N85" s="104" t="s">
        <v>393</v>
      </c>
      <c r="O85" s="109"/>
      <c r="P85" s="108"/>
      <c r="Q85" s="109" t="s">
        <v>375</v>
      </c>
      <c r="R85" s="109">
        <v>13</v>
      </c>
      <c r="S85" s="100" t="s">
        <v>377</v>
      </c>
      <c r="T85" s="110" t="s">
        <v>339</v>
      </c>
      <c r="U85" s="110" t="s">
        <v>339</v>
      </c>
      <c r="V85" s="100" t="s">
        <v>339</v>
      </c>
      <c r="W85" s="100" t="s">
        <v>339</v>
      </c>
      <c r="X85" s="100" t="s">
        <v>339</v>
      </c>
      <c r="Y85" s="110" t="s">
        <v>339</v>
      </c>
      <c r="Z85" s="110" t="s">
        <v>339</v>
      </c>
      <c r="AA85" s="100" t="s">
        <v>339</v>
      </c>
      <c r="AB85" s="99" t="s">
        <v>339</v>
      </c>
      <c r="AC85" s="108"/>
      <c r="AD85" s="109" t="s">
        <v>377</v>
      </c>
      <c r="AE85" s="109">
        <v>13</v>
      </c>
      <c r="AF85" s="109" t="s">
        <v>377</v>
      </c>
      <c r="AG85" s="109">
        <v>13</v>
      </c>
      <c r="AH85" s="108"/>
      <c r="AI85" s="100"/>
      <c r="AJ85" s="110"/>
      <c r="AK85" s="110"/>
      <c r="AL85" s="100"/>
      <c r="AM85" s="100"/>
      <c r="AN85" s="110"/>
      <c r="AO85" s="100"/>
      <c r="AP85" s="100"/>
      <c r="AQ85" s="110"/>
      <c r="AR85" s="100"/>
      <c r="AS85" s="111"/>
      <c r="AT85" s="111"/>
    </row>
    <row r="86" spans="1:46" ht="16.3">
      <c r="A86" s="246" t="s">
        <v>1</v>
      </c>
      <c r="B86" s="248">
        <f>SUM(J86+K86+L86+M86+N86+S86+V86+W86+X86+AA86+AI86+AJ86+AI86+AM86+AP86+AQ86+AS86+AT86+AU86+AV86+AN86)+18</f>
        <v>22</v>
      </c>
      <c r="C86" s="215">
        <f>B86</f>
        <v>22</v>
      </c>
      <c r="D86" s="133"/>
      <c r="E86" s="134"/>
      <c r="F86" s="135"/>
      <c r="G86" s="136"/>
      <c r="H86" s="107"/>
      <c r="I86" s="96">
        <v>1</v>
      </c>
      <c r="J86" s="104">
        <v>1</v>
      </c>
      <c r="K86" s="75">
        <v>1</v>
      </c>
      <c r="L86" s="75"/>
      <c r="M86" s="75">
        <v>1</v>
      </c>
      <c r="N86" s="104"/>
      <c r="O86" s="109"/>
      <c r="P86" s="108"/>
      <c r="Q86" s="109"/>
      <c r="R86" s="109">
        <v>1</v>
      </c>
      <c r="S86" s="100">
        <v>1</v>
      </c>
      <c r="T86" s="110"/>
      <c r="U86" s="110"/>
      <c r="V86" s="100"/>
      <c r="W86" s="100"/>
      <c r="X86" s="100"/>
      <c r="Y86" s="110"/>
      <c r="Z86" s="110"/>
      <c r="AA86" s="100"/>
      <c r="AB86" s="109"/>
      <c r="AC86" s="108"/>
      <c r="AD86" s="109">
        <v>1</v>
      </c>
      <c r="AE86" s="109">
        <v>1</v>
      </c>
      <c r="AF86" s="109">
        <v>1</v>
      </c>
      <c r="AG86" s="109">
        <v>1</v>
      </c>
      <c r="AH86" s="108"/>
      <c r="AI86" s="100"/>
      <c r="AJ86" s="110"/>
      <c r="AK86" s="110"/>
      <c r="AL86" s="100"/>
      <c r="AM86" s="100"/>
      <c r="AN86" s="110"/>
      <c r="AO86" s="100"/>
      <c r="AP86" s="100"/>
      <c r="AQ86" s="110"/>
      <c r="AR86" s="100"/>
      <c r="AS86" s="111"/>
      <c r="AT86" s="111"/>
    </row>
    <row r="87" spans="1:46" ht="16.3">
      <c r="A87" s="246" t="s">
        <v>2</v>
      </c>
      <c r="B87" s="248">
        <f>SUM(J87+K87+L87+M87+N87+S87+V87+W87+X87+AA87+AI87+AJ87+AI87+AM87+AP87+AQ87+AS87+AT87+AU87+AV87)+19</f>
        <v>20</v>
      </c>
      <c r="C87" s="215">
        <f t="shared" ref="C87:C90" si="19">B87</f>
        <v>20</v>
      </c>
      <c r="D87" s="133"/>
      <c r="E87" s="134"/>
      <c r="F87" s="135"/>
      <c r="G87" s="136"/>
      <c r="H87" s="107"/>
      <c r="I87" s="96"/>
      <c r="J87" s="104"/>
      <c r="K87" s="75"/>
      <c r="L87" s="75">
        <v>1</v>
      </c>
      <c r="M87" s="75"/>
      <c r="N87" s="104"/>
      <c r="O87" s="109"/>
      <c r="P87" s="108"/>
      <c r="Q87" s="109">
        <v>1</v>
      </c>
      <c r="R87" s="109"/>
      <c r="S87" s="100"/>
      <c r="T87" s="110"/>
      <c r="U87" s="110"/>
      <c r="V87" s="100"/>
      <c r="W87" s="100"/>
      <c r="X87" s="100"/>
      <c r="Y87" s="110"/>
      <c r="Z87" s="110"/>
      <c r="AA87" s="100"/>
      <c r="AB87" s="109"/>
      <c r="AC87" s="108"/>
      <c r="AD87" s="109"/>
      <c r="AE87" s="109"/>
      <c r="AF87" s="109"/>
      <c r="AG87" s="109"/>
      <c r="AH87" s="108"/>
      <c r="AI87" s="100"/>
      <c r="AJ87" s="110"/>
      <c r="AK87" s="110"/>
      <c r="AL87" s="100"/>
      <c r="AM87" s="100"/>
      <c r="AN87" s="110"/>
      <c r="AO87" s="100"/>
      <c r="AP87" s="100"/>
      <c r="AQ87" s="110"/>
      <c r="AR87" s="100"/>
      <c r="AS87" s="111"/>
      <c r="AT87" s="111"/>
    </row>
    <row r="88" spans="1:46" ht="16.3">
      <c r="A88" s="83" t="s">
        <v>363</v>
      </c>
      <c r="B88" s="247">
        <f>SUM(B86+B87)</f>
        <v>42</v>
      </c>
      <c r="C88" s="214">
        <f t="shared" si="19"/>
        <v>42</v>
      </c>
      <c r="D88" s="133"/>
      <c r="E88" s="134"/>
      <c r="F88" s="135"/>
      <c r="G88" s="136"/>
      <c r="H88" s="107"/>
      <c r="I88" s="96"/>
      <c r="J88" s="104"/>
      <c r="K88" s="75"/>
      <c r="L88" s="75"/>
      <c r="M88" s="75"/>
      <c r="N88" s="104"/>
      <c r="O88" s="109"/>
      <c r="P88" s="108"/>
      <c r="Q88" s="109"/>
      <c r="R88" s="109"/>
      <c r="S88" s="100"/>
      <c r="T88" s="110"/>
      <c r="U88" s="110"/>
      <c r="V88" s="100"/>
      <c r="W88" s="100"/>
      <c r="X88" s="100"/>
      <c r="Y88" s="110"/>
      <c r="Z88" s="110"/>
      <c r="AA88" s="100"/>
      <c r="AB88" s="109"/>
      <c r="AC88" s="108"/>
      <c r="AD88" s="109"/>
      <c r="AE88" s="109"/>
      <c r="AF88" s="109"/>
      <c r="AG88" s="109"/>
      <c r="AH88" s="108"/>
      <c r="AI88" s="100"/>
      <c r="AJ88" s="110"/>
      <c r="AK88" s="110"/>
      <c r="AL88" s="100"/>
      <c r="AM88" s="100"/>
      <c r="AN88" s="110"/>
      <c r="AO88" s="100"/>
      <c r="AP88" s="100"/>
      <c r="AQ88" s="110"/>
      <c r="AR88" s="100"/>
      <c r="AS88" s="111"/>
      <c r="AT88" s="111"/>
    </row>
    <row r="89" spans="1:46" ht="16.3">
      <c r="A89" s="83" t="s">
        <v>3</v>
      </c>
      <c r="B89" s="247">
        <f>SUM(J89+K89+L89+M89+N89+S89+V89+W89+X89+AA89+AI89+AJ89+AI89+AM89+AP89+AQ89+AS89+AT89+AU89+AV89)+1</f>
        <v>4</v>
      </c>
      <c r="C89" s="214">
        <f t="shared" si="19"/>
        <v>4</v>
      </c>
      <c r="D89" s="133"/>
      <c r="E89" s="134"/>
      <c r="F89" s="135"/>
      <c r="G89" s="136"/>
      <c r="H89" s="107"/>
      <c r="I89" s="96"/>
      <c r="J89" s="104">
        <v>1</v>
      </c>
      <c r="K89" s="75">
        <v>1</v>
      </c>
      <c r="L89" s="75"/>
      <c r="M89" s="75"/>
      <c r="N89" s="104"/>
      <c r="O89" s="109"/>
      <c r="P89" s="108"/>
      <c r="Q89" s="109"/>
      <c r="R89" s="109"/>
      <c r="S89" s="100">
        <v>1</v>
      </c>
      <c r="T89" s="110"/>
      <c r="U89" s="110"/>
      <c r="V89" s="100"/>
      <c r="W89" s="100"/>
      <c r="X89" s="100"/>
      <c r="Y89" s="110"/>
      <c r="Z89" s="110"/>
      <c r="AA89" s="100"/>
      <c r="AB89" s="109"/>
      <c r="AC89" s="108"/>
      <c r="AD89" s="109"/>
      <c r="AE89" s="109"/>
      <c r="AF89" s="109"/>
      <c r="AG89" s="109">
        <v>1</v>
      </c>
      <c r="AH89" s="108"/>
      <c r="AI89" s="100"/>
      <c r="AJ89" s="110"/>
      <c r="AK89" s="110"/>
      <c r="AL89" s="100"/>
      <c r="AM89" s="100"/>
      <c r="AN89" s="110"/>
      <c r="AO89" s="100"/>
      <c r="AP89" s="100"/>
      <c r="AQ89" s="110"/>
      <c r="AR89" s="100"/>
      <c r="AS89" s="111"/>
      <c r="AT89" s="111"/>
    </row>
    <row r="90" spans="1:46" ht="17" thickBot="1">
      <c r="A90" s="85" t="s">
        <v>4</v>
      </c>
      <c r="B90" s="250">
        <f>SUM(J90+K90+L90+M90+N90+S90+V90+W90+X90+AA90+AI90+AJ90+AI90+AM90+AP90+AQ90+AS90+AT90+AU90+AV90)+5</f>
        <v>20</v>
      </c>
      <c r="C90" s="217">
        <f t="shared" si="19"/>
        <v>20</v>
      </c>
      <c r="D90" s="144"/>
      <c r="E90" s="145"/>
      <c r="F90" s="146"/>
      <c r="G90" s="147"/>
      <c r="H90" s="130"/>
      <c r="I90" s="114"/>
      <c r="J90" s="113">
        <v>5</v>
      </c>
      <c r="K90" s="112">
        <v>5</v>
      </c>
      <c r="L90" s="112"/>
      <c r="M90" s="112"/>
      <c r="N90" s="113"/>
      <c r="O90" s="118"/>
      <c r="P90" s="117"/>
      <c r="Q90" s="118"/>
      <c r="R90" s="118"/>
      <c r="S90" s="116">
        <v>5</v>
      </c>
      <c r="T90" s="120"/>
      <c r="U90" s="120"/>
      <c r="V90" s="116"/>
      <c r="W90" s="116"/>
      <c r="X90" s="116"/>
      <c r="Y90" s="120"/>
      <c r="Z90" s="120"/>
      <c r="AA90" s="116"/>
      <c r="AB90" s="118"/>
      <c r="AC90" s="117"/>
      <c r="AD90" s="118"/>
      <c r="AE90" s="118"/>
      <c r="AF90" s="118"/>
      <c r="AG90" s="118">
        <v>5</v>
      </c>
      <c r="AH90" s="117"/>
      <c r="AI90" s="116"/>
      <c r="AJ90" s="120"/>
      <c r="AK90" s="120"/>
      <c r="AL90" s="116"/>
      <c r="AM90" s="116"/>
      <c r="AN90" s="120"/>
      <c r="AO90" s="116"/>
      <c r="AP90" s="116"/>
      <c r="AQ90" s="120"/>
      <c r="AR90" s="116"/>
      <c r="AS90" s="121"/>
      <c r="AT90" s="121"/>
    </row>
    <row r="91" spans="1:46" ht="21.1">
      <c r="A91" s="82" t="s">
        <v>176</v>
      </c>
      <c r="B91" s="247"/>
      <c r="C91" s="214"/>
      <c r="D91" s="133"/>
      <c r="E91" s="134"/>
      <c r="F91" s="135"/>
      <c r="G91" s="136"/>
      <c r="H91" s="107"/>
      <c r="I91" s="96"/>
      <c r="J91" s="104" t="s">
        <v>375</v>
      </c>
      <c r="K91" s="75" t="s">
        <v>716</v>
      </c>
      <c r="L91" s="75">
        <v>13</v>
      </c>
      <c r="M91" s="75">
        <v>13</v>
      </c>
      <c r="N91" s="104">
        <v>13</v>
      </c>
      <c r="O91" s="109"/>
      <c r="P91" s="108"/>
      <c r="Q91" s="109" t="s">
        <v>783</v>
      </c>
      <c r="R91" s="109" t="s">
        <v>783</v>
      </c>
      <c r="S91" s="100" t="s">
        <v>375</v>
      </c>
      <c r="T91" s="110">
        <v>12</v>
      </c>
      <c r="U91" s="110" t="s">
        <v>377</v>
      </c>
      <c r="V91" s="100"/>
      <c r="W91" s="100" t="s">
        <v>381</v>
      </c>
      <c r="X91" s="100" t="s">
        <v>375</v>
      </c>
      <c r="Y91" s="110" t="s">
        <v>732</v>
      </c>
      <c r="Z91" s="110" t="s">
        <v>339</v>
      </c>
      <c r="AA91" s="100">
        <v>13</v>
      </c>
      <c r="AB91" s="109"/>
      <c r="AC91" s="108"/>
      <c r="AD91" s="109" t="s">
        <v>783</v>
      </c>
      <c r="AE91" s="109" t="s">
        <v>783</v>
      </c>
      <c r="AF91" s="109" t="s">
        <v>375</v>
      </c>
      <c r="AG91" s="109">
        <v>12</v>
      </c>
      <c r="AH91" s="108"/>
      <c r="AI91" s="100"/>
      <c r="AJ91" s="110"/>
      <c r="AK91" s="110"/>
      <c r="AL91" s="100"/>
      <c r="AM91" s="100"/>
      <c r="AN91" s="110"/>
      <c r="AO91" s="100"/>
      <c r="AP91" s="100"/>
      <c r="AQ91" s="110"/>
      <c r="AR91" s="100"/>
      <c r="AS91" s="111"/>
      <c r="AT91" s="111"/>
    </row>
    <row r="92" spans="1:46" ht="16.3">
      <c r="A92" s="246" t="s">
        <v>1</v>
      </c>
      <c r="B92" s="248">
        <f>SUM(J92+K92+L92+M92+N92+S92+V92+W92+X92+AA92+AI92+AJ92+AI92+AM92+AP92+AQ92+AS92+AT92+AU92+AV92+AN92)+104</f>
        <v>110</v>
      </c>
      <c r="C92" s="215">
        <f>B92</f>
        <v>110</v>
      </c>
      <c r="D92" s="139"/>
      <c r="E92" s="140"/>
      <c r="F92" s="135"/>
      <c r="G92" s="136"/>
      <c r="H92" s="107"/>
      <c r="I92" s="96"/>
      <c r="J92" s="104"/>
      <c r="K92" s="75">
        <v>1</v>
      </c>
      <c r="L92" s="75">
        <v>1</v>
      </c>
      <c r="M92" s="75">
        <v>1</v>
      </c>
      <c r="N92" s="104">
        <v>1</v>
      </c>
      <c r="O92" s="109"/>
      <c r="P92" s="108"/>
      <c r="Q92" s="109"/>
      <c r="R92" s="109"/>
      <c r="S92" s="100"/>
      <c r="T92" s="110">
        <v>1</v>
      </c>
      <c r="U92" s="110">
        <v>1</v>
      </c>
      <c r="V92" s="100"/>
      <c r="W92" s="100">
        <v>1</v>
      </c>
      <c r="X92" s="100"/>
      <c r="Y92" s="110">
        <v>1</v>
      </c>
      <c r="Z92" s="110"/>
      <c r="AA92" s="100">
        <v>1</v>
      </c>
      <c r="AB92" s="109"/>
      <c r="AC92" s="108"/>
      <c r="AD92" s="109"/>
      <c r="AE92" s="109"/>
      <c r="AF92" s="109"/>
      <c r="AG92" s="109">
        <v>1</v>
      </c>
      <c r="AH92" s="108"/>
      <c r="AI92" s="100"/>
      <c r="AJ92" s="110"/>
      <c r="AK92" s="110"/>
      <c r="AL92" s="100"/>
      <c r="AM92" s="100"/>
      <c r="AN92" s="110"/>
      <c r="AO92" s="100"/>
      <c r="AP92" s="100"/>
      <c r="AQ92" s="110"/>
      <c r="AR92" s="100"/>
      <c r="AS92" s="111"/>
      <c r="AT92" s="111"/>
    </row>
    <row r="93" spans="1:46" ht="16.3">
      <c r="A93" s="246" t="s">
        <v>2</v>
      </c>
      <c r="B93" s="248">
        <f>SUM(J93+K93+L93+M93+N93+S93+V93+W93+X93+AA93+AI93+AJ93+AI93+AM93+AP93+AQ93+AS93+AT93+AU93+AV93)+18</f>
        <v>21</v>
      </c>
      <c r="C93" s="215">
        <f t="shared" ref="C93:C97" si="20">B93</f>
        <v>21</v>
      </c>
      <c r="D93" s="139"/>
      <c r="E93" s="140"/>
      <c r="F93" s="135"/>
      <c r="G93" s="136"/>
      <c r="H93" s="107"/>
      <c r="I93" s="96"/>
      <c r="J93" s="104">
        <v>1</v>
      </c>
      <c r="K93" s="75"/>
      <c r="L93" s="75"/>
      <c r="M93" s="75"/>
      <c r="N93" s="104"/>
      <c r="O93" s="109"/>
      <c r="P93" s="108"/>
      <c r="Q93" s="109"/>
      <c r="R93" s="109"/>
      <c r="S93" s="100">
        <v>1</v>
      </c>
      <c r="T93" s="110"/>
      <c r="U93" s="110"/>
      <c r="V93" s="100"/>
      <c r="W93" s="100"/>
      <c r="X93" s="100">
        <v>1</v>
      </c>
      <c r="Y93" s="110"/>
      <c r="Z93" s="110"/>
      <c r="AA93" s="100"/>
      <c r="AB93" s="109"/>
      <c r="AC93" s="108"/>
      <c r="AD93" s="109"/>
      <c r="AE93" s="109"/>
      <c r="AF93" s="109">
        <v>1</v>
      </c>
      <c r="AG93" s="109"/>
      <c r="AH93" s="108"/>
      <c r="AI93" s="100"/>
      <c r="AJ93" s="110"/>
      <c r="AK93" s="110"/>
      <c r="AL93" s="100"/>
      <c r="AM93" s="100"/>
      <c r="AN93" s="110"/>
      <c r="AO93" s="100"/>
      <c r="AP93" s="100"/>
      <c r="AQ93" s="110"/>
      <c r="AR93" s="100"/>
      <c r="AS93" s="111"/>
      <c r="AT93" s="111"/>
    </row>
    <row r="94" spans="1:46" ht="16.3">
      <c r="A94" s="83" t="s">
        <v>363</v>
      </c>
      <c r="B94" s="247">
        <f>SUM(B92+B93)</f>
        <v>131</v>
      </c>
      <c r="C94" s="214">
        <f t="shared" si="20"/>
        <v>131</v>
      </c>
      <c r="D94" s="133"/>
      <c r="E94" s="134"/>
      <c r="F94" s="135"/>
      <c r="G94" s="136"/>
      <c r="H94" s="107"/>
      <c r="I94" s="96"/>
      <c r="J94" s="104"/>
      <c r="K94" s="75"/>
      <c r="L94" s="75"/>
      <c r="M94" s="75"/>
      <c r="N94" s="104"/>
      <c r="O94" s="109"/>
      <c r="P94" s="108"/>
      <c r="Q94" s="109"/>
      <c r="R94" s="109"/>
      <c r="S94" s="100"/>
      <c r="T94" s="110"/>
      <c r="U94" s="110"/>
      <c r="V94" s="100"/>
      <c r="W94" s="100"/>
      <c r="X94" s="100"/>
      <c r="Y94" s="110"/>
      <c r="Z94" s="110"/>
      <c r="AA94" s="100"/>
      <c r="AB94" s="109"/>
      <c r="AC94" s="108"/>
      <c r="AD94" s="109"/>
      <c r="AE94" s="109"/>
      <c r="AF94" s="109"/>
      <c r="AG94" s="109"/>
      <c r="AH94" s="108"/>
      <c r="AI94" s="100"/>
      <c r="AJ94" s="110"/>
      <c r="AK94" s="110"/>
      <c r="AL94" s="100"/>
      <c r="AM94" s="100"/>
      <c r="AN94" s="110"/>
      <c r="AO94" s="100"/>
      <c r="AP94" s="100"/>
      <c r="AQ94" s="110"/>
      <c r="AR94" s="100"/>
      <c r="AS94" s="111"/>
      <c r="AT94" s="111"/>
    </row>
    <row r="95" spans="1:46" ht="16.3">
      <c r="A95" s="246" t="s">
        <v>366</v>
      </c>
      <c r="B95" s="248">
        <f>SUM(J95+K95+L95+M95+N95+S95+V95+W95+X95+AA95+AI95+AJ95+AI95+AM95+AP95+AQ95+AS95+AT95+AU95+AV95)+1</f>
        <v>1</v>
      </c>
      <c r="C95" s="215">
        <f t="shared" si="20"/>
        <v>1</v>
      </c>
      <c r="D95" s="133"/>
      <c r="E95" s="134"/>
      <c r="F95" s="135"/>
      <c r="G95" s="136"/>
      <c r="H95" s="107"/>
      <c r="I95" s="96"/>
      <c r="J95" s="104"/>
      <c r="K95" s="75"/>
      <c r="L95" s="75"/>
      <c r="M95" s="75"/>
      <c r="N95" s="104"/>
      <c r="O95" s="109"/>
      <c r="P95" s="108"/>
      <c r="Q95" s="109"/>
      <c r="R95" s="109"/>
      <c r="S95" s="100"/>
      <c r="T95" s="110"/>
      <c r="U95" s="110"/>
      <c r="V95" s="100"/>
      <c r="W95" s="100"/>
      <c r="X95" s="100"/>
      <c r="Y95" s="110"/>
      <c r="Z95" s="110"/>
      <c r="AA95" s="100"/>
      <c r="AB95" s="109"/>
      <c r="AC95" s="108"/>
      <c r="AD95" s="109"/>
      <c r="AE95" s="109"/>
      <c r="AF95" s="109"/>
      <c r="AG95" s="109"/>
      <c r="AH95" s="108"/>
      <c r="AI95" s="100"/>
      <c r="AJ95" s="110"/>
      <c r="AK95" s="110"/>
      <c r="AL95" s="100"/>
      <c r="AM95" s="100"/>
      <c r="AN95" s="110"/>
      <c r="AO95" s="100"/>
      <c r="AP95" s="100"/>
      <c r="AQ95" s="110"/>
      <c r="AR95" s="100"/>
      <c r="AS95" s="111"/>
      <c r="AT95" s="111"/>
    </row>
    <row r="96" spans="1:46" ht="16.3">
      <c r="A96" s="246" t="s">
        <v>362</v>
      </c>
      <c r="B96" s="248">
        <f>SUM(J96+K96+L96+M96+N96+S96+V96+W96+X96+AA96+AI96+AJ96+AI96+AM96+AP96+AQ96+AS96+AT96+AU96+AV96)+4</f>
        <v>4</v>
      </c>
      <c r="C96" s="215">
        <f t="shared" si="20"/>
        <v>4</v>
      </c>
      <c r="D96" s="133"/>
      <c r="E96" s="134"/>
      <c r="F96" s="135"/>
      <c r="G96" s="136"/>
      <c r="H96" s="107"/>
      <c r="I96" s="96"/>
      <c r="J96" s="104"/>
      <c r="K96" s="75"/>
      <c r="L96" s="75"/>
      <c r="M96" s="75"/>
      <c r="N96" s="104"/>
      <c r="O96" s="109"/>
      <c r="P96" s="108"/>
      <c r="Q96" s="109"/>
      <c r="R96" s="109"/>
      <c r="S96" s="100"/>
      <c r="T96" s="110"/>
      <c r="U96" s="110"/>
      <c r="V96" s="100"/>
      <c r="W96" s="100"/>
      <c r="X96" s="100"/>
      <c r="Y96" s="110">
        <v>1</v>
      </c>
      <c r="Z96" s="110"/>
      <c r="AA96" s="100"/>
      <c r="AB96" s="109"/>
      <c r="AC96" s="108"/>
      <c r="AD96" s="109"/>
      <c r="AE96" s="109"/>
      <c r="AF96" s="109"/>
      <c r="AG96" s="109"/>
      <c r="AH96" s="108"/>
      <c r="AI96" s="100"/>
      <c r="AJ96" s="110"/>
      <c r="AK96" s="110"/>
      <c r="AL96" s="100"/>
      <c r="AM96" s="100"/>
      <c r="AN96" s="110"/>
      <c r="AO96" s="100"/>
      <c r="AP96" s="100"/>
      <c r="AQ96" s="110"/>
      <c r="AR96" s="100"/>
      <c r="AS96" s="111"/>
      <c r="AT96" s="111"/>
    </row>
    <row r="97" spans="1:46" ht="16.3">
      <c r="A97" s="246" t="s">
        <v>5</v>
      </c>
      <c r="B97" s="248">
        <f>SUM(J97+K97+L97+M97+N97+S97+V97+W97+X97+AA97+AI97+AJ97+AI97+AM97+AP97+AQ97+AS97+AT97+AU97+AV97)+23</f>
        <v>23</v>
      </c>
      <c r="C97" s="215">
        <f t="shared" si="20"/>
        <v>23</v>
      </c>
      <c r="D97" s="133"/>
      <c r="E97" s="134"/>
      <c r="F97" s="135"/>
      <c r="G97" s="136"/>
      <c r="H97" s="107"/>
      <c r="I97" s="96"/>
      <c r="J97" s="104"/>
      <c r="K97" s="75"/>
      <c r="L97" s="75"/>
      <c r="M97" s="75"/>
      <c r="N97" s="104"/>
      <c r="O97" s="109"/>
      <c r="P97" s="108"/>
      <c r="Q97" s="109"/>
      <c r="R97" s="109"/>
      <c r="S97" s="100"/>
      <c r="T97" s="110"/>
      <c r="U97" s="110"/>
      <c r="V97" s="100"/>
      <c r="W97" s="100"/>
      <c r="X97" s="100"/>
      <c r="Y97" s="110"/>
      <c r="Z97" s="110"/>
      <c r="AA97" s="100"/>
      <c r="AB97" s="109"/>
      <c r="AC97" s="108"/>
      <c r="AD97" s="109"/>
      <c r="AE97" s="109"/>
      <c r="AF97" s="109"/>
      <c r="AG97" s="109"/>
      <c r="AH97" s="108"/>
      <c r="AI97" s="100"/>
      <c r="AJ97" s="110"/>
      <c r="AK97" s="110"/>
      <c r="AL97" s="100"/>
      <c r="AM97" s="100"/>
      <c r="AN97" s="110"/>
      <c r="AO97" s="100"/>
      <c r="AP97" s="100"/>
      <c r="AQ97" s="110"/>
      <c r="AR97" s="100"/>
      <c r="AS97" s="111"/>
      <c r="AT97" s="111"/>
    </row>
    <row r="98" spans="1:46" ht="16.3">
      <c r="A98" s="246" t="s">
        <v>6</v>
      </c>
      <c r="B98" s="248">
        <f>SUM(J98+K98+L98+M98+N98+S98+V98+W98+X98+AA98+AI98+AJ98+AI98+AM98+AP98+AQ98+AS98+AT98+AU98+AV98)+32</f>
        <v>32</v>
      </c>
      <c r="C98" s="215">
        <f t="shared" ref="C98" si="21">B98</f>
        <v>32</v>
      </c>
      <c r="D98" s="133"/>
      <c r="E98" s="134"/>
      <c r="F98" s="135"/>
      <c r="G98" s="136"/>
      <c r="H98" s="107"/>
      <c r="I98" s="96"/>
      <c r="J98" s="104"/>
      <c r="K98" s="75"/>
      <c r="L98" s="75"/>
      <c r="M98" s="75"/>
      <c r="N98" s="104"/>
      <c r="O98" s="109"/>
      <c r="P98" s="108"/>
      <c r="Q98" s="109"/>
      <c r="R98" s="109"/>
      <c r="S98" s="100"/>
      <c r="T98" s="110"/>
      <c r="U98" s="110"/>
      <c r="V98" s="100"/>
      <c r="W98" s="100"/>
      <c r="X98" s="100"/>
      <c r="Y98" s="110"/>
      <c r="Z98" s="110"/>
      <c r="AA98" s="100"/>
      <c r="AB98" s="109"/>
      <c r="AC98" s="108"/>
      <c r="AD98" s="109"/>
      <c r="AE98" s="109"/>
      <c r="AF98" s="109"/>
      <c r="AG98" s="109"/>
      <c r="AH98" s="108"/>
      <c r="AI98" s="100"/>
      <c r="AJ98" s="110"/>
      <c r="AK98" s="110"/>
      <c r="AL98" s="100"/>
      <c r="AM98" s="100"/>
      <c r="AN98" s="110"/>
      <c r="AO98" s="100"/>
      <c r="AP98" s="100"/>
      <c r="AQ98" s="110"/>
      <c r="AR98" s="100"/>
      <c r="AS98" s="111"/>
      <c r="AT98" s="111"/>
    </row>
    <row r="99" spans="1:46" ht="16.3">
      <c r="A99" s="246" t="s">
        <v>368</v>
      </c>
      <c r="B99" s="249">
        <f>SUM(B97/B98)*100</f>
        <v>71.875</v>
      </c>
      <c r="C99" s="216">
        <f>SUM(C97/C98)*100</f>
        <v>71.875</v>
      </c>
      <c r="D99" s="133"/>
      <c r="E99" s="134"/>
      <c r="F99" s="135"/>
      <c r="G99" s="136"/>
      <c r="H99" s="107"/>
      <c r="I99" s="96"/>
      <c r="J99" s="104"/>
      <c r="K99" s="75"/>
      <c r="L99" s="75"/>
      <c r="M99" s="75"/>
      <c r="N99" s="104"/>
      <c r="O99" s="109"/>
      <c r="P99" s="108"/>
      <c r="Q99" s="109"/>
      <c r="R99" s="109"/>
      <c r="S99" s="100"/>
      <c r="T99" s="110"/>
      <c r="U99" s="110"/>
      <c r="V99" s="100"/>
      <c r="W99" s="100"/>
      <c r="X99" s="100"/>
      <c r="Y99" s="110"/>
      <c r="Z99" s="110"/>
      <c r="AA99" s="100"/>
      <c r="AB99" s="109"/>
      <c r="AC99" s="108"/>
      <c r="AD99" s="109"/>
      <c r="AE99" s="109"/>
      <c r="AF99" s="109"/>
      <c r="AG99" s="109"/>
      <c r="AH99" s="108"/>
      <c r="AI99" s="100"/>
      <c r="AJ99" s="110"/>
      <c r="AK99" s="110"/>
      <c r="AL99" s="100"/>
      <c r="AM99" s="100"/>
      <c r="AN99" s="110"/>
      <c r="AO99" s="100"/>
      <c r="AP99" s="100"/>
      <c r="AQ99" s="110"/>
      <c r="AR99" s="100"/>
      <c r="AS99" s="111"/>
      <c r="AT99" s="111"/>
    </row>
    <row r="100" spans="1:46" ht="16.3">
      <c r="A100" s="83" t="s">
        <v>3</v>
      </c>
      <c r="B100" s="247">
        <f>SUM(J100+K100+L100+M100+N100+S100+V100+W100+X100+AA100+AI100+AJ100+AI100+AM100+AP100+AQ100+AS100+AT100+AU100+AV100)+26</f>
        <v>27</v>
      </c>
      <c r="C100" s="214">
        <f t="shared" ref="C100:C101" si="22">B100</f>
        <v>27</v>
      </c>
      <c r="D100" s="133"/>
      <c r="E100" s="134"/>
      <c r="F100" s="135"/>
      <c r="G100" s="136"/>
      <c r="H100" s="107"/>
      <c r="I100" s="96"/>
      <c r="J100" s="104"/>
      <c r="K100" s="75"/>
      <c r="L100" s="75"/>
      <c r="M100" s="75"/>
      <c r="N100" s="104"/>
      <c r="O100" s="109"/>
      <c r="P100" s="108"/>
      <c r="Q100" s="109"/>
      <c r="R100" s="109"/>
      <c r="S100" s="100"/>
      <c r="T100" s="110"/>
      <c r="U100" s="110"/>
      <c r="V100" s="100"/>
      <c r="W100" s="100"/>
      <c r="X100" s="100"/>
      <c r="Y100" s="110"/>
      <c r="Z100" s="110"/>
      <c r="AA100" s="100">
        <v>1</v>
      </c>
      <c r="AB100" s="109"/>
      <c r="AC100" s="108"/>
      <c r="AD100" s="109"/>
      <c r="AE100" s="109"/>
      <c r="AF100" s="109">
        <v>1</v>
      </c>
      <c r="AG100" s="109"/>
      <c r="AH100" s="108"/>
      <c r="AI100" s="100"/>
      <c r="AJ100" s="110"/>
      <c r="AK100" s="110"/>
      <c r="AL100" s="100"/>
      <c r="AM100" s="100"/>
      <c r="AN100" s="110"/>
      <c r="AO100" s="100"/>
      <c r="AP100" s="100"/>
      <c r="AQ100" s="110"/>
      <c r="AR100" s="100"/>
      <c r="AS100" s="111"/>
      <c r="AT100" s="111"/>
    </row>
    <row r="101" spans="1:46" ht="17" thickBot="1">
      <c r="A101" s="85" t="s">
        <v>4</v>
      </c>
      <c r="B101" s="250">
        <f>SUM(J101+K101+L101+M101+N101+S101+V101+W101+X101+AA101+AI101+AJ101+AI101+AM101+AP101+AQ101+AS101+AT101+AU101+AV101)+178</f>
        <v>183</v>
      </c>
      <c r="C101" s="217">
        <f t="shared" si="22"/>
        <v>183</v>
      </c>
      <c r="D101" s="144"/>
      <c r="E101" s="145"/>
      <c r="F101" s="146"/>
      <c r="G101" s="147"/>
      <c r="H101" s="130"/>
      <c r="I101" s="114"/>
      <c r="J101" s="113"/>
      <c r="K101" s="112"/>
      <c r="L101" s="112"/>
      <c r="M101" s="112"/>
      <c r="N101" s="113"/>
      <c r="O101" s="118"/>
      <c r="P101" s="117"/>
      <c r="Q101" s="118"/>
      <c r="R101" s="118"/>
      <c r="S101" s="116"/>
      <c r="T101" s="120"/>
      <c r="U101" s="120"/>
      <c r="V101" s="116"/>
      <c r="W101" s="116"/>
      <c r="X101" s="116"/>
      <c r="Y101" s="120"/>
      <c r="Z101" s="120"/>
      <c r="AA101" s="116">
        <v>5</v>
      </c>
      <c r="AB101" s="118"/>
      <c r="AC101" s="117"/>
      <c r="AD101" s="118"/>
      <c r="AE101" s="118"/>
      <c r="AF101" s="118">
        <v>5</v>
      </c>
      <c r="AG101" s="118"/>
      <c r="AH101" s="117"/>
      <c r="AI101" s="116"/>
      <c r="AJ101" s="120"/>
      <c r="AK101" s="120"/>
      <c r="AL101" s="116"/>
      <c r="AM101" s="116"/>
      <c r="AN101" s="120"/>
      <c r="AO101" s="116"/>
      <c r="AP101" s="116"/>
      <c r="AQ101" s="120"/>
      <c r="AR101" s="116"/>
      <c r="AS101" s="121"/>
      <c r="AT101" s="121"/>
    </row>
    <row r="102" spans="1:46" ht="21.1">
      <c r="A102" s="82" t="s">
        <v>215</v>
      </c>
      <c r="B102" s="247"/>
      <c r="C102" s="214"/>
      <c r="D102" s="133"/>
      <c r="E102" s="134"/>
      <c r="F102" s="135"/>
      <c r="G102" s="136"/>
      <c r="H102" s="107"/>
      <c r="I102" s="96">
        <v>12</v>
      </c>
      <c r="J102" s="104" t="s">
        <v>375</v>
      </c>
      <c r="K102" s="75" t="s">
        <v>393</v>
      </c>
      <c r="L102" s="75"/>
      <c r="M102" s="75"/>
      <c r="N102" s="104"/>
      <c r="O102" s="109">
        <v>12</v>
      </c>
      <c r="P102" s="108"/>
      <c r="Q102" s="109">
        <v>12</v>
      </c>
      <c r="R102" s="109">
        <v>12</v>
      </c>
      <c r="S102" s="100">
        <v>12</v>
      </c>
      <c r="T102" s="110" t="s">
        <v>375</v>
      </c>
      <c r="U102" s="110" t="s">
        <v>375</v>
      </c>
      <c r="V102" s="100" t="s">
        <v>451</v>
      </c>
      <c r="W102" s="100"/>
      <c r="X102" s="100"/>
      <c r="Y102" s="110" t="s">
        <v>375</v>
      </c>
      <c r="Z102" s="110"/>
      <c r="AA102" s="100"/>
      <c r="AB102" s="109">
        <v>12</v>
      </c>
      <c r="AC102" s="108"/>
      <c r="AD102" s="109">
        <v>12</v>
      </c>
      <c r="AE102" s="109">
        <v>12</v>
      </c>
      <c r="AF102" s="109">
        <v>12</v>
      </c>
      <c r="AG102" s="109" t="s">
        <v>375</v>
      </c>
      <c r="AH102" s="108"/>
      <c r="AI102" s="100"/>
      <c r="AJ102" s="110"/>
      <c r="AK102" s="110"/>
      <c r="AL102" s="100"/>
      <c r="AM102" s="100"/>
      <c r="AN102" s="110"/>
      <c r="AO102" s="100"/>
      <c r="AP102" s="100"/>
      <c r="AQ102" s="110"/>
      <c r="AR102" s="100"/>
      <c r="AS102" s="111"/>
      <c r="AT102" s="111"/>
    </row>
    <row r="103" spans="1:46" ht="16.3">
      <c r="A103" s="246" t="s">
        <v>1</v>
      </c>
      <c r="B103" s="248">
        <f>SUM(J103+K103+L103+M103+N103+S103+V103+W103+X103+AA103+AI103+AJ103+AI103+AM103+AP103+AQ103+AS103+AT103+AU103+AV103+AN103)</f>
        <v>2</v>
      </c>
      <c r="C103" s="215">
        <f>B103</f>
        <v>2</v>
      </c>
      <c r="D103" s="139"/>
      <c r="E103" s="140"/>
      <c r="F103" s="135"/>
      <c r="G103" s="136"/>
      <c r="H103" s="107"/>
      <c r="I103" s="96">
        <v>1</v>
      </c>
      <c r="J103" s="104"/>
      <c r="K103" s="75"/>
      <c r="L103" s="75"/>
      <c r="M103" s="75"/>
      <c r="N103" s="104"/>
      <c r="O103" s="109">
        <v>1</v>
      </c>
      <c r="P103" s="108"/>
      <c r="Q103" s="109">
        <v>1</v>
      </c>
      <c r="R103" s="109">
        <v>1</v>
      </c>
      <c r="S103" s="100">
        <v>1</v>
      </c>
      <c r="T103" s="110"/>
      <c r="U103" s="110"/>
      <c r="V103" s="100">
        <v>1</v>
      </c>
      <c r="W103" s="100"/>
      <c r="X103" s="100"/>
      <c r="Y103" s="110"/>
      <c r="Z103" s="110"/>
      <c r="AA103" s="100"/>
      <c r="AB103" s="109">
        <v>1</v>
      </c>
      <c r="AC103" s="108"/>
      <c r="AD103" s="109">
        <v>1</v>
      </c>
      <c r="AE103" s="109">
        <v>1</v>
      </c>
      <c r="AF103" s="109">
        <v>1</v>
      </c>
      <c r="AG103" s="109"/>
      <c r="AH103" s="108"/>
      <c r="AI103" s="100"/>
      <c r="AJ103" s="110"/>
      <c r="AK103" s="110"/>
      <c r="AL103" s="100"/>
      <c r="AM103" s="100"/>
      <c r="AN103" s="110"/>
      <c r="AO103" s="100"/>
      <c r="AP103" s="100"/>
      <c r="AQ103" s="110"/>
      <c r="AR103" s="100"/>
      <c r="AS103" s="111"/>
      <c r="AT103" s="111"/>
    </row>
    <row r="104" spans="1:46" ht="16.3">
      <c r="A104" s="246" t="s">
        <v>2</v>
      </c>
      <c r="B104" s="248">
        <f>SUM(J104+K104+L104+M104+N104+S104+V104+W104+X104+AA104+AI104+AJ104+AI104+AM104+AP104+AQ104+AS104+AT104+AU104+AV104)+3</f>
        <v>4</v>
      </c>
      <c r="C104" s="215">
        <f t="shared" ref="C104:C108" si="23">B104</f>
        <v>4</v>
      </c>
      <c r="D104" s="139"/>
      <c r="E104" s="140"/>
      <c r="F104" s="135"/>
      <c r="G104" s="136"/>
      <c r="H104" s="107"/>
      <c r="I104" s="96"/>
      <c r="J104" s="104">
        <v>1</v>
      </c>
      <c r="K104" s="75"/>
      <c r="L104" s="75"/>
      <c r="M104" s="75"/>
      <c r="N104" s="104"/>
      <c r="O104" s="109"/>
      <c r="P104" s="108"/>
      <c r="Q104" s="109"/>
      <c r="R104" s="109"/>
      <c r="S104" s="100"/>
      <c r="T104" s="110">
        <v>1</v>
      </c>
      <c r="U104" s="110">
        <v>1</v>
      </c>
      <c r="V104" s="100"/>
      <c r="W104" s="100"/>
      <c r="X104" s="100"/>
      <c r="Y104" s="110">
        <v>1</v>
      </c>
      <c r="Z104" s="110"/>
      <c r="AA104" s="100"/>
      <c r="AB104" s="109"/>
      <c r="AC104" s="108"/>
      <c r="AD104" s="109"/>
      <c r="AE104" s="109"/>
      <c r="AF104" s="109"/>
      <c r="AG104" s="109">
        <v>1</v>
      </c>
      <c r="AH104" s="108"/>
      <c r="AI104" s="100"/>
      <c r="AJ104" s="110"/>
      <c r="AK104" s="110"/>
      <c r="AL104" s="100"/>
      <c r="AM104" s="100"/>
      <c r="AN104" s="110"/>
      <c r="AO104" s="100"/>
      <c r="AP104" s="100"/>
      <c r="AQ104" s="110"/>
      <c r="AR104" s="100"/>
      <c r="AS104" s="111"/>
      <c r="AT104" s="111"/>
    </row>
    <row r="105" spans="1:46" ht="16.3">
      <c r="A105" s="83" t="s">
        <v>363</v>
      </c>
      <c r="B105" s="247">
        <f>SUM(B103+B104)</f>
        <v>6</v>
      </c>
      <c r="C105" s="214">
        <f t="shared" si="23"/>
        <v>6</v>
      </c>
      <c r="D105" s="139"/>
      <c r="E105" s="140"/>
      <c r="F105" s="135"/>
      <c r="G105" s="136"/>
      <c r="H105" s="107"/>
      <c r="I105" s="96"/>
      <c r="J105" s="104"/>
      <c r="K105" s="75"/>
      <c r="L105" s="75"/>
      <c r="M105" s="75"/>
      <c r="N105" s="104"/>
      <c r="O105" s="109"/>
      <c r="P105" s="108"/>
      <c r="Q105" s="109"/>
      <c r="R105" s="109"/>
      <c r="S105" s="100"/>
      <c r="T105" s="110"/>
      <c r="U105" s="110"/>
      <c r="V105" s="100"/>
      <c r="W105" s="100"/>
      <c r="X105" s="100"/>
      <c r="Y105" s="110"/>
      <c r="Z105" s="110"/>
      <c r="AA105" s="100"/>
      <c r="AB105" s="109"/>
      <c r="AC105" s="108"/>
      <c r="AD105" s="109"/>
      <c r="AE105" s="109"/>
      <c r="AF105" s="109"/>
      <c r="AG105" s="109"/>
      <c r="AH105" s="108"/>
      <c r="AI105" s="100"/>
      <c r="AJ105" s="110"/>
      <c r="AK105" s="110"/>
      <c r="AL105" s="100"/>
      <c r="AM105" s="100"/>
      <c r="AN105" s="110"/>
      <c r="AO105" s="100"/>
      <c r="AP105" s="100"/>
      <c r="AQ105" s="110"/>
      <c r="AR105" s="100"/>
      <c r="AS105" s="111"/>
      <c r="AT105" s="111"/>
    </row>
    <row r="106" spans="1:46" ht="16.3">
      <c r="A106" s="246" t="s">
        <v>362</v>
      </c>
      <c r="B106" s="248">
        <f>SUM(J106+K106+L106+M106+N106+S106+V106+W106+X106+AA106+AI106+AJ106+AI106+AM106+AP106+AQ106+AS106+AT106+AU106+AV106)</f>
        <v>1</v>
      </c>
      <c r="C106" s="215">
        <f t="shared" ref="C106" si="24">B106</f>
        <v>1</v>
      </c>
      <c r="D106" s="139"/>
      <c r="E106" s="140"/>
      <c r="F106" s="135"/>
      <c r="G106" s="136"/>
      <c r="H106" s="107"/>
      <c r="I106" s="96"/>
      <c r="J106" s="104"/>
      <c r="K106" s="75"/>
      <c r="L106" s="75"/>
      <c r="M106" s="75"/>
      <c r="N106" s="104"/>
      <c r="O106" s="109"/>
      <c r="P106" s="108"/>
      <c r="Q106" s="109"/>
      <c r="R106" s="109"/>
      <c r="S106" s="100"/>
      <c r="T106" s="110"/>
      <c r="U106" s="110"/>
      <c r="V106" s="100">
        <v>1</v>
      </c>
      <c r="W106" s="100"/>
      <c r="X106" s="100"/>
      <c r="Y106" s="110"/>
      <c r="Z106" s="110"/>
      <c r="AA106" s="100"/>
      <c r="AB106" s="109"/>
      <c r="AC106" s="108"/>
      <c r="AD106" s="109"/>
      <c r="AE106" s="109"/>
      <c r="AF106" s="109"/>
      <c r="AG106" s="109"/>
      <c r="AH106" s="108"/>
      <c r="AI106" s="100"/>
      <c r="AJ106" s="110"/>
      <c r="AK106" s="110"/>
      <c r="AL106" s="100"/>
      <c r="AM106" s="100"/>
      <c r="AN106" s="110"/>
      <c r="AO106" s="100"/>
      <c r="AP106" s="100"/>
      <c r="AQ106" s="110"/>
      <c r="AR106" s="100"/>
      <c r="AS106" s="111"/>
      <c r="AT106" s="111"/>
    </row>
    <row r="107" spans="1:46" ht="16.3">
      <c r="A107" s="83" t="s">
        <v>3</v>
      </c>
      <c r="B107" s="247">
        <f>SUM(J107+K107+L107+M107+N107+S107+V107+W107+X107+AA107+AI107+AJ107+AI107+AM107+AP107+AQ107+AS107+AT107+AU107+AV107)</f>
        <v>1</v>
      </c>
      <c r="C107" s="214">
        <f t="shared" si="23"/>
        <v>1</v>
      </c>
      <c r="D107" s="133"/>
      <c r="E107" s="134"/>
      <c r="F107" s="135"/>
      <c r="G107" s="136"/>
      <c r="H107" s="107"/>
      <c r="I107" s="96"/>
      <c r="J107" s="104"/>
      <c r="K107" s="75"/>
      <c r="L107" s="75"/>
      <c r="M107" s="75"/>
      <c r="N107" s="104"/>
      <c r="O107" s="109"/>
      <c r="P107" s="108"/>
      <c r="Q107" s="109"/>
      <c r="R107" s="109"/>
      <c r="S107" s="100"/>
      <c r="T107" s="110"/>
      <c r="U107" s="110"/>
      <c r="V107" s="100">
        <v>1</v>
      </c>
      <c r="W107" s="100"/>
      <c r="X107" s="100"/>
      <c r="Y107" s="110"/>
      <c r="Z107" s="110"/>
      <c r="AA107" s="100"/>
      <c r="AB107" s="109"/>
      <c r="AC107" s="108"/>
      <c r="AD107" s="109"/>
      <c r="AE107" s="109">
        <v>2</v>
      </c>
      <c r="AF107" s="109"/>
      <c r="AG107" s="109"/>
      <c r="AH107" s="108"/>
      <c r="AI107" s="100"/>
      <c r="AJ107" s="110"/>
      <c r="AK107" s="110"/>
      <c r="AL107" s="100"/>
      <c r="AM107" s="100"/>
      <c r="AN107" s="110"/>
      <c r="AO107" s="100"/>
      <c r="AP107" s="100"/>
      <c r="AQ107" s="110"/>
      <c r="AR107" s="100"/>
      <c r="AS107" s="111"/>
      <c r="AT107" s="111"/>
    </row>
    <row r="108" spans="1:46" ht="17" thickBot="1">
      <c r="A108" s="85" t="s">
        <v>4</v>
      </c>
      <c r="B108" s="250">
        <f>SUM(J108+K108+L108+M108+N108+S108+V108+W108+X108+AA108+AI108+AJ108+AI108+AM108+AP108+AQ108+AS108+AT108+AU108+AV108)</f>
        <v>5</v>
      </c>
      <c r="C108" s="217">
        <f t="shared" si="23"/>
        <v>5</v>
      </c>
      <c r="D108" s="144"/>
      <c r="E108" s="145"/>
      <c r="F108" s="146"/>
      <c r="G108" s="147"/>
      <c r="H108" s="130"/>
      <c r="I108" s="114"/>
      <c r="J108" s="113"/>
      <c r="K108" s="112"/>
      <c r="L108" s="112"/>
      <c r="M108" s="112"/>
      <c r="N108" s="113"/>
      <c r="O108" s="118"/>
      <c r="P108" s="117"/>
      <c r="Q108" s="118"/>
      <c r="R108" s="118"/>
      <c r="S108" s="116"/>
      <c r="T108" s="120"/>
      <c r="U108" s="120"/>
      <c r="V108" s="116">
        <v>5</v>
      </c>
      <c r="W108" s="116"/>
      <c r="X108" s="116"/>
      <c r="Y108" s="120"/>
      <c r="Z108" s="120"/>
      <c r="AA108" s="116"/>
      <c r="AB108" s="118"/>
      <c r="AC108" s="117"/>
      <c r="AD108" s="118"/>
      <c r="AE108" s="118">
        <v>10</v>
      </c>
      <c r="AF108" s="118"/>
      <c r="AG108" s="118"/>
      <c r="AH108" s="117"/>
      <c r="AI108" s="116"/>
      <c r="AJ108" s="120"/>
      <c r="AK108" s="120"/>
      <c r="AL108" s="116"/>
      <c r="AM108" s="116"/>
      <c r="AN108" s="120"/>
      <c r="AO108" s="116"/>
      <c r="AP108" s="116"/>
      <c r="AQ108" s="120"/>
      <c r="AR108" s="116"/>
      <c r="AS108" s="121"/>
      <c r="AT108" s="121"/>
    </row>
    <row r="109" spans="1:46" ht="21.1">
      <c r="A109" s="82" t="s">
        <v>992</v>
      </c>
      <c r="B109" s="247"/>
      <c r="C109" s="214"/>
      <c r="D109" s="133"/>
      <c r="E109" s="134"/>
      <c r="F109" s="135"/>
      <c r="G109" s="136"/>
      <c r="H109" s="107"/>
      <c r="I109" s="96"/>
      <c r="J109" s="104"/>
      <c r="K109" s="75"/>
      <c r="L109" s="75"/>
      <c r="M109" s="75"/>
      <c r="N109" s="104"/>
      <c r="O109" s="109"/>
      <c r="P109" s="108"/>
      <c r="Q109" s="109"/>
      <c r="R109" s="109"/>
      <c r="S109" s="100"/>
      <c r="T109" s="110"/>
      <c r="U109" s="110"/>
      <c r="V109" s="100"/>
      <c r="W109" s="100"/>
      <c r="X109" s="100"/>
      <c r="Y109" s="110"/>
      <c r="Z109" s="110"/>
      <c r="AA109" s="100"/>
      <c r="AB109" s="109" t="s">
        <v>432</v>
      </c>
      <c r="AC109" s="108"/>
      <c r="AD109" s="109" t="s">
        <v>375</v>
      </c>
      <c r="AE109" s="109" t="s">
        <v>375</v>
      </c>
      <c r="AF109" s="109"/>
      <c r="AG109" s="109"/>
      <c r="AH109" s="108"/>
      <c r="AI109" s="100"/>
      <c r="AJ109" s="110"/>
      <c r="AK109" s="110"/>
      <c r="AL109" s="100"/>
      <c r="AM109" s="100"/>
      <c r="AN109" s="110"/>
      <c r="AO109" s="100"/>
      <c r="AP109" s="100"/>
      <c r="AQ109" s="110"/>
      <c r="AR109" s="100"/>
      <c r="AS109" s="111"/>
      <c r="AT109" s="111"/>
    </row>
    <row r="110" spans="1:46" ht="16.3">
      <c r="A110" s="246" t="s">
        <v>1</v>
      </c>
      <c r="B110" s="248">
        <f>SUM(J110+K110+L110+M110+N110+S110+V110+W110+X110+AA110+AI110+AJ110+AI110+AM110+AP110+AQ110+AS110+AT110+AU110+AV110+AN110)</f>
        <v>0</v>
      </c>
      <c r="C110" s="215">
        <f>B110</f>
        <v>0</v>
      </c>
      <c r="D110" s="133"/>
      <c r="E110" s="134"/>
      <c r="F110" s="135"/>
      <c r="G110" s="136"/>
      <c r="H110" s="107"/>
      <c r="I110" s="96"/>
      <c r="J110" s="104"/>
      <c r="K110" s="75"/>
      <c r="L110" s="75"/>
      <c r="M110" s="75"/>
      <c r="N110" s="104"/>
      <c r="O110" s="109"/>
      <c r="P110" s="108"/>
      <c r="Q110" s="109"/>
      <c r="R110" s="109"/>
      <c r="S110" s="100"/>
      <c r="T110" s="110"/>
      <c r="U110" s="110"/>
      <c r="V110" s="100"/>
      <c r="W110" s="100"/>
      <c r="X110" s="100"/>
      <c r="Y110" s="110"/>
      <c r="Z110" s="110"/>
      <c r="AA110" s="100"/>
      <c r="AB110" s="109"/>
      <c r="AC110" s="108"/>
      <c r="AD110" s="109"/>
      <c r="AE110" s="109"/>
      <c r="AF110" s="109"/>
      <c r="AG110" s="109"/>
      <c r="AH110" s="108"/>
      <c r="AI110" s="100"/>
      <c r="AJ110" s="110"/>
      <c r="AK110" s="110"/>
      <c r="AL110" s="100"/>
      <c r="AM110" s="100"/>
      <c r="AN110" s="110"/>
      <c r="AO110" s="100"/>
      <c r="AP110" s="100"/>
      <c r="AQ110" s="110"/>
      <c r="AR110" s="100"/>
      <c r="AS110" s="111"/>
      <c r="AT110" s="111"/>
    </row>
    <row r="111" spans="1:46" ht="16.3">
      <c r="A111" s="246" t="s">
        <v>2</v>
      </c>
      <c r="B111" s="248">
        <f>SUM(J111+K111+L111+M111+N111+S111+V111+W111+X111+AA111+AI111+AJ111+AI111+AM111+AP111+AQ111+AS111+AT111+AU111+AV111)</f>
        <v>0</v>
      </c>
      <c r="C111" s="215">
        <f t="shared" ref="C111:C114" si="25">B111</f>
        <v>0</v>
      </c>
      <c r="D111" s="133"/>
      <c r="E111" s="134"/>
      <c r="F111" s="135"/>
      <c r="G111" s="136"/>
      <c r="H111" s="107"/>
      <c r="I111" s="96"/>
      <c r="J111" s="104"/>
      <c r="K111" s="75"/>
      <c r="L111" s="75"/>
      <c r="M111" s="75"/>
      <c r="N111" s="104"/>
      <c r="O111" s="109"/>
      <c r="P111" s="108"/>
      <c r="Q111" s="109"/>
      <c r="R111" s="109"/>
      <c r="S111" s="100"/>
      <c r="T111" s="110"/>
      <c r="U111" s="110"/>
      <c r="V111" s="100"/>
      <c r="W111" s="100"/>
      <c r="X111" s="100"/>
      <c r="Y111" s="110"/>
      <c r="Z111" s="110"/>
      <c r="AA111" s="100"/>
      <c r="AB111" s="109">
        <v>1</v>
      </c>
      <c r="AC111" s="108"/>
      <c r="AD111" s="109">
        <v>1</v>
      </c>
      <c r="AE111" s="109">
        <v>1</v>
      </c>
      <c r="AF111" s="109"/>
      <c r="AG111" s="109"/>
      <c r="AH111" s="108"/>
      <c r="AI111" s="100"/>
      <c r="AJ111" s="110"/>
      <c r="AK111" s="110"/>
      <c r="AL111" s="100"/>
      <c r="AM111" s="100"/>
      <c r="AN111" s="110"/>
      <c r="AO111" s="100"/>
      <c r="AP111" s="100"/>
      <c r="AQ111" s="110"/>
      <c r="AR111" s="100"/>
      <c r="AS111" s="111"/>
      <c r="AT111" s="111"/>
    </row>
    <row r="112" spans="1:46" ht="16.3">
      <c r="A112" s="83" t="s">
        <v>363</v>
      </c>
      <c r="B112" s="247">
        <f>SUM(B110+B111)</f>
        <v>0</v>
      </c>
      <c r="C112" s="214">
        <f t="shared" si="25"/>
        <v>0</v>
      </c>
      <c r="D112" s="133"/>
      <c r="E112" s="134"/>
      <c r="F112" s="135"/>
      <c r="G112" s="136"/>
      <c r="H112" s="107"/>
      <c r="I112" s="96"/>
      <c r="J112" s="104"/>
      <c r="K112" s="75"/>
      <c r="L112" s="75"/>
      <c r="M112" s="75"/>
      <c r="N112" s="104"/>
      <c r="O112" s="109"/>
      <c r="P112" s="108"/>
      <c r="Q112" s="109"/>
      <c r="R112" s="109"/>
      <c r="S112" s="100"/>
      <c r="T112" s="110"/>
      <c r="U112" s="110"/>
      <c r="V112" s="100"/>
      <c r="W112" s="100"/>
      <c r="X112" s="100"/>
      <c r="Y112" s="110"/>
      <c r="Z112" s="110"/>
      <c r="AA112" s="100"/>
      <c r="AB112" s="109"/>
      <c r="AC112" s="108"/>
      <c r="AD112" s="109"/>
      <c r="AE112" s="109"/>
      <c r="AF112" s="109"/>
      <c r="AG112" s="109"/>
      <c r="AH112" s="108"/>
      <c r="AI112" s="100"/>
      <c r="AJ112" s="110"/>
      <c r="AK112" s="110"/>
      <c r="AL112" s="100"/>
      <c r="AM112" s="100"/>
      <c r="AN112" s="110"/>
      <c r="AO112" s="100"/>
      <c r="AP112" s="100"/>
      <c r="AQ112" s="110"/>
      <c r="AR112" s="100"/>
      <c r="AS112" s="111"/>
      <c r="AT112" s="111"/>
    </row>
    <row r="113" spans="1:46" ht="16.3">
      <c r="A113" s="83" t="s">
        <v>3</v>
      </c>
      <c r="B113" s="247">
        <f>SUM(J113+K113+L113+M113+N113+S113+V113+W113+X113+AA113+AI113+AJ113+AI113+AM113+AP113+AQ113+AS113+AT113+AU113+AV113)</f>
        <v>0</v>
      </c>
      <c r="C113" s="214">
        <f t="shared" si="25"/>
        <v>0</v>
      </c>
      <c r="D113" s="133"/>
      <c r="E113" s="134"/>
      <c r="F113" s="135"/>
      <c r="G113" s="136"/>
      <c r="H113" s="107"/>
      <c r="I113" s="96"/>
      <c r="J113" s="104"/>
      <c r="K113" s="75"/>
      <c r="L113" s="75"/>
      <c r="M113" s="75"/>
      <c r="N113" s="104"/>
      <c r="O113" s="109"/>
      <c r="P113" s="108"/>
      <c r="Q113" s="109"/>
      <c r="R113" s="109"/>
      <c r="S113" s="100"/>
      <c r="T113" s="110"/>
      <c r="U113" s="110"/>
      <c r="V113" s="100"/>
      <c r="W113" s="100"/>
      <c r="X113" s="100"/>
      <c r="Y113" s="110"/>
      <c r="Z113" s="110"/>
      <c r="AA113" s="100"/>
      <c r="AB113" s="109"/>
      <c r="AC113" s="108"/>
      <c r="AD113" s="109"/>
      <c r="AE113" s="109"/>
      <c r="AF113" s="109"/>
      <c r="AG113" s="109"/>
      <c r="AH113" s="108"/>
      <c r="AI113" s="100"/>
      <c r="AJ113" s="110"/>
      <c r="AK113" s="110"/>
      <c r="AL113" s="100"/>
      <c r="AM113" s="100"/>
      <c r="AN113" s="110"/>
      <c r="AO113" s="100"/>
      <c r="AP113" s="100"/>
      <c r="AQ113" s="110"/>
      <c r="AR113" s="100"/>
      <c r="AS113" s="111"/>
      <c r="AT113" s="111"/>
    </row>
    <row r="114" spans="1:46" ht="17" thickBot="1">
      <c r="A114" s="85" t="s">
        <v>4</v>
      </c>
      <c r="B114" s="250">
        <f>SUM(J114+K114+L114+M114+N114+S114+V114+W114+X114+AA114+AI114+AJ114+AI114+AM114+AP114+AQ114+AS114+AT114+AU114+AV114)</f>
        <v>0</v>
      </c>
      <c r="C114" s="217">
        <f t="shared" si="25"/>
        <v>0</v>
      </c>
      <c r="D114" s="144"/>
      <c r="E114" s="145"/>
      <c r="F114" s="146"/>
      <c r="G114" s="147"/>
      <c r="H114" s="130"/>
      <c r="I114" s="114"/>
      <c r="J114" s="113"/>
      <c r="K114" s="112"/>
      <c r="L114" s="112"/>
      <c r="M114" s="112"/>
      <c r="N114" s="113"/>
      <c r="O114" s="118"/>
      <c r="P114" s="117"/>
      <c r="Q114" s="118"/>
      <c r="R114" s="118"/>
      <c r="S114" s="116"/>
      <c r="T114" s="120"/>
      <c r="U114" s="120"/>
      <c r="V114" s="116"/>
      <c r="W114" s="116"/>
      <c r="X114" s="116"/>
      <c r="Y114" s="120"/>
      <c r="Z114" s="120"/>
      <c r="AA114" s="116"/>
      <c r="AB114" s="118"/>
      <c r="AC114" s="117"/>
      <c r="AD114" s="118"/>
      <c r="AE114" s="118"/>
      <c r="AF114" s="118"/>
      <c r="AG114" s="118"/>
      <c r="AH114" s="117"/>
      <c r="AI114" s="116"/>
      <c r="AJ114" s="120"/>
      <c r="AK114" s="120"/>
      <c r="AL114" s="116"/>
      <c r="AM114" s="116"/>
      <c r="AN114" s="120"/>
      <c r="AO114" s="116"/>
      <c r="AP114" s="116"/>
      <c r="AQ114" s="120"/>
      <c r="AR114" s="116"/>
      <c r="AS114" s="121"/>
      <c r="AT114" s="121"/>
    </row>
    <row r="115" spans="1:46" ht="21.1">
      <c r="A115" s="82" t="s">
        <v>505</v>
      </c>
      <c r="B115" s="247"/>
      <c r="C115" s="214"/>
      <c r="D115" s="133"/>
      <c r="E115" s="134"/>
      <c r="F115" s="135"/>
      <c r="G115" s="136"/>
      <c r="H115" s="107"/>
      <c r="I115" s="96"/>
      <c r="J115" s="104"/>
      <c r="K115" s="75"/>
      <c r="L115" s="75"/>
      <c r="M115" s="75"/>
      <c r="N115" s="104"/>
      <c r="O115" s="109" t="s">
        <v>377</v>
      </c>
      <c r="P115" s="108"/>
      <c r="Q115" s="109">
        <v>13</v>
      </c>
      <c r="R115" s="109" t="s">
        <v>375</v>
      </c>
      <c r="S115" s="100"/>
      <c r="T115" s="110"/>
      <c r="U115" s="110"/>
      <c r="V115" s="100"/>
      <c r="W115" s="100" t="s">
        <v>375</v>
      </c>
      <c r="X115" s="100"/>
      <c r="Y115" s="110"/>
      <c r="Z115" s="110" t="s">
        <v>984</v>
      </c>
      <c r="AA115" s="100" t="s">
        <v>984</v>
      </c>
      <c r="AB115" s="109" t="s">
        <v>339</v>
      </c>
      <c r="AC115" s="108"/>
      <c r="AD115" s="109"/>
      <c r="AE115" s="109"/>
      <c r="AF115" s="109"/>
      <c r="AG115" s="109"/>
      <c r="AH115" s="108"/>
      <c r="AI115" s="100"/>
      <c r="AJ115" s="110"/>
      <c r="AK115" s="110"/>
      <c r="AL115" s="100"/>
      <c r="AM115" s="100"/>
      <c r="AN115" s="110"/>
      <c r="AO115" s="100"/>
      <c r="AP115" s="100"/>
      <c r="AQ115" s="110"/>
      <c r="AR115" s="100"/>
      <c r="AS115" s="111"/>
      <c r="AT115" s="111"/>
    </row>
    <row r="116" spans="1:46" ht="16.3">
      <c r="A116" s="246" t="s">
        <v>1</v>
      </c>
      <c r="B116" s="248">
        <f>SUM(J116+K116+L116+M116+N116+S116+V116+W116+X116+AA116+AI116+AJ116+AI116+AM116+AP116+AQ116+AS116+AT116+AU116+AV116+AN116)+1</f>
        <v>1</v>
      </c>
      <c r="C116" s="215">
        <f>B116</f>
        <v>1</v>
      </c>
      <c r="D116" s="133"/>
      <c r="E116" s="134"/>
      <c r="F116" s="135"/>
      <c r="G116" s="136"/>
      <c r="H116" s="107"/>
      <c r="I116" s="96"/>
      <c r="J116" s="104"/>
      <c r="K116" s="75"/>
      <c r="L116" s="75"/>
      <c r="M116" s="75"/>
      <c r="N116" s="104"/>
      <c r="O116" s="109">
        <v>1</v>
      </c>
      <c r="P116" s="108"/>
      <c r="Q116" s="109">
        <v>1</v>
      </c>
      <c r="R116" s="109"/>
      <c r="S116" s="100"/>
      <c r="T116" s="110"/>
      <c r="U116" s="110"/>
      <c r="V116" s="100"/>
      <c r="W116" s="100"/>
      <c r="X116" s="100"/>
      <c r="Y116" s="110"/>
      <c r="Z116" s="110"/>
      <c r="AA116" s="100"/>
      <c r="AB116" s="109"/>
      <c r="AC116" s="108"/>
      <c r="AD116" s="109"/>
      <c r="AE116" s="109"/>
      <c r="AF116" s="109"/>
      <c r="AG116" s="109"/>
      <c r="AH116" s="108"/>
      <c r="AI116" s="100"/>
      <c r="AJ116" s="110"/>
      <c r="AK116" s="110"/>
      <c r="AL116" s="100"/>
      <c r="AM116" s="100"/>
      <c r="AN116" s="110"/>
      <c r="AO116" s="100"/>
      <c r="AP116" s="100"/>
      <c r="AQ116" s="110"/>
      <c r="AR116" s="100"/>
      <c r="AS116" s="111"/>
      <c r="AT116" s="111"/>
    </row>
    <row r="117" spans="1:46" ht="16.3">
      <c r="A117" s="246" t="s">
        <v>2</v>
      </c>
      <c r="B117" s="248">
        <f>SUM(J117+K117+L117+M117+N117+S117+V117+W117+X117+AA117+AI117+AJ117+AI117+AM117+AP117+AQ117+AS117+AT117+AU117+AV117)</f>
        <v>1</v>
      </c>
      <c r="C117" s="215">
        <f t="shared" ref="C117:C120" si="26">B117</f>
        <v>1</v>
      </c>
      <c r="D117" s="133"/>
      <c r="E117" s="134"/>
      <c r="F117" s="135"/>
      <c r="G117" s="136"/>
      <c r="H117" s="107"/>
      <c r="I117" s="96"/>
      <c r="J117" s="104"/>
      <c r="K117" s="75"/>
      <c r="L117" s="75"/>
      <c r="M117" s="75"/>
      <c r="N117" s="104"/>
      <c r="O117" s="109"/>
      <c r="P117" s="108"/>
      <c r="Q117" s="109"/>
      <c r="R117" s="109">
        <v>1</v>
      </c>
      <c r="S117" s="100"/>
      <c r="T117" s="110"/>
      <c r="U117" s="110"/>
      <c r="V117" s="100"/>
      <c r="W117" s="100">
        <v>1</v>
      </c>
      <c r="X117" s="100"/>
      <c r="Y117" s="110"/>
      <c r="Z117" s="110"/>
      <c r="AA117" s="100"/>
      <c r="AB117" s="109"/>
      <c r="AC117" s="108"/>
      <c r="AD117" s="109"/>
      <c r="AE117" s="109"/>
      <c r="AF117" s="109"/>
      <c r="AG117" s="109"/>
      <c r="AH117" s="108"/>
      <c r="AI117" s="100"/>
      <c r="AJ117" s="110"/>
      <c r="AK117" s="110"/>
      <c r="AL117" s="100"/>
      <c r="AM117" s="100"/>
      <c r="AN117" s="110"/>
      <c r="AO117" s="100"/>
      <c r="AP117" s="100"/>
      <c r="AQ117" s="110"/>
      <c r="AR117" s="100"/>
      <c r="AS117" s="111"/>
      <c r="AT117" s="111"/>
    </row>
    <row r="118" spans="1:46" ht="16.3">
      <c r="A118" s="83" t="s">
        <v>363</v>
      </c>
      <c r="B118" s="247">
        <f>SUM(B116+B117)</f>
        <v>2</v>
      </c>
      <c r="C118" s="214">
        <f t="shared" si="26"/>
        <v>2</v>
      </c>
      <c r="D118" s="133"/>
      <c r="E118" s="134"/>
      <c r="F118" s="135"/>
      <c r="G118" s="136"/>
      <c r="H118" s="107"/>
      <c r="I118" s="96"/>
      <c r="J118" s="104"/>
      <c r="K118" s="75"/>
      <c r="L118" s="75"/>
      <c r="M118" s="75"/>
      <c r="N118" s="104"/>
      <c r="O118" s="109"/>
      <c r="P118" s="108"/>
      <c r="Q118" s="109"/>
      <c r="R118" s="109"/>
      <c r="S118" s="100"/>
      <c r="T118" s="110"/>
      <c r="U118" s="110"/>
      <c r="V118" s="100"/>
      <c r="W118" s="100"/>
      <c r="X118" s="100"/>
      <c r="Y118" s="110"/>
      <c r="Z118" s="110"/>
      <c r="AA118" s="100"/>
      <c r="AB118" s="109"/>
      <c r="AC118" s="108"/>
      <c r="AD118" s="109"/>
      <c r="AE118" s="109"/>
      <c r="AF118" s="109"/>
      <c r="AG118" s="109"/>
      <c r="AH118" s="108"/>
      <c r="AI118" s="100"/>
      <c r="AJ118" s="110"/>
      <c r="AK118" s="110"/>
      <c r="AL118" s="100"/>
      <c r="AM118" s="100"/>
      <c r="AN118" s="110"/>
      <c r="AO118" s="100"/>
      <c r="AP118" s="100"/>
      <c r="AQ118" s="110"/>
      <c r="AR118" s="100"/>
      <c r="AS118" s="111"/>
      <c r="AT118" s="111"/>
    </row>
    <row r="119" spans="1:46" ht="16.3">
      <c r="A119" s="83" t="s">
        <v>3</v>
      </c>
      <c r="B119" s="247">
        <f>SUM(J119+K119+L119+M119+N119+S119+V119+W119+X119+AA119+AI119+AJ119+AI119+AM119+AP119+AQ119+AS119+AT119+AU119+AV119)</f>
        <v>0</v>
      </c>
      <c r="C119" s="214">
        <f t="shared" si="26"/>
        <v>0</v>
      </c>
      <c r="D119" s="133"/>
      <c r="E119" s="134"/>
      <c r="F119" s="135"/>
      <c r="G119" s="136"/>
      <c r="H119" s="107"/>
      <c r="I119" s="96"/>
      <c r="J119" s="104"/>
      <c r="K119" s="75"/>
      <c r="L119" s="75"/>
      <c r="M119" s="75"/>
      <c r="N119" s="104"/>
      <c r="O119" s="109"/>
      <c r="P119" s="108"/>
      <c r="Q119" s="109"/>
      <c r="R119" s="109"/>
      <c r="S119" s="100"/>
      <c r="T119" s="110"/>
      <c r="U119" s="110"/>
      <c r="V119" s="100"/>
      <c r="W119" s="100"/>
      <c r="X119" s="100"/>
      <c r="Y119" s="110"/>
      <c r="Z119" s="110"/>
      <c r="AA119" s="100"/>
      <c r="AB119" s="109"/>
      <c r="AC119" s="108"/>
      <c r="AD119" s="109"/>
      <c r="AE119" s="109"/>
      <c r="AF119" s="109"/>
      <c r="AG119" s="109"/>
      <c r="AH119" s="108"/>
      <c r="AI119" s="100"/>
      <c r="AJ119" s="110"/>
      <c r="AK119" s="110"/>
      <c r="AL119" s="100"/>
      <c r="AM119" s="100"/>
      <c r="AN119" s="110"/>
      <c r="AO119" s="100"/>
      <c r="AP119" s="100"/>
      <c r="AQ119" s="110"/>
      <c r="AR119" s="100"/>
      <c r="AS119" s="111"/>
      <c r="AT119" s="111"/>
    </row>
    <row r="120" spans="1:46" ht="17" thickBot="1">
      <c r="A120" s="85" t="s">
        <v>4</v>
      </c>
      <c r="B120" s="250">
        <f>SUM(J120+K120+L120+M120+N120+S120+V120+W120+X120+AA120+AI120+AJ120+AI120+AM120+AP120+AQ120+AS120+AT120+AU120+AV120)</f>
        <v>0</v>
      </c>
      <c r="C120" s="217">
        <f t="shared" si="26"/>
        <v>0</v>
      </c>
      <c r="D120" s="144"/>
      <c r="E120" s="145"/>
      <c r="F120" s="146"/>
      <c r="G120" s="147"/>
      <c r="H120" s="130"/>
      <c r="I120" s="114"/>
      <c r="J120" s="113"/>
      <c r="K120" s="112"/>
      <c r="L120" s="112"/>
      <c r="M120" s="112"/>
      <c r="N120" s="113"/>
      <c r="O120" s="118"/>
      <c r="P120" s="117"/>
      <c r="Q120" s="114"/>
      <c r="R120" s="118"/>
      <c r="S120" s="116"/>
      <c r="T120" s="120"/>
      <c r="U120" s="120"/>
      <c r="V120" s="116"/>
      <c r="W120" s="116"/>
      <c r="X120" s="116"/>
      <c r="Y120" s="120"/>
      <c r="Z120" s="120"/>
      <c r="AA120" s="116"/>
      <c r="AB120" s="118"/>
      <c r="AC120" s="117"/>
      <c r="AD120" s="118"/>
      <c r="AE120" s="118"/>
      <c r="AF120" s="118"/>
      <c r="AG120" s="118"/>
      <c r="AH120" s="117"/>
      <c r="AI120" s="116"/>
      <c r="AJ120" s="120"/>
      <c r="AK120" s="120"/>
      <c r="AL120" s="116"/>
      <c r="AM120" s="116"/>
      <c r="AN120" s="120"/>
      <c r="AO120" s="116"/>
      <c r="AP120" s="116"/>
      <c r="AQ120" s="120"/>
      <c r="AR120" s="116"/>
      <c r="AS120" s="121"/>
      <c r="AT120" s="121"/>
    </row>
    <row r="121" spans="1:46" ht="21.1">
      <c r="A121" s="82" t="s">
        <v>506</v>
      </c>
      <c r="B121" s="247"/>
      <c r="C121" s="214"/>
      <c r="D121" s="133"/>
      <c r="E121" s="134"/>
      <c r="F121" s="135"/>
      <c r="G121" s="136"/>
      <c r="H121" s="107"/>
      <c r="I121" s="96"/>
      <c r="J121" s="104"/>
      <c r="K121" s="75" t="s">
        <v>393</v>
      </c>
      <c r="L121" s="75"/>
      <c r="M121" s="75"/>
      <c r="N121" s="104"/>
      <c r="O121" s="109">
        <v>15</v>
      </c>
      <c r="P121" s="108"/>
      <c r="Q121" s="109">
        <v>11</v>
      </c>
      <c r="R121" s="109" t="s">
        <v>375</v>
      </c>
      <c r="S121" s="100" t="s">
        <v>375</v>
      </c>
      <c r="T121" s="110"/>
      <c r="U121" s="110"/>
      <c r="V121" s="100"/>
      <c r="W121" s="100"/>
      <c r="X121" s="100"/>
      <c r="Y121" s="110"/>
      <c r="Z121" s="110" t="s">
        <v>393</v>
      </c>
      <c r="AA121" s="100" t="s">
        <v>984</v>
      </c>
      <c r="AB121" s="109" t="s">
        <v>384</v>
      </c>
      <c r="AC121" s="108"/>
      <c r="AD121" s="109" t="s">
        <v>984</v>
      </c>
      <c r="AE121" s="109" t="s">
        <v>984</v>
      </c>
      <c r="AF121" s="109">
        <v>10</v>
      </c>
      <c r="AG121" s="109" t="s">
        <v>984</v>
      </c>
      <c r="AH121" s="108"/>
      <c r="AI121" s="100"/>
      <c r="AJ121" s="110"/>
      <c r="AK121" s="110"/>
      <c r="AL121" s="100"/>
      <c r="AM121" s="100"/>
      <c r="AN121" s="110"/>
      <c r="AO121" s="100"/>
      <c r="AP121" s="100"/>
      <c r="AQ121" s="110"/>
      <c r="AR121" s="100"/>
      <c r="AS121" s="111"/>
      <c r="AT121" s="111"/>
    </row>
    <row r="122" spans="1:46" ht="16.3">
      <c r="A122" s="246" t="s">
        <v>1</v>
      </c>
      <c r="B122" s="248">
        <f>SUM(J122+K122+L122+M122+N122+S122+V122+W122+X122+AA122+AI122+AJ122+AI122+AM122+AP122+AQ122+AS122+AT122+AU122+AV122+AN122)</f>
        <v>0</v>
      </c>
      <c r="C122" s="215">
        <f>B122</f>
        <v>0</v>
      </c>
      <c r="D122" s="133"/>
      <c r="E122" s="134"/>
      <c r="F122" s="135"/>
      <c r="G122" s="136"/>
      <c r="H122" s="107"/>
      <c r="I122" s="96"/>
      <c r="J122" s="104"/>
      <c r="K122" s="75"/>
      <c r="L122" s="75"/>
      <c r="M122" s="75"/>
      <c r="N122" s="104"/>
      <c r="O122" s="109">
        <v>1</v>
      </c>
      <c r="P122" s="108"/>
      <c r="Q122" s="109">
        <v>1</v>
      </c>
      <c r="R122" s="109"/>
      <c r="S122" s="100"/>
      <c r="T122" s="110"/>
      <c r="U122" s="110"/>
      <c r="V122" s="100"/>
      <c r="W122" s="100"/>
      <c r="X122" s="100"/>
      <c r="Y122" s="110"/>
      <c r="Z122" s="110"/>
      <c r="AA122" s="100"/>
      <c r="AB122" s="109">
        <v>1</v>
      </c>
      <c r="AC122" s="108"/>
      <c r="AD122" s="109"/>
      <c r="AE122" s="109"/>
      <c r="AF122" s="109">
        <v>1</v>
      </c>
      <c r="AG122" s="109"/>
      <c r="AH122" s="108"/>
      <c r="AI122" s="100"/>
      <c r="AJ122" s="110"/>
      <c r="AK122" s="110"/>
      <c r="AL122" s="100"/>
      <c r="AM122" s="100"/>
      <c r="AN122" s="110"/>
      <c r="AO122" s="100"/>
      <c r="AP122" s="100"/>
      <c r="AQ122" s="110"/>
      <c r="AR122" s="100"/>
      <c r="AS122" s="111"/>
      <c r="AT122" s="111"/>
    </row>
    <row r="123" spans="1:46" ht="16.3">
      <c r="A123" s="246" t="s">
        <v>2</v>
      </c>
      <c r="B123" s="248">
        <f>SUM(J123+K123+L123+M123+N123+S123+V123+W123+X123+AA123+AI123+AJ123+AI123+AM123+AP123+AQ123+AS123+AT123+AU123+AV123)+1</f>
        <v>2</v>
      </c>
      <c r="C123" s="215">
        <f t="shared" ref="C123:C129" si="27">B123</f>
        <v>2</v>
      </c>
      <c r="D123" s="133"/>
      <c r="E123" s="134"/>
      <c r="F123" s="135"/>
      <c r="G123" s="136"/>
      <c r="H123" s="107"/>
      <c r="I123" s="96"/>
      <c r="J123" s="104"/>
      <c r="K123" s="75"/>
      <c r="L123" s="75"/>
      <c r="M123" s="75"/>
      <c r="N123" s="104"/>
      <c r="O123" s="109"/>
      <c r="P123" s="108"/>
      <c r="Q123" s="109"/>
      <c r="R123" s="109">
        <v>1</v>
      </c>
      <c r="S123" s="100">
        <v>1</v>
      </c>
      <c r="T123" s="110"/>
      <c r="U123" s="110"/>
      <c r="V123" s="100"/>
      <c r="W123" s="100"/>
      <c r="X123" s="100"/>
      <c r="Y123" s="110"/>
      <c r="Z123" s="110"/>
      <c r="AA123" s="100"/>
      <c r="AB123" s="109"/>
      <c r="AC123" s="108"/>
      <c r="AD123" s="109"/>
      <c r="AE123" s="109"/>
      <c r="AF123" s="109"/>
      <c r="AG123" s="109"/>
      <c r="AH123" s="108"/>
      <c r="AI123" s="100"/>
      <c r="AJ123" s="110"/>
      <c r="AK123" s="110"/>
      <c r="AL123" s="100"/>
      <c r="AM123" s="100"/>
      <c r="AN123" s="110"/>
      <c r="AO123" s="100"/>
      <c r="AP123" s="100"/>
      <c r="AQ123" s="110"/>
      <c r="AR123" s="100"/>
      <c r="AS123" s="111"/>
      <c r="AT123" s="111"/>
    </row>
    <row r="124" spans="1:46" ht="16.3">
      <c r="A124" s="83" t="s">
        <v>363</v>
      </c>
      <c r="B124" s="247">
        <f>SUM(B122+B123)</f>
        <v>2</v>
      </c>
      <c r="C124" s="214">
        <f t="shared" si="27"/>
        <v>2</v>
      </c>
      <c r="D124" s="133"/>
      <c r="E124" s="134"/>
      <c r="F124" s="135"/>
      <c r="G124" s="136"/>
      <c r="H124" s="107"/>
      <c r="I124" s="96"/>
      <c r="J124" s="104"/>
      <c r="K124" s="75"/>
      <c r="L124" s="75"/>
      <c r="M124" s="75"/>
      <c r="N124" s="104"/>
      <c r="O124" s="109"/>
      <c r="P124" s="108"/>
      <c r="Q124" s="109"/>
      <c r="R124" s="109"/>
      <c r="S124" s="100"/>
      <c r="T124" s="110"/>
      <c r="U124" s="110"/>
      <c r="V124" s="100"/>
      <c r="W124" s="100"/>
      <c r="X124" s="100"/>
      <c r="Y124" s="110"/>
      <c r="Z124" s="110"/>
      <c r="AA124" s="100"/>
      <c r="AB124" s="109"/>
      <c r="AC124" s="108"/>
      <c r="AD124" s="109"/>
      <c r="AE124" s="109"/>
      <c r="AF124" s="109"/>
      <c r="AG124" s="109"/>
      <c r="AH124" s="108"/>
      <c r="AI124" s="100"/>
      <c r="AJ124" s="110"/>
      <c r="AK124" s="110"/>
      <c r="AL124" s="100"/>
      <c r="AM124" s="100"/>
      <c r="AN124" s="110"/>
      <c r="AO124" s="100"/>
      <c r="AP124" s="100"/>
      <c r="AQ124" s="110"/>
      <c r="AR124" s="100"/>
      <c r="AS124" s="111"/>
      <c r="AT124" s="111"/>
    </row>
    <row r="125" spans="1:46" ht="16.3">
      <c r="A125" s="246" t="s">
        <v>5</v>
      </c>
      <c r="B125" s="248">
        <f>SUM(J125+K125+L125+M125+N125+S125+V125+W125+X125+AA125+AI125+AJ125+AI125+AM125+AP125+AQ125+AS125+AT125+AU125+AV125)</f>
        <v>0</v>
      </c>
      <c r="C125" s="215">
        <f t="shared" ref="C125:C126" si="28">B125</f>
        <v>0</v>
      </c>
      <c r="D125" s="133"/>
      <c r="E125" s="134"/>
      <c r="F125" s="135"/>
      <c r="G125" s="136"/>
      <c r="H125" s="107"/>
      <c r="I125" s="96"/>
      <c r="J125" s="104"/>
      <c r="K125" s="75"/>
      <c r="L125" s="75"/>
      <c r="M125" s="75"/>
      <c r="N125" s="104"/>
      <c r="O125" s="109"/>
      <c r="P125" s="108"/>
      <c r="Q125" s="109"/>
      <c r="R125" s="109">
        <v>1</v>
      </c>
      <c r="S125" s="100"/>
      <c r="T125" s="110"/>
      <c r="U125" s="110"/>
      <c r="V125" s="100"/>
      <c r="W125" s="100"/>
      <c r="X125" s="100"/>
      <c r="Y125" s="110"/>
      <c r="Z125" s="110"/>
      <c r="AA125" s="100"/>
      <c r="AB125" s="109">
        <v>5</v>
      </c>
      <c r="AC125" s="108"/>
      <c r="AD125" s="109"/>
      <c r="AE125" s="109"/>
      <c r="AF125" s="109">
        <v>5</v>
      </c>
      <c r="AG125" s="109"/>
      <c r="AH125" s="108"/>
      <c r="AI125" s="100"/>
      <c r="AJ125" s="110"/>
      <c r="AK125" s="110"/>
      <c r="AL125" s="100"/>
      <c r="AM125" s="100"/>
      <c r="AN125" s="110"/>
      <c r="AO125" s="100"/>
      <c r="AP125" s="100"/>
      <c r="AQ125" s="110"/>
      <c r="AR125" s="100"/>
      <c r="AS125" s="111"/>
      <c r="AT125" s="111"/>
    </row>
    <row r="126" spans="1:46" ht="16.3">
      <c r="A126" s="246" t="s">
        <v>6</v>
      </c>
      <c r="B126" s="248">
        <f>SUM(J126+K126+L126+M126+N126+S126+V126+W126+X126+AA126+AI126+AJ126+AI126+AM126+AP126+AQ126+AS126+AT126+AU126+AV126)</f>
        <v>0</v>
      </c>
      <c r="C126" s="215">
        <f t="shared" si="28"/>
        <v>0</v>
      </c>
      <c r="D126" s="133"/>
      <c r="E126" s="134"/>
      <c r="F126" s="135"/>
      <c r="G126" s="136"/>
      <c r="H126" s="107"/>
      <c r="I126" s="96"/>
      <c r="J126" s="104"/>
      <c r="K126" s="75"/>
      <c r="L126" s="75"/>
      <c r="M126" s="75"/>
      <c r="N126" s="104"/>
      <c r="O126" s="109"/>
      <c r="P126" s="108"/>
      <c r="Q126" s="109"/>
      <c r="R126" s="109">
        <v>1</v>
      </c>
      <c r="S126" s="100"/>
      <c r="T126" s="110"/>
      <c r="U126" s="110"/>
      <c r="V126" s="100"/>
      <c r="W126" s="100"/>
      <c r="X126" s="100"/>
      <c r="Y126" s="110"/>
      <c r="Z126" s="110"/>
      <c r="AA126" s="100"/>
      <c r="AB126" s="109">
        <v>6</v>
      </c>
      <c r="AC126" s="108"/>
      <c r="AD126" s="109"/>
      <c r="AE126" s="109"/>
      <c r="AF126" s="109">
        <v>5</v>
      </c>
      <c r="AG126" s="109"/>
      <c r="AH126" s="108"/>
      <c r="AI126" s="100"/>
      <c r="AJ126" s="110"/>
      <c r="AK126" s="110"/>
      <c r="AL126" s="100"/>
      <c r="AM126" s="100"/>
      <c r="AN126" s="110"/>
      <c r="AO126" s="100"/>
      <c r="AP126" s="100"/>
      <c r="AQ126" s="110"/>
      <c r="AR126" s="100"/>
      <c r="AS126" s="111"/>
      <c r="AT126" s="111"/>
    </row>
    <row r="127" spans="1:46" ht="16.3">
      <c r="A127" s="246" t="s">
        <v>368</v>
      </c>
      <c r="B127" s="248">
        <v>0</v>
      </c>
      <c r="C127" s="215">
        <v>0</v>
      </c>
      <c r="D127" s="133"/>
      <c r="E127" s="134"/>
      <c r="F127" s="135"/>
      <c r="G127" s="136"/>
      <c r="H127" s="107"/>
      <c r="I127" s="96"/>
      <c r="J127" s="104"/>
      <c r="K127" s="75"/>
      <c r="L127" s="75"/>
      <c r="M127" s="75"/>
      <c r="N127" s="104"/>
      <c r="O127" s="109"/>
      <c r="P127" s="108"/>
      <c r="Q127" s="109"/>
      <c r="R127" s="109">
        <v>100</v>
      </c>
      <c r="S127" s="100"/>
      <c r="T127" s="110"/>
      <c r="U127" s="110"/>
      <c r="V127" s="100"/>
      <c r="W127" s="100"/>
      <c r="X127" s="100"/>
      <c r="Y127" s="110"/>
      <c r="Z127" s="110"/>
      <c r="AA127" s="100"/>
      <c r="AB127" s="109">
        <v>83</v>
      </c>
      <c r="AC127" s="108"/>
      <c r="AD127" s="109"/>
      <c r="AE127" s="109"/>
      <c r="AF127" s="109">
        <v>100</v>
      </c>
      <c r="AG127" s="109"/>
      <c r="AH127" s="108"/>
      <c r="AI127" s="100"/>
      <c r="AJ127" s="110"/>
      <c r="AK127" s="110"/>
      <c r="AL127" s="100"/>
      <c r="AM127" s="100"/>
      <c r="AN127" s="110"/>
      <c r="AO127" s="100"/>
      <c r="AP127" s="100"/>
      <c r="AQ127" s="110"/>
      <c r="AR127" s="100"/>
      <c r="AS127" s="111"/>
      <c r="AT127" s="111"/>
    </row>
    <row r="128" spans="1:46" ht="16.3">
      <c r="A128" s="83" t="s">
        <v>3</v>
      </c>
      <c r="B128" s="247">
        <f>SUM(J128+K128+L128+M128+N128+S128+V128+W128+X128+AA128+AI128+AJ128+AI128+AM128+AP128+AQ128+AS128+AT128+AU128+AV128)</f>
        <v>0</v>
      </c>
      <c r="C128" s="214">
        <f t="shared" si="27"/>
        <v>0</v>
      </c>
      <c r="D128" s="133"/>
      <c r="E128" s="134"/>
      <c r="F128" s="135"/>
      <c r="G128" s="136"/>
      <c r="H128" s="107"/>
      <c r="I128" s="96"/>
      <c r="J128" s="104"/>
      <c r="K128" s="75"/>
      <c r="L128" s="75"/>
      <c r="M128" s="75"/>
      <c r="N128" s="104"/>
      <c r="O128" s="109">
        <v>1</v>
      </c>
      <c r="P128" s="108"/>
      <c r="Q128" s="109"/>
      <c r="R128" s="109"/>
      <c r="S128" s="100"/>
      <c r="T128" s="110"/>
      <c r="U128" s="110"/>
      <c r="V128" s="100"/>
      <c r="W128" s="100"/>
      <c r="X128" s="100"/>
      <c r="Y128" s="110"/>
      <c r="Z128" s="110"/>
      <c r="AA128" s="100"/>
      <c r="AB128" s="109">
        <v>1</v>
      </c>
      <c r="AC128" s="108"/>
      <c r="AD128" s="109"/>
      <c r="AE128" s="109"/>
      <c r="AF128" s="109"/>
      <c r="AG128" s="109"/>
      <c r="AH128" s="108"/>
      <c r="AI128" s="100"/>
      <c r="AJ128" s="110"/>
      <c r="AK128" s="110"/>
      <c r="AL128" s="100"/>
      <c r="AM128" s="100"/>
      <c r="AN128" s="110"/>
      <c r="AO128" s="100"/>
      <c r="AP128" s="100"/>
      <c r="AQ128" s="110"/>
      <c r="AR128" s="100"/>
      <c r="AS128" s="111"/>
      <c r="AT128" s="111"/>
    </row>
    <row r="129" spans="1:46" ht="17" thickBot="1">
      <c r="A129" s="85" t="s">
        <v>4</v>
      </c>
      <c r="B129" s="250">
        <f>SUM(J129+K129+L129+M129+N129+S129+V129+W129+X129+AA129+AI129+AJ129+AI129+AM129+AP129+AQ129+AS129+AT129+AU129+AV129)</f>
        <v>0</v>
      </c>
      <c r="C129" s="217">
        <f t="shared" si="27"/>
        <v>0</v>
      </c>
      <c r="D129" s="144"/>
      <c r="E129" s="145"/>
      <c r="F129" s="146"/>
      <c r="G129" s="147"/>
      <c r="H129" s="130"/>
      <c r="I129" s="114"/>
      <c r="J129" s="113"/>
      <c r="K129" s="112"/>
      <c r="L129" s="112"/>
      <c r="M129" s="112"/>
      <c r="N129" s="113"/>
      <c r="O129" s="118">
        <v>5</v>
      </c>
      <c r="P129" s="117"/>
      <c r="Q129" s="118"/>
      <c r="R129" s="114">
        <v>2</v>
      </c>
      <c r="S129" s="100"/>
      <c r="T129" s="110"/>
      <c r="U129" s="110"/>
      <c r="V129" s="100"/>
      <c r="W129" s="100"/>
      <c r="X129" s="100"/>
      <c r="Y129" s="110"/>
      <c r="Z129" s="110"/>
      <c r="AA129" s="100"/>
      <c r="AB129" s="109">
        <v>15</v>
      </c>
      <c r="AC129" s="108"/>
      <c r="AD129" s="109"/>
      <c r="AE129" s="109"/>
      <c r="AF129" s="109">
        <v>10</v>
      </c>
      <c r="AG129" s="109"/>
      <c r="AH129" s="108"/>
      <c r="AI129" s="100"/>
      <c r="AJ129" s="110"/>
      <c r="AK129" s="110"/>
      <c r="AL129" s="100"/>
      <c r="AM129" s="100"/>
      <c r="AN129" s="110"/>
      <c r="AO129" s="100"/>
      <c r="AP129" s="100"/>
      <c r="AQ129" s="110"/>
      <c r="AR129" s="100"/>
      <c r="AS129" s="111"/>
      <c r="AT129" s="111"/>
    </row>
    <row r="130" spans="1:46" ht="21.1">
      <c r="A130" s="82" t="s">
        <v>328</v>
      </c>
      <c r="B130" s="247"/>
      <c r="C130" s="214"/>
      <c r="D130" s="133"/>
      <c r="E130" s="134"/>
      <c r="F130" s="135"/>
      <c r="G130" s="136"/>
      <c r="H130" s="107"/>
      <c r="I130" s="96"/>
      <c r="J130" s="104"/>
      <c r="K130" s="75"/>
      <c r="L130" s="75"/>
      <c r="M130" s="75"/>
      <c r="N130" s="104"/>
      <c r="O130" s="109" t="s">
        <v>375</v>
      </c>
      <c r="P130" s="108"/>
      <c r="Q130" s="109"/>
      <c r="R130" s="109"/>
      <c r="S130" s="102"/>
      <c r="T130" s="101"/>
      <c r="U130" s="101"/>
      <c r="V130" s="102"/>
      <c r="W130" s="102"/>
      <c r="X130" s="102"/>
      <c r="Y130" s="101"/>
      <c r="Z130" s="101"/>
      <c r="AA130" s="102"/>
      <c r="AB130" s="99">
        <v>13</v>
      </c>
      <c r="AC130" s="98"/>
      <c r="AD130" s="99"/>
      <c r="AE130" s="99"/>
      <c r="AF130" s="99"/>
      <c r="AG130" s="99"/>
      <c r="AH130" s="98"/>
      <c r="AI130" s="102"/>
      <c r="AJ130" s="101"/>
      <c r="AK130" s="101"/>
      <c r="AL130" s="102"/>
      <c r="AM130" s="102"/>
      <c r="AN130" s="101"/>
      <c r="AO130" s="102"/>
      <c r="AP130" s="102"/>
      <c r="AQ130" s="101"/>
      <c r="AR130" s="102"/>
      <c r="AS130" s="103"/>
      <c r="AT130" s="103"/>
    </row>
    <row r="131" spans="1:46" ht="16.3">
      <c r="A131" s="246" t="s">
        <v>1</v>
      </c>
      <c r="B131" s="248">
        <f>SUM(J131+K131+L131+M131+N131+S131+V131+W131+X131+AA131+AI131+AJ131+AI131+AM131+AP131+AQ131+AS131+AT131+AU131+AV131+AN131)</f>
        <v>0</v>
      </c>
      <c r="C131" s="215">
        <f>B131</f>
        <v>0</v>
      </c>
      <c r="D131" s="133"/>
      <c r="E131" s="134"/>
      <c r="F131" s="135"/>
      <c r="G131" s="136"/>
      <c r="H131" s="107"/>
      <c r="I131" s="96"/>
      <c r="J131" s="104"/>
      <c r="K131" s="75"/>
      <c r="L131" s="75"/>
      <c r="M131" s="75"/>
      <c r="N131" s="104"/>
      <c r="O131" s="109"/>
      <c r="P131" s="108"/>
      <c r="Q131" s="109"/>
      <c r="R131" s="109"/>
      <c r="S131" s="100"/>
      <c r="T131" s="110"/>
      <c r="U131" s="110"/>
      <c r="V131" s="100"/>
      <c r="W131" s="100"/>
      <c r="X131" s="100"/>
      <c r="Y131" s="110"/>
      <c r="Z131" s="110"/>
      <c r="AA131" s="100"/>
      <c r="AB131" s="109">
        <v>1</v>
      </c>
      <c r="AC131" s="108"/>
      <c r="AD131" s="109"/>
      <c r="AE131" s="109"/>
      <c r="AF131" s="109"/>
      <c r="AG131" s="109"/>
      <c r="AH131" s="108"/>
      <c r="AI131" s="100"/>
      <c r="AJ131" s="110"/>
      <c r="AK131" s="110"/>
      <c r="AL131" s="100"/>
      <c r="AM131" s="100"/>
      <c r="AN131" s="110"/>
      <c r="AO131" s="100"/>
      <c r="AP131" s="100"/>
      <c r="AQ131" s="110"/>
      <c r="AR131" s="100"/>
      <c r="AS131" s="111"/>
      <c r="AT131" s="111"/>
    </row>
    <row r="132" spans="1:46" ht="16.3">
      <c r="A132" s="246" t="s">
        <v>2</v>
      </c>
      <c r="B132" s="248">
        <f>SUM(J132+K132+L132+M132+N132+S132+V132+W132+X132+AA132+AI132+AJ132+AI132+AM132+AP132+AQ132+AS132+AT132+AU132+AV132)</f>
        <v>0</v>
      </c>
      <c r="C132" s="215">
        <f t="shared" ref="C132:C135" si="29">B132</f>
        <v>0</v>
      </c>
      <c r="D132" s="133"/>
      <c r="E132" s="134"/>
      <c r="F132" s="135"/>
      <c r="G132" s="136"/>
      <c r="H132" s="107"/>
      <c r="I132" s="96"/>
      <c r="J132" s="104"/>
      <c r="K132" s="75"/>
      <c r="L132" s="75"/>
      <c r="M132" s="75"/>
      <c r="N132" s="104"/>
      <c r="O132" s="109">
        <v>1</v>
      </c>
      <c r="P132" s="108"/>
      <c r="Q132" s="109"/>
      <c r="R132" s="109"/>
      <c r="S132" s="100"/>
      <c r="T132" s="110"/>
      <c r="U132" s="110"/>
      <c r="V132" s="100"/>
      <c r="W132" s="100"/>
      <c r="X132" s="100"/>
      <c r="Y132" s="110"/>
      <c r="Z132" s="110"/>
      <c r="AA132" s="100"/>
      <c r="AB132" s="109"/>
      <c r="AC132" s="108"/>
      <c r="AD132" s="109"/>
      <c r="AE132" s="109"/>
      <c r="AF132" s="109"/>
      <c r="AG132" s="109"/>
      <c r="AH132" s="108"/>
      <c r="AI132" s="100"/>
      <c r="AJ132" s="110"/>
      <c r="AK132" s="110"/>
      <c r="AL132" s="100"/>
      <c r="AM132" s="100"/>
      <c r="AN132" s="110"/>
      <c r="AO132" s="100"/>
      <c r="AP132" s="100"/>
      <c r="AQ132" s="110"/>
      <c r="AR132" s="100"/>
      <c r="AS132" s="111"/>
      <c r="AT132" s="111"/>
    </row>
    <row r="133" spans="1:46" ht="16.3">
      <c r="A133" s="83" t="s">
        <v>363</v>
      </c>
      <c r="B133" s="247">
        <f>SUM(B131+B132)</f>
        <v>0</v>
      </c>
      <c r="C133" s="214">
        <f t="shared" si="29"/>
        <v>0</v>
      </c>
      <c r="D133" s="133"/>
      <c r="E133" s="134"/>
      <c r="F133" s="135"/>
      <c r="G133" s="136"/>
      <c r="H133" s="107"/>
      <c r="I133" s="96"/>
      <c r="J133" s="104"/>
      <c r="K133" s="75"/>
      <c r="L133" s="75"/>
      <c r="M133" s="75"/>
      <c r="N133" s="104"/>
      <c r="O133" s="109"/>
      <c r="P133" s="108"/>
      <c r="Q133" s="109"/>
      <c r="R133" s="109"/>
      <c r="S133" s="100"/>
      <c r="T133" s="110"/>
      <c r="U133" s="110"/>
      <c r="V133" s="100"/>
      <c r="W133" s="100"/>
      <c r="X133" s="100"/>
      <c r="Y133" s="110"/>
      <c r="Z133" s="110"/>
      <c r="AA133" s="100"/>
      <c r="AB133" s="109"/>
      <c r="AC133" s="108"/>
      <c r="AD133" s="109"/>
      <c r="AE133" s="109"/>
      <c r="AF133" s="109"/>
      <c r="AG133" s="109"/>
      <c r="AH133" s="108"/>
      <c r="AI133" s="100"/>
      <c r="AJ133" s="110"/>
      <c r="AK133" s="110"/>
      <c r="AL133" s="100"/>
      <c r="AM133" s="100"/>
      <c r="AN133" s="110"/>
      <c r="AO133" s="100"/>
      <c r="AP133" s="100"/>
      <c r="AQ133" s="110"/>
      <c r="AR133" s="100"/>
      <c r="AS133" s="111"/>
      <c r="AT133" s="111"/>
    </row>
    <row r="134" spans="1:46" ht="16.3">
      <c r="A134" s="83" t="s">
        <v>3</v>
      </c>
      <c r="B134" s="247">
        <f>SUM(J134+K134+L134+M134+N134+S134+V134+W134+X134+AA134+AI134+AJ134+AI134+AM134+AP134+AQ134+AS134+AT134+AU134+AV134)</f>
        <v>0</v>
      </c>
      <c r="C134" s="214">
        <f t="shared" si="29"/>
        <v>0</v>
      </c>
      <c r="D134" s="133"/>
      <c r="E134" s="134"/>
      <c r="F134" s="135"/>
      <c r="G134" s="136"/>
      <c r="H134" s="107"/>
      <c r="I134" s="96"/>
      <c r="J134" s="104"/>
      <c r="K134" s="75"/>
      <c r="L134" s="75"/>
      <c r="M134" s="75"/>
      <c r="N134" s="104"/>
      <c r="O134" s="109"/>
      <c r="P134" s="108"/>
      <c r="Q134" s="109"/>
      <c r="R134" s="109"/>
      <c r="S134" s="100"/>
      <c r="T134" s="110"/>
      <c r="U134" s="110"/>
      <c r="V134" s="100"/>
      <c r="W134" s="100"/>
      <c r="X134" s="100"/>
      <c r="Y134" s="110"/>
      <c r="Z134" s="110"/>
      <c r="AA134" s="100"/>
      <c r="AB134" s="109"/>
      <c r="AC134" s="108"/>
      <c r="AD134" s="109"/>
      <c r="AE134" s="109"/>
      <c r="AF134" s="109"/>
      <c r="AG134" s="109"/>
      <c r="AH134" s="108"/>
      <c r="AI134" s="100"/>
      <c r="AJ134" s="110"/>
      <c r="AK134" s="110"/>
      <c r="AL134" s="100"/>
      <c r="AM134" s="100"/>
      <c r="AN134" s="110"/>
      <c r="AO134" s="100"/>
      <c r="AP134" s="100"/>
      <c r="AQ134" s="110"/>
      <c r="AR134" s="100"/>
      <c r="AS134" s="111"/>
      <c r="AT134" s="111"/>
    </row>
    <row r="135" spans="1:46" ht="17" thickBot="1">
      <c r="A135" s="85" t="s">
        <v>4</v>
      </c>
      <c r="B135" s="250">
        <f>SUM(J135+K135+L135+M135+N135+S135+V135+W135+X135+AA135+AI135+AJ135+AI135+AM135+AP135+AQ135+AS135+AT135+AU135+AV135)</f>
        <v>0</v>
      </c>
      <c r="C135" s="217">
        <f t="shared" si="29"/>
        <v>0</v>
      </c>
      <c r="D135" s="144"/>
      <c r="E135" s="145"/>
      <c r="F135" s="146"/>
      <c r="G135" s="147"/>
      <c r="H135" s="130"/>
      <c r="I135" s="114"/>
      <c r="J135" s="113"/>
      <c r="K135" s="112"/>
      <c r="L135" s="112"/>
      <c r="M135" s="112"/>
      <c r="N135" s="113"/>
      <c r="O135" s="118"/>
      <c r="P135" s="117"/>
      <c r="Q135" s="118"/>
      <c r="R135" s="118"/>
      <c r="S135" s="116"/>
      <c r="T135" s="120"/>
      <c r="U135" s="120"/>
      <c r="V135" s="116"/>
      <c r="W135" s="116"/>
      <c r="X135" s="116"/>
      <c r="Y135" s="120"/>
      <c r="Z135" s="120"/>
      <c r="AA135" s="116"/>
      <c r="AB135" s="118"/>
      <c r="AC135" s="117"/>
      <c r="AD135" s="118"/>
      <c r="AE135" s="118"/>
      <c r="AF135" s="118"/>
      <c r="AG135" s="118"/>
      <c r="AH135" s="117"/>
      <c r="AI135" s="116"/>
      <c r="AJ135" s="120"/>
      <c r="AK135" s="120"/>
      <c r="AL135" s="116"/>
      <c r="AM135" s="116"/>
      <c r="AN135" s="120"/>
      <c r="AO135" s="116"/>
      <c r="AP135" s="116"/>
      <c r="AQ135" s="120"/>
      <c r="AR135" s="116"/>
      <c r="AS135" s="121"/>
      <c r="AT135" s="121"/>
    </row>
    <row r="136" spans="1:46" ht="21.1">
      <c r="A136" s="82" t="s">
        <v>167</v>
      </c>
      <c r="B136" s="247"/>
      <c r="C136" s="214"/>
      <c r="D136" s="133"/>
      <c r="E136" s="134"/>
      <c r="F136" s="135"/>
      <c r="G136" s="136"/>
      <c r="H136" s="107"/>
      <c r="I136" s="96" t="s">
        <v>501</v>
      </c>
      <c r="J136" s="104" t="s">
        <v>501</v>
      </c>
      <c r="K136" s="75" t="s">
        <v>501</v>
      </c>
      <c r="L136" s="75">
        <v>10</v>
      </c>
      <c r="M136" s="75">
        <v>10</v>
      </c>
      <c r="N136" s="104">
        <v>10</v>
      </c>
      <c r="O136" s="109" t="s">
        <v>775</v>
      </c>
      <c r="P136" s="108"/>
      <c r="Q136" s="109" t="s">
        <v>775</v>
      </c>
      <c r="R136" s="109" t="s">
        <v>775</v>
      </c>
      <c r="S136" s="100">
        <v>10</v>
      </c>
      <c r="T136" s="110">
        <v>10</v>
      </c>
      <c r="U136" s="110">
        <v>10</v>
      </c>
      <c r="V136" s="100">
        <v>10</v>
      </c>
      <c r="W136" s="100"/>
      <c r="X136" s="100">
        <v>10</v>
      </c>
      <c r="Y136" s="110" t="s">
        <v>339</v>
      </c>
      <c r="Z136" s="110" t="s">
        <v>339</v>
      </c>
      <c r="AA136" s="100" t="s">
        <v>339</v>
      </c>
      <c r="AB136" s="109" t="s">
        <v>339</v>
      </c>
      <c r="AC136" s="108" t="s">
        <v>0</v>
      </c>
      <c r="AD136" s="109" t="s">
        <v>775</v>
      </c>
      <c r="AE136" s="109" t="s">
        <v>775</v>
      </c>
      <c r="AF136" s="109" t="s">
        <v>775</v>
      </c>
      <c r="AG136" s="109" t="s">
        <v>775</v>
      </c>
      <c r="AH136" s="108"/>
      <c r="AI136" s="100"/>
      <c r="AJ136" s="110"/>
      <c r="AK136" s="110"/>
      <c r="AL136" s="100"/>
      <c r="AM136" s="100"/>
      <c r="AN136" s="110"/>
      <c r="AO136" s="100"/>
      <c r="AP136" s="100"/>
      <c r="AQ136" s="110"/>
      <c r="AR136" s="100"/>
      <c r="AS136" s="111"/>
      <c r="AT136" s="111"/>
    </row>
    <row r="137" spans="1:46" ht="16.3">
      <c r="A137" s="246" t="s">
        <v>1</v>
      </c>
      <c r="B137" s="248">
        <f>SUM(J137+K137+L137+M137+N137+S137+V137+W137+X137+AA137+AI137+AJ137+AI137+AM137+AP137+AQ137+AS137+AT137+AU137+AV137+AN137)+40</f>
        <v>46</v>
      </c>
      <c r="C137" s="215">
        <f>SUM(J137+K137+L137+M137+N137+S137+W137+X137+V137+AA137+AJ137+AI137+AJ137+AN137+AQ137+AM137+AT137+AU137+AV137+AW137+AP137+AS137)+59</f>
        <v>65</v>
      </c>
      <c r="D137" s="139"/>
      <c r="E137" s="140"/>
      <c r="F137" s="135"/>
      <c r="G137" s="136"/>
      <c r="H137" s="107"/>
      <c r="I137" s="96"/>
      <c r="J137" s="104"/>
      <c r="K137" s="75"/>
      <c r="L137" s="75">
        <v>1</v>
      </c>
      <c r="M137" s="75">
        <v>1</v>
      </c>
      <c r="N137" s="104">
        <v>1</v>
      </c>
      <c r="O137" s="109"/>
      <c r="P137" s="108"/>
      <c r="Q137" s="109"/>
      <c r="R137" s="109"/>
      <c r="S137" s="100">
        <v>1</v>
      </c>
      <c r="T137" s="110">
        <v>1</v>
      </c>
      <c r="U137" s="110">
        <v>1</v>
      </c>
      <c r="V137" s="100">
        <v>1</v>
      </c>
      <c r="W137" s="100"/>
      <c r="X137" s="100">
        <v>1</v>
      </c>
      <c r="Y137" s="110"/>
      <c r="Z137" s="110"/>
      <c r="AA137" s="100"/>
      <c r="AB137" s="109"/>
      <c r="AC137" s="108"/>
      <c r="AD137" s="109"/>
      <c r="AE137" s="109"/>
      <c r="AF137" s="109"/>
      <c r="AG137" s="109"/>
      <c r="AH137" s="108"/>
      <c r="AI137" s="100"/>
      <c r="AJ137" s="110"/>
      <c r="AK137" s="110"/>
      <c r="AL137" s="100"/>
      <c r="AM137" s="100"/>
      <c r="AN137" s="110"/>
      <c r="AO137" s="100"/>
      <c r="AP137" s="100"/>
      <c r="AQ137" s="110"/>
      <c r="AR137" s="100"/>
      <c r="AS137" s="111"/>
      <c r="AT137" s="111"/>
    </row>
    <row r="138" spans="1:46" ht="16.3">
      <c r="A138" s="246" t="s">
        <v>2</v>
      </c>
      <c r="B138" s="248">
        <f>SUM(J138+K138+L138+M138+N138+S138+V138+W138+X138+AA138+AI138+AJ138+AI138+AM138+AP138+AQ138+AS138+AT138+AU138+AV138)+2</f>
        <v>2</v>
      </c>
      <c r="C138" s="215">
        <f>SUM(J138+K138+L138+M138+N138+S138+W138+X138+V138+AA138+AJ138+AI138+AJ138+AN138+AQ138+AM138+AT138+AU138+AV138+AW138+AP138+AS138)+7</f>
        <v>7</v>
      </c>
      <c r="D138" s="139"/>
      <c r="E138" s="140"/>
      <c r="F138" s="135"/>
      <c r="G138" s="136"/>
      <c r="H138" s="107"/>
      <c r="I138" s="96"/>
      <c r="J138" s="104"/>
      <c r="K138" s="75"/>
      <c r="L138" s="75"/>
      <c r="M138" s="75"/>
      <c r="N138" s="104"/>
      <c r="O138" s="109"/>
      <c r="P138" s="108"/>
      <c r="Q138" s="109"/>
      <c r="R138" s="109"/>
      <c r="S138" s="100"/>
      <c r="T138" s="110"/>
      <c r="U138" s="110"/>
      <c r="V138" s="100"/>
      <c r="W138" s="100"/>
      <c r="X138" s="100"/>
      <c r="Y138" s="110"/>
      <c r="Z138" s="110"/>
      <c r="AA138" s="100"/>
      <c r="AB138" s="109"/>
      <c r="AC138" s="108"/>
      <c r="AD138" s="109"/>
      <c r="AE138" s="109"/>
      <c r="AF138" s="109"/>
      <c r="AG138" s="109"/>
      <c r="AH138" s="108"/>
      <c r="AI138" s="100"/>
      <c r="AJ138" s="110"/>
      <c r="AK138" s="110"/>
      <c r="AL138" s="100"/>
      <c r="AM138" s="100"/>
      <c r="AN138" s="110"/>
      <c r="AO138" s="100"/>
      <c r="AP138" s="100"/>
      <c r="AQ138" s="110"/>
      <c r="AR138" s="100"/>
      <c r="AS138" s="111"/>
      <c r="AT138" s="111"/>
    </row>
    <row r="139" spans="1:46" ht="16.3">
      <c r="A139" s="83" t="s">
        <v>363</v>
      </c>
      <c r="B139" s="247">
        <f>SUM(B137+B138)</f>
        <v>48</v>
      </c>
      <c r="C139" s="214">
        <f>SUM(C137+C138)</f>
        <v>72</v>
      </c>
      <c r="D139" s="133"/>
      <c r="E139" s="134"/>
      <c r="F139" s="135"/>
      <c r="G139" s="136"/>
      <c r="H139" s="107"/>
      <c r="I139" s="96"/>
      <c r="J139" s="104"/>
      <c r="K139" s="75"/>
      <c r="L139" s="75"/>
      <c r="M139" s="75"/>
      <c r="N139" s="104"/>
      <c r="O139" s="109"/>
      <c r="P139" s="108"/>
      <c r="Q139" s="109"/>
      <c r="R139" s="109"/>
      <c r="S139" s="100"/>
      <c r="T139" s="110"/>
      <c r="U139" s="110"/>
      <c r="V139" s="100"/>
      <c r="W139" s="100"/>
      <c r="X139" s="100"/>
      <c r="Y139" s="110"/>
      <c r="Z139" s="110"/>
      <c r="AA139" s="100"/>
      <c r="AB139" s="109"/>
      <c r="AC139" s="108"/>
      <c r="AD139" s="109"/>
      <c r="AE139" s="109"/>
      <c r="AF139" s="109"/>
      <c r="AG139" s="109"/>
      <c r="AH139" s="108"/>
      <c r="AI139" s="100"/>
      <c r="AJ139" s="110"/>
      <c r="AK139" s="110"/>
      <c r="AL139" s="100"/>
      <c r="AM139" s="100"/>
      <c r="AN139" s="110"/>
      <c r="AO139" s="100"/>
      <c r="AP139" s="100"/>
      <c r="AQ139" s="110"/>
      <c r="AR139" s="100"/>
      <c r="AS139" s="111"/>
      <c r="AT139" s="111"/>
    </row>
    <row r="140" spans="1:46" ht="16.3">
      <c r="A140" s="246" t="s">
        <v>362</v>
      </c>
      <c r="B140" s="248">
        <f>SUM(J140+K140+L140+M140+N140+S140+V140+W140+X140+AA140+AI140+AJ140+AI140+AM140+AP140+AQ140+AS140+AT140+AU140+AV140)+2</f>
        <v>2</v>
      </c>
      <c r="C140" s="215">
        <f>SUM(J140+K140+L140+M140+N140+S140+W140+X140+V140+AA140+AJ140+AI140+AJ140+AN140+AQ140+AM140+AT140+AU140+AV140+AW140+AP140+AS140)+2</f>
        <v>2</v>
      </c>
      <c r="D140" s="133"/>
      <c r="E140" s="134"/>
      <c r="F140" s="135"/>
      <c r="G140" s="136"/>
      <c r="H140" s="107"/>
      <c r="I140" s="96"/>
      <c r="J140" s="104"/>
      <c r="K140" s="75"/>
      <c r="L140" s="75"/>
      <c r="M140" s="75"/>
      <c r="N140" s="104"/>
      <c r="O140" s="109"/>
      <c r="P140" s="108"/>
      <c r="Q140" s="109"/>
      <c r="R140" s="109"/>
      <c r="S140" s="100"/>
      <c r="T140" s="110"/>
      <c r="U140" s="110"/>
      <c r="V140" s="100"/>
      <c r="W140" s="100"/>
      <c r="X140" s="100"/>
      <c r="Y140" s="110"/>
      <c r="Z140" s="110"/>
      <c r="AA140" s="100"/>
      <c r="AB140" s="109"/>
      <c r="AC140" s="108"/>
      <c r="AD140" s="109"/>
      <c r="AE140" s="109"/>
      <c r="AF140" s="109"/>
      <c r="AG140" s="109"/>
      <c r="AH140" s="108"/>
      <c r="AI140" s="100"/>
      <c r="AJ140" s="110"/>
      <c r="AK140" s="110"/>
      <c r="AL140" s="100"/>
      <c r="AM140" s="100"/>
      <c r="AN140" s="110"/>
      <c r="AO140" s="100"/>
      <c r="AP140" s="100"/>
      <c r="AQ140" s="110"/>
      <c r="AR140" s="100"/>
      <c r="AS140" s="111"/>
      <c r="AT140" s="111"/>
    </row>
    <row r="141" spans="1:46" ht="16.3">
      <c r="A141" s="246" t="s">
        <v>5</v>
      </c>
      <c r="B141" s="248">
        <f>SUM(J141+K141+L141+M141+N141+S141+V141+W141+X141+AA141+AI141+AJ141+AI141+AM141+AP141+AQ141+AS141+AT141+AU141+AV141+AN141)+155</f>
        <v>182</v>
      </c>
      <c r="C141" s="215">
        <f>SUM(J141+K141+L141+M141+N141+S141+W141+X141+V141+AA141+AJ141+AI141+AJ141+AN141+AQ141+AM141+AT141+AU141+AV141+AW141+AP141+AS141)+196</f>
        <v>223</v>
      </c>
      <c r="D141" s="133"/>
      <c r="E141" s="134"/>
      <c r="F141" s="135"/>
      <c r="G141" s="136"/>
      <c r="H141" s="107"/>
      <c r="I141" s="96"/>
      <c r="J141" s="104"/>
      <c r="K141" s="75"/>
      <c r="L141" s="75">
        <v>3</v>
      </c>
      <c r="M141" s="75">
        <v>5</v>
      </c>
      <c r="N141" s="104">
        <v>4</v>
      </c>
      <c r="O141" s="109"/>
      <c r="P141" s="108"/>
      <c r="Q141" s="109"/>
      <c r="R141" s="109"/>
      <c r="S141" s="100">
        <v>1</v>
      </c>
      <c r="T141" s="110">
        <v>4</v>
      </c>
      <c r="U141" s="110">
        <v>5</v>
      </c>
      <c r="V141" s="100">
        <v>6</v>
      </c>
      <c r="W141" s="100"/>
      <c r="X141" s="100">
        <v>8</v>
      </c>
      <c r="Y141" s="110"/>
      <c r="Z141" s="110"/>
      <c r="AA141" s="100"/>
      <c r="AB141" s="109"/>
      <c r="AC141" s="108"/>
      <c r="AD141" s="109"/>
      <c r="AE141" s="109"/>
      <c r="AF141" s="109"/>
      <c r="AG141" s="109"/>
      <c r="AH141" s="108"/>
      <c r="AI141" s="100"/>
      <c r="AJ141" s="110"/>
      <c r="AK141" s="110"/>
      <c r="AL141" s="100"/>
      <c r="AM141" s="100"/>
      <c r="AN141" s="110"/>
      <c r="AO141" s="100"/>
      <c r="AP141" s="100"/>
      <c r="AQ141" s="110"/>
      <c r="AR141" s="100"/>
      <c r="AS141" s="111"/>
      <c r="AT141" s="111"/>
    </row>
    <row r="142" spans="1:46" ht="16.3">
      <c r="A142" s="246" t="s">
        <v>6</v>
      </c>
      <c r="B142" s="248">
        <f>SUM(J142+K142+L142+M142+N142+S142+V142+W142+X142+AA142+AI142+AJ142+AI142+AM142+AP142+AQ142+AS142+AT142+AU142+AV142)+193</f>
        <v>232</v>
      </c>
      <c r="C142" s="215">
        <f>SUM(J142+K142+L142+M142+N142+S142+W142+X142+V142+AA142+AJ142+AI142+AJ142+AN142+AQ142+AM142+AT142+AU142+AV142+AW142+AP142+AS142)+252</f>
        <v>291</v>
      </c>
      <c r="D142" s="133"/>
      <c r="E142" s="134"/>
      <c r="F142" s="135"/>
      <c r="G142" s="136"/>
      <c r="H142" s="107"/>
      <c r="I142" s="96"/>
      <c r="J142" s="104"/>
      <c r="K142" s="75"/>
      <c r="L142" s="75">
        <v>6</v>
      </c>
      <c r="M142" s="75">
        <v>7</v>
      </c>
      <c r="N142" s="104">
        <v>7</v>
      </c>
      <c r="O142" s="109"/>
      <c r="P142" s="108"/>
      <c r="Q142" s="109"/>
      <c r="R142" s="109"/>
      <c r="S142" s="100">
        <v>2</v>
      </c>
      <c r="T142" s="110">
        <v>7</v>
      </c>
      <c r="U142" s="110">
        <v>8</v>
      </c>
      <c r="V142" s="100">
        <v>7</v>
      </c>
      <c r="W142" s="100"/>
      <c r="X142" s="100">
        <v>10</v>
      </c>
      <c r="Y142" s="110"/>
      <c r="Z142" s="110"/>
      <c r="AA142" s="100"/>
      <c r="AB142" s="109"/>
      <c r="AC142" s="108"/>
      <c r="AD142" s="109"/>
      <c r="AE142" s="109"/>
      <c r="AF142" s="109"/>
      <c r="AG142" s="109"/>
      <c r="AH142" s="108"/>
      <c r="AI142" s="100"/>
      <c r="AJ142" s="110"/>
      <c r="AK142" s="110"/>
      <c r="AL142" s="100"/>
      <c r="AM142" s="100"/>
      <c r="AN142" s="110"/>
      <c r="AO142" s="100"/>
      <c r="AP142" s="100"/>
      <c r="AQ142" s="110"/>
      <c r="AR142" s="100"/>
      <c r="AS142" s="111"/>
      <c r="AT142" s="111"/>
    </row>
    <row r="143" spans="1:46" ht="16.3">
      <c r="A143" s="246" t="s">
        <v>368</v>
      </c>
      <c r="B143" s="249">
        <f>SUM(B141/B142)*100</f>
        <v>78.448275862068968</v>
      </c>
      <c r="C143" s="216">
        <f>SUM(C141/C142)*100</f>
        <v>76.632302405498294</v>
      </c>
      <c r="D143" s="133"/>
      <c r="E143" s="134"/>
      <c r="F143" s="135"/>
      <c r="G143" s="136"/>
      <c r="H143" s="107"/>
      <c r="I143" s="96"/>
      <c r="J143" s="104"/>
      <c r="K143" s="75"/>
      <c r="L143" s="75">
        <v>50</v>
      </c>
      <c r="M143" s="75">
        <v>71</v>
      </c>
      <c r="N143" s="104">
        <v>57</v>
      </c>
      <c r="O143" s="109"/>
      <c r="P143" s="108"/>
      <c r="Q143" s="109"/>
      <c r="R143" s="109"/>
      <c r="S143" s="100">
        <v>50</v>
      </c>
      <c r="T143" s="110">
        <v>57</v>
      </c>
      <c r="U143" s="110">
        <v>63</v>
      </c>
      <c r="V143" s="100">
        <v>86</v>
      </c>
      <c r="W143" s="100"/>
      <c r="X143" s="100">
        <v>80</v>
      </c>
      <c r="Y143" s="110"/>
      <c r="Z143" s="110"/>
      <c r="AA143" s="100"/>
      <c r="AB143" s="109"/>
      <c r="AC143" s="108"/>
      <c r="AD143" s="109"/>
      <c r="AE143" s="109"/>
      <c r="AF143" s="109"/>
      <c r="AG143" s="109"/>
      <c r="AH143" s="108"/>
      <c r="AI143" s="100"/>
      <c r="AJ143" s="110"/>
      <c r="AK143" s="110"/>
      <c r="AL143" s="100"/>
      <c r="AM143" s="100"/>
      <c r="AN143" s="110"/>
      <c r="AO143" s="100"/>
      <c r="AP143" s="100"/>
      <c r="AQ143" s="110"/>
      <c r="AR143" s="100"/>
      <c r="AS143" s="111"/>
      <c r="AT143" s="111"/>
    </row>
    <row r="144" spans="1:46" ht="16.3">
      <c r="A144" s="246" t="s">
        <v>386</v>
      </c>
      <c r="B144" s="249">
        <f>SUM(J144+K144+L144+M144+N144+S144+V144+W144+X144+AA144+AI144+AJ144+AI144+AM144+AP144+AQ144+AS144+AT144+AU144+AV144)+3</f>
        <v>3</v>
      </c>
      <c r="C144" s="216">
        <f>SUM(J144+K144+L144+M144+N144+S144+W144+X144+V144+AA144+AJ144+AI144+AJ144+AN144+AQ144+AM144+AT144+AU144+AV144+AW144+AP144+AS144)+3</f>
        <v>3</v>
      </c>
      <c r="D144" s="133"/>
      <c r="E144" s="134"/>
      <c r="F144" s="135"/>
      <c r="G144" s="136"/>
      <c r="H144" s="107"/>
      <c r="I144" s="96"/>
      <c r="J144" s="104"/>
      <c r="K144" s="75"/>
      <c r="L144" s="75"/>
      <c r="M144" s="75"/>
      <c r="N144" s="104"/>
      <c r="O144" s="109"/>
      <c r="P144" s="108"/>
      <c r="Q144" s="109"/>
      <c r="R144" s="109"/>
      <c r="S144" s="100"/>
      <c r="T144" s="110"/>
      <c r="U144" s="110"/>
      <c r="V144" s="100"/>
      <c r="W144" s="100"/>
      <c r="X144" s="100"/>
      <c r="Y144" s="110"/>
      <c r="Z144" s="110"/>
      <c r="AA144" s="100"/>
      <c r="AB144" s="109"/>
      <c r="AC144" s="108"/>
      <c r="AD144" s="109"/>
      <c r="AE144" s="109"/>
      <c r="AF144" s="109"/>
      <c r="AG144" s="109"/>
      <c r="AH144" s="108"/>
      <c r="AI144" s="100"/>
      <c r="AJ144" s="110"/>
      <c r="AK144" s="110"/>
      <c r="AL144" s="100"/>
      <c r="AM144" s="100"/>
      <c r="AN144" s="110"/>
      <c r="AO144" s="100"/>
      <c r="AP144" s="100"/>
      <c r="AQ144" s="110"/>
      <c r="AR144" s="100"/>
      <c r="AS144" s="111"/>
      <c r="AT144" s="111"/>
    </row>
    <row r="145" spans="1:46" ht="16.3">
      <c r="A145" s="83" t="s">
        <v>3</v>
      </c>
      <c r="B145" s="247">
        <f>SUM(J145+K145+L145+M145+N145+S145+V145+W145+X145+AA145+AI145+AJ145+AI145+AM145+AP145+AQ145+AS145+AT145+AU145+AV145+AN145)+3</f>
        <v>5</v>
      </c>
      <c r="C145" s="214">
        <f>SUM(J145+K145+L145+M145+N145+S145+W145+X145+V145+AA145+AJ145+AI145+AJ145+AN145+AQ145+AM145+AT145+AU145+AV145+AW145+AP145+AS145)+3</f>
        <v>5</v>
      </c>
      <c r="D145" s="133"/>
      <c r="E145" s="134"/>
      <c r="F145" s="135"/>
      <c r="G145" s="136"/>
      <c r="H145" s="107"/>
      <c r="I145" s="96"/>
      <c r="J145" s="104"/>
      <c r="K145" s="75"/>
      <c r="L145" s="75">
        <v>1</v>
      </c>
      <c r="M145" s="75"/>
      <c r="N145" s="104"/>
      <c r="O145" s="109"/>
      <c r="P145" s="108"/>
      <c r="Q145" s="109"/>
      <c r="R145" s="109"/>
      <c r="S145" s="100"/>
      <c r="T145" s="110"/>
      <c r="U145" s="110"/>
      <c r="V145" s="100"/>
      <c r="W145" s="100"/>
      <c r="X145" s="100">
        <v>1</v>
      </c>
      <c r="Y145" s="110"/>
      <c r="Z145" s="110"/>
      <c r="AA145" s="100"/>
      <c r="AB145" s="109"/>
      <c r="AC145" s="108"/>
      <c r="AD145" s="109"/>
      <c r="AE145" s="109"/>
      <c r="AF145" s="109"/>
      <c r="AG145" s="109"/>
      <c r="AH145" s="108"/>
      <c r="AI145" s="100"/>
      <c r="AJ145" s="110"/>
      <c r="AK145" s="110"/>
      <c r="AL145" s="100"/>
      <c r="AM145" s="100"/>
      <c r="AN145" s="110"/>
      <c r="AO145" s="100"/>
      <c r="AP145" s="100"/>
      <c r="AQ145" s="110"/>
      <c r="AR145" s="100"/>
      <c r="AS145" s="111"/>
      <c r="AT145" s="111"/>
    </row>
    <row r="146" spans="1:46" ht="17" thickBot="1">
      <c r="A146" s="85" t="s">
        <v>4</v>
      </c>
      <c r="B146" s="247">
        <f>SUM(J146+K146+L146+M146+N146+S146+V146+W146+X146+AA146+AI146+AJ146+AI146+AM146+AP146+AQ146+AS146+AT146+AU146+AV146)+376</f>
        <v>442</v>
      </c>
      <c r="C146" s="214">
        <f>SUM(J146+K146+L146+M146+N146+S146+W146+X146+V146+AA146+AJ146+AI146+AJ146+AN146+AQ146+AM146+AT146+AU146+AV146+AW146+AP146+AS146)+468</f>
        <v>534</v>
      </c>
      <c r="D146" s="133"/>
      <c r="E146" s="134"/>
      <c r="F146" s="135"/>
      <c r="G146" s="136"/>
      <c r="H146" s="130"/>
      <c r="I146" s="114"/>
      <c r="J146" s="113"/>
      <c r="K146" s="112"/>
      <c r="L146" s="112">
        <v>12</v>
      </c>
      <c r="M146" s="112">
        <v>11</v>
      </c>
      <c r="N146" s="113">
        <v>8</v>
      </c>
      <c r="O146" s="118"/>
      <c r="P146" s="117"/>
      <c r="Q146" s="118"/>
      <c r="R146" s="118"/>
      <c r="S146" s="116">
        <v>2</v>
      </c>
      <c r="T146" s="120">
        <v>10</v>
      </c>
      <c r="U146" s="120">
        <v>10</v>
      </c>
      <c r="V146" s="116">
        <v>12</v>
      </c>
      <c r="W146" s="116"/>
      <c r="X146" s="116">
        <v>21</v>
      </c>
      <c r="Y146" s="120"/>
      <c r="Z146" s="120"/>
      <c r="AA146" s="116"/>
      <c r="AB146" s="118"/>
      <c r="AC146" s="117"/>
      <c r="AD146" s="118"/>
      <c r="AE146" s="118"/>
      <c r="AF146" s="118"/>
      <c r="AG146" s="118"/>
      <c r="AH146" s="117"/>
      <c r="AI146" s="116"/>
      <c r="AJ146" s="120"/>
      <c r="AK146" s="120"/>
      <c r="AL146" s="116"/>
      <c r="AM146" s="116"/>
      <c r="AN146" s="120"/>
      <c r="AO146" s="116"/>
      <c r="AP146" s="116"/>
      <c r="AQ146" s="120"/>
      <c r="AR146" s="116"/>
      <c r="AS146" s="121"/>
      <c r="AT146" s="121"/>
    </row>
    <row r="147" spans="1:46" ht="21.1">
      <c r="A147" s="86" t="s">
        <v>645</v>
      </c>
      <c r="B147" s="251"/>
      <c r="C147" s="218"/>
      <c r="D147" s="153"/>
      <c r="E147" s="154"/>
      <c r="F147" s="155"/>
      <c r="G147" s="156"/>
      <c r="H147" s="131"/>
      <c r="I147" s="124" t="s">
        <v>452</v>
      </c>
      <c r="J147" s="122">
        <v>10</v>
      </c>
      <c r="K147" s="122">
        <v>10</v>
      </c>
      <c r="L147" s="122" t="s">
        <v>375</v>
      </c>
      <c r="M147" s="122" t="s">
        <v>375</v>
      </c>
      <c r="N147" s="123" t="s">
        <v>393</v>
      </c>
      <c r="O147" s="99">
        <v>10</v>
      </c>
      <c r="P147" s="98"/>
      <c r="Q147" s="99" t="s">
        <v>384</v>
      </c>
      <c r="R147" s="99" t="s">
        <v>339</v>
      </c>
      <c r="S147" s="102" t="s">
        <v>339</v>
      </c>
      <c r="T147" s="181" t="s">
        <v>339</v>
      </c>
      <c r="U147" s="101" t="s">
        <v>339</v>
      </c>
      <c r="V147" s="102" t="s">
        <v>339</v>
      </c>
      <c r="W147" s="102">
        <v>10</v>
      </c>
      <c r="X147" s="102" t="s">
        <v>375</v>
      </c>
      <c r="Y147" s="101">
        <v>10</v>
      </c>
      <c r="Z147" s="101">
        <v>10</v>
      </c>
      <c r="AA147" s="102" t="s">
        <v>384</v>
      </c>
      <c r="AB147" s="99" t="s">
        <v>339</v>
      </c>
      <c r="AC147" s="98"/>
      <c r="AD147" s="99">
        <v>10</v>
      </c>
      <c r="AE147" s="99">
        <v>10</v>
      </c>
      <c r="AF147" s="99"/>
      <c r="AG147" s="99">
        <v>10</v>
      </c>
      <c r="AH147" s="98"/>
      <c r="AI147" s="102"/>
      <c r="AJ147" s="101"/>
      <c r="AK147" s="101"/>
      <c r="AL147" s="102"/>
      <c r="AM147" s="102"/>
      <c r="AN147" s="101"/>
      <c r="AO147" s="102"/>
      <c r="AP147" s="102"/>
      <c r="AQ147" s="101"/>
      <c r="AR147" s="102"/>
      <c r="AS147" s="103"/>
      <c r="AT147" s="103"/>
    </row>
    <row r="148" spans="1:46" ht="16.3">
      <c r="A148" s="246" t="s">
        <v>1</v>
      </c>
      <c r="B148" s="248">
        <f>SUM(J148+K148+L148+M148+N148+S148+V148+W148+X148+AA148+AI148+AJ148+AI148+AM148+AP148+AQ148+AS148+AT148+AU148+AV148+AN148)</f>
        <v>4</v>
      </c>
      <c r="C148" s="215">
        <f>B148</f>
        <v>4</v>
      </c>
      <c r="D148" s="139"/>
      <c r="E148" s="140"/>
      <c r="F148" s="135"/>
      <c r="G148" s="136"/>
      <c r="H148" s="107"/>
      <c r="I148" s="96">
        <v>1</v>
      </c>
      <c r="J148" s="104">
        <v>1</v>
      </c>
      <c r="K148" s="75">
        <v>1</v>
      </c>
      <c r="L148" s="75"/>
      <c r="M148" s="75"/>
      <c r="N148" s="75"/>
      <c r="O148" s="96">
        <v>1</v>
      </c>
      <c r="P148" s="105"/>
      <c r="Q148" s="96">
        <v>1</v>
      </c>
      <c r="R148" s="96"/>
      <c r="S148" s="75"/>
      <c r="T148" s="106"/>
      <c r="U148" s="106"/>
      <c r="V148" s="75"/>
      <c r="W148" s="75">
        <v>1</v>
      </c>
      <c r="X148" s="75"/>
      <c r="Y148" s="106">
        <v>1</v>
      </c>
      <c r="Z148" s="106">
        <v>1</v>
      </c>
      <c r="AA148" s="75">
        <v>1</v>
      </c>
      <c r="AB148" s="96"/>
      <c r="AC148" s="105"/>
      <c r="AD148" s="96">
        <v>1</v>
      </c>
      <c r="AE148" s="96">
        <v>1</v>
      </c>
      <c r="AF148" s="96"/>
      <c r="AG148" s="96">
        <v>1</v>
      </c>
      <c r="AH148" s="105"/>
      <c r="AI148" s="75"/>
      <c r="AJ148" s="106"/>
      <c r="AK148" s="106"/>
      <c r="AL148" s="75"/>
      <c r="AM148" s="75"/>
      <c r="AN148" s="106"/>
      <c r="AO148" s="75"/>
      <c r="AP148" s="75"/>
      <c r="AQ148" s="106"/>
      <c r="AR148" s="75"/>
      <c r="AS148" s="107"/>
      <c r="AT148" s="107"/>
    </row>
    <row r="149" spans="1:46" ht="16.3">
      <c r="A149" s="246" t="s">
        <v>2</v>
      </c>
      <c r="B149" s="248">
        <f>SUM(J149+K149+L149+M149+N149+S149+V149+W149+X149+AA149+AI149+AJ149+AI149+AM149+AP149+AQ149+AS149+AT149+AU149+AV149)</f>
        <v>3</v>
      </c>
      <c r="C149" s="215">
        <f t="shared" ref="C149:C152" si="30">B149</f>
        <v>3</v>
      </c>
      <c r="D149" s="139"/>
      <c r="E149" s="140"/>
      <c r="F149" s="135"/>
      <c r="G149" s="136"/>
      <c r="H149" s="107"/>
      <c r="I149" s="96"/>
      <c r="J149" s="104"/>
      <c r="K149" s="75"/>
      <c r="L149" s="75">
        <v>1</v>
      </c>
      <c r="M149" s="75">
        <v>1</v>
      </c>
      <c r="N149" s="104"/>
      <c r="O149" s="109"/>
      <c r="P149" s="108"/>
      <c r="Q149" s="109"/>
      <c r="R149" s="109"/>
      <c r="S149" s="100"/>
      <c r="T149" s="110"/>
      <c r="U149" s="110"/>
      <c r="V149" s="100"/>
      <c r="W149" s="100"/>
      <c r="X149" s="100">
        <v>1</v>
      </c>
      <c r="Y149" s="110"/>
      <c r="Z149" s="110"/>
      <c r="AA149" s="100"/>
      <c r="AB149" s="109"/>
      <c r="AC149" s="108"/>
      <c r="AD149" s="109"/>
      <c r="AE149" s="109"/>
      <c r="AF149" s="109"/>
      <c r="AG149" s="109"/>
      <c r="AH149" s="108"/>
      <c r="AI149" s="100"/>
      <c r="AJ149" s="110"/>
      <c r="AK149" s="110"/>
      <c r="AL149" s="100"/>
      <c r="AM149" s="100"/>
      <c r="AN149" s="110"/>
      <c r="AO149" s="100"/>
      <c r="AP149" s="100"/>
      <c r="AQ149" s="110"/>
      <c r="AR149" s="100"/>
      <c r="AS149" s="111"/>
      <c r="AT149" s="111"/>
    </row>
    <row r="150" spans="1:46" ht="16.3">
      <c r="A150" s="83" t="s">
        <v>363</v>
      </c>
      <c r="B150" s="247">
        <f>SUM(B148+B149)</f>
        <v>7</v>
      </c>
      <c r="C150" s="214">
        <f t="shared" si="30"/>
        <v>7</v>
      </c>
      <c r="D150" s="133"/>
      <c r="E150" s="134"/>
      <c r="F150" s="135"/>
      <c r="G150" s="136"/>
      <c r="H150" s="107"/>
      <c r="I150" s="96"/>
      <c r="J150" s="104"/>
      <c r="K150" s="75"/>
      <c r="L150" s="75"/>
      <c r="M150" s="75"/>
      <c r="N150" s="104"/>
      <c r="O150" s="109"/>
      <c r="P150" s="108"/>
      <c r="Q150" s="109"/>
      <c r="R150" s="109"/>
      <c r="S150" s="100"/>
      <c r="T150" s="110"/>
      <c r="U150" s="110"/>
      <c r="V150" s="100"/>
      <c r="W150" s="100"/>
      <c r="X150" s="100"/>
      <c r="Y150" s="110"/>
      <c r="Z150" s="110"/>
      <c r="AA150" s="100"/>
      <c r="AB150" s="109"/>
      <c r="AC150" s="108"/>
      <c r="AD150" s="109"/>
      <c r="AE150" s="109"/>
      <c r="AF150" s="109"/>
      <c r="AG150" s="109"/>
      <c r="AH150" s="108"/>
      <c r="AI150" s="100"/>
      <c r="AJ150" s="110"/>
      <c r="AK150" s="110"/>
      <c r="AL150" s="100"/>
      <c r="AM150" s="100"/>
      <c r="AN150" s="110"/>
      <c r="AO150" s="100"/>
      <c r="AP150" s="100"/>
      <c r="AQ150" s="110"/>
      <c r="AR150" s="100"/>
      <c r="AS150" s="111"/>
      <c r="AT150" s="111"/>
    </row>
    <row r="151" spans="1:46" ht="16.3">
      <c r="A151" s="246" t="s">
        <v>5</v>
      </c>
      <c r="B151" s="248">
        <f>SUM(J151+K151+L151+M151+N151+S151+V151+W151+X151+AA151+AI151+AJ151+AI151+AM151+AP151+AQ151+AS151+AT151+AU151+AV151)</f>
        <v>19</v>
      </c>
      <c r="C151" s="215">
        <f t="shared" si="30"/>
        <v>19</v>
      </c>
      <c r="D151" s="139"/>
      <c r="E151" s="140"/>
      <c r="F151" s="135"/>
      <c r="G151" s="136"/>
      <c r="H151" s="107"/>
      <c r="I151" s="96">
        <v>7</v>
      </c>
      <c r="J151" s="104">
        <v>4</v>
      </c>
      <c r="K151" s="75">
        <v>7</v>
      </c>
      <c r="L151" s="75"/>
      <c r="M151" s="75"/>
      <c r="N151" s="104"/>
      <c r="O151" s="109">
        <v>3</v>
      </c>
      <c r="P151" s="108"/>
      <c r="Q151" s="109">
        <v>2</v>
      </c>
      <c r="R151" s="109"/>
      <c r="S151" s="100"/>
      <c r="T151" s="110"/>
      <c r="U151" s="110"/>
      <c r="V151" s="100"/>
      <c r="W151" s="100">
        <v>5</v>
      </c>
      <c r="X151" s="100"/>
      <c r="Y151" s="110">
        <v>4</v>
      </c>
      <c r="Z151" s="110">
        <v>6</v>
      </c>
      <c r="AA151" s="100">
        <v>3</v>
      </c>
      <c r="AB151" s="109"/>
      <c r="AC151" s="108"/>
      <c r="AD151" s="109">
        <v>4</v>
      </c>
      <c r="AE151" s="109">
        <v>7</v>
      </c>
      <c r="AF151" s="109"/>
      <c r="AG151" s="109">
        <v>2</v>
      </c>
      <c r="AH151" s="108"/>
      <c r="AI151" s="100"/>
      <c r="AJ151" s="110"/>
      <c r="AK151" s="110"/>
      <c r="AL151" s="100"/>
      <c r="AM151" s="100"/>
      <c r="AN151" s="110"/>
      <c r="AO151" s="100"/>
      <c r="AP151" s="100"/>
      <c r="AQ151" s="110"/>
      <c r="AR151" s="100"/>
      <c r="AS151" s="111"/>
      <c r="AT151" s="111"/>
    </row>
    <row r="152" spans="1:46" ht="16.3">
      <c r="A152" s="246" t="s">
        <v>6</v>
      </c>
      <c r="B152" s="248">
        <f>SUM(J152+K152+L152+M152+N152+S152+V152+W152+X152+AA152+AI152+AJ152+AI152+AM152+AP152+AQ152+AS152+AT152+AU152+AV152)</f>
        <v>24</v>
      </c>
      <c r="C152" s="215">
        <f t="shared" si="30"/>
        <v>24</v>
      </c>
      <c r="D152" s="139"/>
      <c r="E152" s="140"/>
      <c r="F152" s="135"/>
      <c r="G152" s="136"/>
      <c r="H152" s="107"/>
      <c r="I152" s="96">
        <v>7</v>
      </c>
      <c r="J152" s="104">
        <v>5</v>
      </c>
      <c r="K152" s="75">
        <v>7</v>
      </c>
      <c r="L152" s="75"/>
      <c r="M152" s="75"/>
      <c r="N152" s="104"/>
      <c r="O152" s="109">
        <v>4</v>
      </c>
      <c r="P152" s="108"/>
      <c r="Q152" s="109">
        <v>2</v>
      </c>
      <c r="R152" s="109"/>
      <c r="S152" s="100"/>
      <c r="T152" s="110"/>
      <c r="U152" s="110"/>
      <c r="V152" s="100"/>
      <c r="W152" s="100">
        <v>7</v>
      </c>
      <c r="X152" s="100"/>
      <c r="Y152" s="110">
        <v>4</v>
      </c>
      <c r="Z152" s="110">
        <v>7</v>
      </c>
      <c r="AA152" s="100">
        <v>5</v>
      </c>
      <c r="AB152" s="109"/>
      <c r="AC152" s="108"/>
      <c r="AD152" s="109">
        <v>5</v>
      </c>
      <c r="AE152" s="109">
        <v>7</v>
      </c>
      <c r="AF152" s="109"/>
      <c r="AG152" s="109">
        <v>2</v>
      </c>
      <c r="AH152" s="108"/>
      <c r="AI152" s="100"/>
      <c r="AJ152" s="110"/>
      <c r="AK152" s="110"/>
      <c r="AL152" s="100"/>
      <c r="AM152" s="100"/>
      <c r="AN152" s="110"/>
      <c r="AO152" s="100"/>
      <c r="AP152" s="100"/>
      <c r="AQ152" s="110"/>
      <c r="AR152" s="100"/>
      <c r="AS152" s="111"/>
      <c r="AT152" s="111"/>
    </row>
    <row r="153" spans="1:46" ht="16.3">
      <c r="A153" s="246" t="s">
        <v>368</v>
      </c>
      <c r="B153" s="249">
        <f>SUM(B151/B152)*100</f>
        <v>79.166666666666657</v>
      </c>
      <c r="C153" s="216">
        <f>SUM(C151/C152)*100</f>
        <v>79.166666666666657</v>
      </c>
      <c r="D153" s="139"/>
      <c r="E153" s="140"/>
      <c r="F153" s="135"/>
      <c r="G153" s="136"/>
      <c r="H153" s="107"/>
      <c r="I153" s="96">
        <v>100</v>
      </c>
      <c r="J153" s="104">
        <v>80</v>
      </c>
      <c r="K153" s="75">
        <v>100</v>
      </c>
      <c r="L153" s="75"/>
      <c r="M153" s="75"/>
      <c r="N153" s="104"/>
      <c r="O153" s="109">
        <v>75</v>
      </c>
      <c r="P153" s="108"/>
      <c r="Q153" s="109">
        <v>100</v>
      </c>
      <c r="R153" s="109"/>
      <c r="S153" s="100"/>
      <c r="T153" s="110"/>
      <c r="U153" s="110"/>
      <c r="V153" s="100"/>
      <c r="W153" s="100">
        <v>71</v>
      </c>
      <c r="X153" s="100"/>
      <c r="Y153" s="110">
        <v>100</v>
      </c>
      <c r="Z153" s="110">
        <v>86</v>
      </c>
      <c r="AA153" s="100">
        <v>60</v>
      </c>
      <c r="AB153" s="109"/>
      <c r="AC153" s="108"/>
      <c r="AD153" s="109">
        <v>80</v>
      </c>
      <c r="AE153" s="109">
        <v>100</v>
      </c>
      <c r="AF153" s="109"/>
      <c r="AG153" s="109">
        <v>100</v>
      </c>
      <c r="AH153" s="108"/>
      <c r="AI153" s="100"/>
      <c r="AJ153" s="110"/>
      <c r="AK153" s="110"/>
      <c r="AL153" s="100"/>
      <c r="AM153" s="100"/>
      <c r="AN153" s="110"/>
      <c r="AO153" s="100"/>
      <c r="AP153" s="100"/>
      <c r="AQ153" s="110"/>
      <c r="AR153" s="100"/>
      <c r="AS153" s="111"/>
      <c r="AT153" s="111"/>
    </row>
    <row r="154" spans="1:46" ht="16.3">
      <c r="A154" s="83" t="s">
        <v>3</v>
      </c>
      <c r="B154" s="247">
        <f>SUM(J154+K154+L154+M154+N154+S154+V154+W154+X154+AA154+AI154+AJ154+AI154+AM154+AP154+AQ154+AS154+AT154+AU154+AV154+AN154)</f>
        <v>2</v>
      </c>
      <c r="C154" s="214">
        <f>B154</f>
        <v>2</v>
      </c>
      <c r="D154" s="133"/>
      <c r="E154" s="134"/>
      <c r="F154" s="135"/>
      <c r="G154" s="136"/>
      <c r="H154" s="107"/>
      <c r="I154" s="96"/>
      <c r="J154" s="104"/>
      <c r="K154" s="75"/>
      <c r="L154" s="75">
        <v>2</v>
      </c>
      <c r="M154" s="75"/>
      <c r="N154" s="104"/>
      <c r="O154" s="109"/>
      <c r="P154" s="108"/>
      <c r="Q154" s="109"/>
      <c r="R154" s="109"/>
      <c r="S154" s="100"/>
      <c r="T154" s="110"/>
      <c r="U154" s="110"/>
      <c r="V154" s="100"/>
      <c r="W154" s="100"/>
      <c r="X154" s="100"/>
      <c r="Y154" s="110"/>
      <c r="Z154" s="110"/>
      <c r="AA154" s="100"/>
      <c r="AB154" s="109"/>
      <c r="AC154" s="108"/>
      <c r="AD154" s="109">
        <v>1</v>
      </c>
      <c r="AE154" s="109"/>
      <c r="AF154" s="109"/>
      <c r="AG154" s="109"/>
      <c r="AH154" s="108"/>
      <c r="AI154" s="100"/>
      <c r="AJ154" s="110"/>
      <c r="AK154" s="110"/>
      <c r="AL154" s="100"/>
      <c r="AM154" s="100"/>
      <c r="AN154" s="110"/>
      <c r="AO154" s="100"/>
      <c r="AP154" s="100"/>
      <c r="AQ154" s="110"/>
      <c r="AR154" s="100"/>
      <c r="AS154" s="111"/>
      <c r="AT154" s="111"/>
    </row>
    <row r="155" spans="1:46" ht="17" thickBot="1">
      <c r="A155" s="85" t="s">
        <v>4</v>
      </c>
      <c r="B155" s="250">
        <f>SUM(J155+K155+L155+M155+N155+S155+V155+W155+X155+AA155+AI155+AJ155+AI155+AM155+AP155+AQ155+AS155+AT155+AU155+AV155)</f>
        <v>52</v>
      </c>
      <c r="C155" s="217">
        <f t="shared" ref="C155" si="31">B155</f>
        <v>52</v>
      </c>
      <c r="D155" s="144"/>
      <c r="E155" s="145"/>
      <c r="F155" s="146"/>
      <c r="G155" s="147"/>
      <c r="H155" s="130"/>
      <c r="I155" s="114">
        <v>14</v>
      </c>
      <c r="J155" s="113">
        <v>8</v>
      </c>
      <c r="K155" s="112">
        <v>17</v>
      </c>
      <c r="L155" s="112">
        <v>10</v>
      </c>
      <c r="M155" s="112"/>
      <c r="N155" s="113"/>
      <c r="O155" s="118">
        <v>6</v>
      </c>
      <c r="P155" s="127"/>
      <c r="Q155" s="118">
        <v>4</v>
      </c>
      <c r="R155" s="118"/>
      <c r="S155" s="116"/>
      <c r="T155" s="120"/>
      <c r="U155" s="120"/>
      <c r="V155" s="112"/>
      <c r="W155" s="100">
        <v>11</v>
      </c>
      <c r="X155" s="100"/>
      <c r="Y155" s="110">
        <v>8</v>
      </c>
      <c r="Z155" s="110">
        <v>13</v>
      </c>
      <c r="AA155" s="100">
        <v>6</v>
      </c>
      <c r="AB155" s="109"/>
      <c r="AC155" s="108"/>
      <c r="AD155" s="109">
        <v>13</v>
      </c>
      <c r="AE155" s="109">
        <v>14</v>
      </c>
      <c r="AF155" s="109"/>
      <c r="AG155" s="109">
        <v>4</v>
      </c>
      <c r="AH155" s="108"/>
      <c r="AI155" s="100"/>
      <c r="AJ155" s="110"/>
      <c r="AK155" s="110"/>
      <c r="AL155" s="100"/>
      <c r="AM155" s="100"/>
      <c r="AN155" s="110"/>
      <c r="AO155" s="100"/>
      <c r="AP155" s="100"/>
      <c r="AQ155" s="110"/>
      <c r="AR155" s="100"/>
      <c r="AS155" s="111"/>
      <c r="AT155" s="111"/>
    </row>
    <row r="156" spans="1:46" ht="21.1">
      <c r="A156" s="82" t="s">
        <v>82</v>
      </c>
      <c r="B156" s="247"/>
      <c r="C156" s="214"/>
      <c r="D156" s="133"/>
      <c r="E156" s="134"/>
      <c r="F156" s="135"/>
      <c r="G156" s="136"/>
      <c r="H156" s="131"/>
      <c r="I156" s="96" t="s">
        <v>501</v>
      </c>
      <c r="J156" s="104" t="s">
        <v>501</v>
      </c>
      <c r="K156" s="75" t="s">
        <v>501</v>
      </c>
      <c r="L156" s="122" t="s">
        <v>378</v>
      </c>
      <c r="M156" s="122">
        <v>9</v>
      </c>
      <c r="N156" s="123">
        <v>9</v>
      </c>
      <c r="O156" s="99" t="s">
        <v>775</v>
      </c>
      <c r="P156" s="98"/>
      <c r="Q156" s="99" t="s">
        <v>775</v>
      </c>
      <c r="R156" s="99" t="s">
        <v>775</v>
      </c>
      <c r="S156" s="102"/>
      <c r="T156" s="181">
        <v>9</v>
      </c>
      <c r="U156" s="101" t="s">
        <v>378</v>
      </c>
      <c r="V156" s="102" t="s">
        <v>378</v>
      </c>
      <c r="W156" s="102"/>
      <c r="X156" s="102" t="s">
        <v>378</v>
      </c>
      <c r="Y156" s="101" t="s">
        <v>378</v>
      </c>
      <c r="Z156" s="101" t="s">
        <v>378</v>
      </c>
      <c r="AA156" s="102">
        <v>9</v>
      </c>
      <c r="AB156" s="99" t="s">
        <v>775</v>
      </c>
      <c r="AC156" s="98"/>
      <c r="AD156" s="99" t="s">
        <v>775</v>
      </c>
      <c r="AE156" s="99" t="s">
        <v>775</v>
      </c>
      <c r="AF156" s="99" t="s">
        <v>339</v>
      </c>
      <c r="AG156" s="99" t="s">
        <v>339</v>
      </c>
      <c r="AH156" s="98"/>
      <c r="AI156" s="102"/>
      <c r="AJ156" s="101"/>
      <c r="AK156" s="101"/>
      <c r="AL156" s="102"/>
      <c r="AM156" s="102"/>
      <c r="AN156" s="101"/>
      <c r="AO156" s="102"/>
      <c r="AP156" s="102"/>
      <c r="AQ156" s="101"/>
      <c r="AR156" s="102"/>
      <c r="AS156" s="103"/>
      <c r="AT156" s="103"/>
    </row>
    <row r="157" spans="1:46" ht="16.3">
      <c r="A157" s="246" t="s">
        <v>1</v>
      </c>
      <c r="B157" s="248">
        <f>SUM(J157+K157+L157+M157+N157+S157+V157+W157+X157+AA157+AI157+AJ157+AI157+AM157+AP157+AQ157+AS157+AT157+AU157+AV157+AN157)+73</f>
        <v>79</v>
      </c>
      <c r="C157" s="215">
        <f>B157</f>
        <v>79</v>
      </c>
      <c r="D157" s="139"/>
      <c r="E157" s="140"/>
      <c r="F157" s="135"/>
      <c r="G157" s="136"/>
      <c r="H157" s="107"/>
      <c r="I157" s="96"/>
      <c r="J157" s="104"/>
      <c r="K157" s="75"/>
      <c r="L157" s="75">
        <v>1</v>
      </c>
      <c r="M157" s="75">
        <v>1</v>
      </c>
      <c r="N157" s="104">
        <v>1</v>
      </c>
      <c r="O157" s="109"/>
      <c r="P157" s="108"/>
      <c r="Q157" s="109"/>
      <c r="R157" s="109"/>
      <c r="S157" s="100"/>
      <c r="T157" s="110">
        <v>1</v>
      </c>
      <c r="U157" s="110">
        <v>1</v>
      </c>
      <c r="V157" s="100">
        <v>1</v>
      </c>
      <c r="W157" s="100"/>
      <c r="X157" s="100">
        <v>1</v>
      </c>
      <c r="Y157" s="110">
        <v>1</v>
      </c>
      <c r="Z157" s="110">
        <v>1</v>
      </c>
      <c r="AA157" s="100">
        <v>1</v>
      </c>
      <c r="AB157" s="109"/>
      <c r="AC157" s="108"/>
      <c r="AD157" s="109"/>
      <c r="AE157" s="109"/>
      <c r="AF157" s="109"/>
      <c r="AG157" s="109"/>
      <c r="AH157" s="108"/>
      <c r="AI157" s="100"/>
      <c r="AJ157" s="110"/>
      <c r="AK157" s="110"/>
      <c r="AL157" s="100"/>
      <c r="AM157" s="100"/>
      <c r="AN157" s="110"/>
      <c r="AO157" s="100"/>
      <c r="AP157" s="100"/>
      <c r="AQ157" s="110"/>
      <c r="AR157" s="100"/>
      <c r="AS157" s="111"/>
      <c r="AT157" s="111"/>
    </row>
    <row r="158" spans="1:46" ht="16.3">
      <c r="A158" s="246" t="s">
        <v>2</v>
      </c>
      <c r="B158" s="248">
        <f>SUM(J158+K158+L158+M158+N158+S158+V158+W158+X158+AA158+AI158+AJ158+AI158+AM158+AP158+AQ158+AS158+AT158+AU158+AV158)+33</f>
        <v>33</v>
      </c>
      <c r="C158" s="215">
        <f t="shared" ref="C158:C162" si="32">B158</f>
        <v>33</v>
      </c>
      <c r="D158" s="139"/>
      <c r="E158" s="140"/>
      <c r="F158" s="135"/>
      <c r="G158" s="136"/>
      <c r="H158" s="107"/>
      <c r="I158" s="96"/>
      <c r="J158" s="104"/>
      <c r="K158" s="75"/>
      <c r="L158" s="75"/>
      <c r="M158" s="75"/>
      <c r="N158" s="104"/>
      <c r="O158" s="109"/>
      <c r="P158" s="108"/>
      <c r="Q158" s="109"/>
      <c r="R158" s="109"/>
      <c r="S158" s="100"/>
      <c r="T158" s="110"/>
      <c r="U158" s="110"/>
      <c r="V158" s="100"/>
      <c r="W158" s="100"/>
      <c r="X158" s="100"/>
      <c r="Y158" s="110"/>
      <c r="Z158" s="110"/>
      <c r="AA158" s="100"/>
      <c r="AB158" s="109"/>
      <c r="AC158" s="108"/>
      <c r="AD158" s="109"/>
      <c r="AE158" s="109"/>
      <c r="AF158" s="109"/>
      <c r="AG158" s="109"/>
      <c r="AH158" s="108"/>
      <c r="AI158" s="100"/>
      <c r="AJ158" s="110"/>
      <c r="AK158" s="110"/>
      <c r="AL158" s="100"/>
      <c r="AM158" s="100"/>
      <c r="AN158" s="110"/>
      <c r="AO158" s="100"/>
      <c r="AP158" s="100"/>
      <c r="AQ158" s="110"/>
      <c r="AR158" s="100"/>
      <c r="AS158" s="111"/>
      <c r="AT158" s="111"/>
    </row>
    <row r="159" spans="1:46" ht="16.3">
      <c r="A159" s="83" t="s">
        <v>363</v>
      </c>
      <c r="B159" s="247">
        <f>SUM(B157+B158)</f>
        <v>112</v>
      </c>
      <c r="C159" s="214">
        <f t="shared" si="32"/>
        <v>112</v>
      </c>
      <c r="D159" s="133"/>
      <c r="E159" s="134"/>
      <c r="F159" s="135"/>
      <c r="G159" s="136"/>
      <c r="H159" s="107"/>
      <c r="I159" s="96"/>
      <c r="J159" s="104"/>
      <c r="K159" s="75"/>
      <c r="L159" s="75"/>
      <c r="M159" s="75"/>
      <c r="N159" s="104"/>
      <c r="O159" s="109"/>
      <c r="P159" s="108"/>
      <c r="Q159" s="109"/>
      <c r="R159" s="109"/>
      <c r="S159" s="100"/>
      <c r="T159" s="110"/>
      <c r="U159" s="110"/>
      <c r="V159" s="100"/>
      <c r="W159" s="100"/>
      <c r="X159" s="100"/>
      <c r="Y159" s="110"/>
      <c r="Z159" s="110"/>
      <c r="AA159" s="100"/>
      <c r="AB159" s="109"/>
      <c r="AC159" s="108"/>
      <c r="AD159" s="109"/>
      <c r="AE159" s="109"/>
      <c r="AF159" s="109"/>
      <c r="AG159" s="109"/>
      <c r="AH159" s="108"/>
      <c r="AI159" s="100"/>
      <c r="AJ159" s="110"/>
      <c r="AK159" s="110"/>
      <c r="AL159" s="100"/>
      <c r="AM159" s="100"/>
      <c r="AN159" s="110"/>
      <c r="AO159" s="100"/>
      <c r="AP159" s="100"/>
      <c r="AQ159" s="110"/>
      <c r="AR159" s="100"/>
      <c r="AS159" s="111"/>
      <c r="AT159" s="111"/>
    </row>
    <row r="160" spans="1:46" ht="16.3">
      <c r="A160" s="246" t="s">
        <v>362</v>
      </c>
      <c r="B160" s="248">
        <f>SUM(J160+K160+L160+M160+N160+S160+V160+W160+X160+AA160+AI160+AJ160+AI160+AM160+AP160+AQ160+AS160+AT160+AU160+AV160)+5</f>
        <v>5</v>
      </c>
      <c r="C160" s="215">
        <f t="shared" si="32"/>
        <v>5</v>
      </c>
      <c r="D160" s="139"/>
      <c r="E160" s="140"/>
      <c r="F160" s="135"/>
      <c r="G160" s="136"/>
      <c r="H160" s="107"/>
      <c r="I160" s="96"/>
      <c r="J160" s="104"/>
      <c r="K160" s="75"/>
      <c r="L160" s="75"/>
      <c r="M160" s="75"/>
      <c r="N160" s="104"/>
      <c r="O160" s="109"/>
      <c r="P160" s="108"/>
      <c r="Q160" s="109"/>
      <c r="R160" s="109"/>
      <c r="S160" s="100"/>
      <c r="T160" s="110"/>
      <c r="U160" s="110"/>
      <c r="V160" s="100"/>
      <c r="W160" s="100"/>
      <c r="X160" s="100"/>
      <c r="Y160" s="110"/>
      <c r="Z160" s="110"/>
      <c r="AA160" s="100"/>
      <c r="AB160" s="109"/>
      <c r="AC160" s="108"/>
      <c r="AD160" s="109"/>
      <c r="AE160" s="109"/>
      <c r="AF160" s="109"/>
      <c r="AG160" s="109"/>
      <c r="AH160" s="108"/>
      <c r="AI160" s="100"/>
      <c r="AJ160" s="110"/>
      <c r="AK160" s="110"/>
      <c r="AL160" s="100"/>
      <c r="AM160" s="100"/>
      <c r="AN160" s="110"/>
      <c r="AO160" s="100"/>
      <c r="AP160" s="100"/>
      <c r="AQ160" s="110"/>
      <c r="AR160" s="100"/>
      <c r="AS160" s="111"/>
      <c r="AT160" s="111"/>
    </row>
    <row r="161" spans="1:46" ht="16.3">
      <c r="A161" s="246" t="s">
        <v>5</v>
      </c>
      <c r="B161" s="248">
        <f>SUM(J161+K161+L161+M161+N161+S161+V161+W161+X161+AA161+AI161+AJ161+AI161+AM161+AP161+AQ161+AS161+AT161+AU161+AV161)+2</f>
        <v>2</v>
      </c>
      <c r="C161" s="215">
        <f t="shared" si="32"/>
        <v>2</v>
      </c>
      <c r="D161" s="139"/>
      <c r="E161" s="140"/>
      <c r="F161" s="135"/>
      <c r="G161" s="136"/>
      <c r="H161" s="107"/>
      <c r="I161" s="96"/>
      <c r="J161" s="104"/>
      <c r="K161" s="75"/>
      <c r="L161" s="75"/>
      <c r="M161" s="75"/>
      <c r="N161" s="104"/>
      <c r="O161" s="109"/>
      <c r="P161" s="108"/>
      <c r="Q161" s="109"/>
      <c r="R161" s="109"/>
      <c r="S161" s="100"/>
      <c r="T161" s="110"/>
      <c r="U161" s="110"/>
      <c r="V161" s="100"/>
      <c r="W161" s="100"/>
      <c r="X161" s="100"/>
      <c r="Y161" s="110"/>
      <c r="Z161" s="110"/>
      <c r="AA161" s="100"/>
      <c r="AB161" s="109"/>
      <c r="AC161" s="108"/>
      <c r="AD161" s="109"/>
      <c r="AE161" s="109"/>
      <c r="AF161" s="109"/>
      <c r="AG161" s="109"/>
      <c r="AH161" s="108"/>
      <c r="AI161" s="100"/>
      <c r="AJ161" s="110"/>
      <c r="AK161" s="110"/>
      <c r="AL161" s="100"/>
      <c r="AM161" s="100"/>
      <c r="AN161" s="110"/>
      <c r="AO161" s="100"/>
      <c r="AP161" s="100"/>
      <c r="AQ161" s="110"/>
      <c r="AR161" s="100"/>
      <c r="AS161" s="111"/>
      <c r="AT161" s="111"/>
    </row>
    <row r="162" spans="1:46" ht="16.3">
      <c r="A162" s="246" t="s">
        <v>6</v>
      </c>
      <c r="B162" s="248">
        <f>SUM(J162+K162+L162+M162+N162+S162+V162+W162+X162+AA162+AI162+AJ162+AI162+AM162+AP162+AQ162+AS162+AT162+AU162+AV162)+5</f>
        <v>5</v>
      </c>
      <c r="C162" s="215">
        <f t="shared" si="32"/>
        <v>5</v>
      </c>
      <c r="D162" s="139"/>
      <c r="E162" s="140"/>
      <c r="F162" s="135"/>
      <c r="G162" s="136"/>
      <c r="H162" s="107"/>
      <c r="I162" s="96"/>
      <c r="J162" s="104"/>
      <c r="K162" s="75"/>
      <c r="L162" s="75"/>
      <c r="M162" s="75"/>
      <c r="N162" s="104"/>
      <c r="O162" s="109"/>
      <c r="P162" s="108"/>
      <c r="Q162" s="109"/>
      <c r="R162" s="109"/>
      <c r="S162" s="100"/>
      <c r="T162" s="110"/>
      <c r="U162" s="110"/>
      <c r="V162" s="100"/>
      <c r="W162" s="100"/>
      <c r="X162" s="100"/>
      <c r="Y162" s="110"/>
      <c r="Z162" s="110"/>
      <c r="AA162" s="100"/>
      <c r="AB162" s="109"/>
      <c r="AC162" s="108"/>
      <c r="AD162" s="109"/>
      <c r="AE162" s="109"/>
      <c r="AF162" s="109"/>
      <c r="AG162" s="109"/>
      <c r="AH162" s="108"/>
      <c r="AI162" s="100"/>
      <c r="AJ162" s="110"/>
      <c r="AK162" s="110"/>
      <c r="AL162" s="100"/>
      <c r="AM162" s="100"/>
      <c r="AN162" s="110"/>
      <c r="AO162" s="100"/>
      <c r="AP162" s="100"/>
      <c r="AQ162" s="110"/>
      <c r="AR162" s="100"/>
      <c r="AS162" s="111"/>
      <c r="AT162" s="111"/>
    </row>
    <row r="163" spans="1:46" ht="16.3">
      <c r="A163" s="246" t="s">
        <v>368</v>
      </c>
      <c r="B163" s="248">
        <f>SUM(B161/B162)*100</f>
        <v>40</v>
      </c>
      <c r="C163" s="215">
        <f>SUM(C161/C162)*100</f>
        <v>40</v>
      </c>
      <c r="D163" s="139"/>
      <c r="E163" s="140"/>
      <c r="F163" s="135"/>
      <c r="G163" s="136"/>
      <c r="H163" s="107"/>
      <c r="I163" s="96"/>
      <c r="J163" s="104"/>
      <c r="K163" s="75"/>
      <c r="L163" s="75"/>
      <c r="M163" s="75"/>
      <c r="N163" s="104"/>
      <c r="O163" s="109"/>
      <c r="P163" s="108"/>
      <c r="Q163" s="109"/>
      <c r="R163" s="109"/>
      <c r="S163" s="100"/>
      <c r="T163" s="110"/>
      <c r="U163" s="110"/>
      <c r="V163" s="100"/>
      <c r="W163" s="100"/>
      <c r="X163" s="100"/>
      <c r="Y163" s="110"/>
      <c r="Z163" s="110"/>
      <c r="AA163" s="100"/>
      <c r="AB163" s="109"/>
      <c r="AC163" s="108"/>
      <c r="AD163" s="109"/>
      <c r="AE163" s="109"/>
      <c r="AF163" s="109"/>
      <c r="AG163" s="109"/>
      <c r="AH163" s="108"/>
      <c r="AI163" s="100"/>
      <c r="AJ163" s="110"/>
      <c r="AK163" s="110"/>
      <c r="AL163" s="100"/>
      <c r="AM163" s="100"/>
      <c r="AN163" s="110"/>
      <c r="AO163" s="100"/>
      <c r="AP163" s="100"/>
      <c r="AQ163" s="110"/>
      <c r="AR163" s="100"/>
      <c r="AS163" s="111"/>
      <c r="AT163" s="111"/>
    </row>
    <row r="164" spans="1:46" ht="16.3">
      <c r="A164" s="83" t="s">
        <v>3</v>
      </c>
      <c r="B164" s="247">
        <f>SUM(J164+K164+L164+M164+N164+S164+V164+W164+X164+AA164+AI164+AJ164+AI164+AM164+AP164+AQ164+AS164+AT164+AU164+AV164)+37</f>
        <v>39</v>
      </c>
      <c r="C164" s="214">
        <f t="shared" ref="C164:C165" si="33">B164</f>
        <v>39</v>
      </c>
      <c r="D164" s="133"/>
      <c r="E164" s="134"/>
      <c r="F164" s="135"/>
      <c r="G164" s="136"/>
      <c r="H164" s="107"/>
      <c r="I164" s="96"/>
      <c r="J164" s="104"/>
      <c r="K164" s="75"/>
      <c r="L164" s="75"/>
      <c r="M164" s="75">
        <v>1</v>
      </c>
      <c r="N164" s="104"/>
      <c r="O164" s="109"/>
      <c r="P164" s="108"/>
      <c r="Q164" s="109"/>
      <c r="R164" s="109"/>
      <c r="S164" s="100"/>
      <c r="T164" s="110">
        <v>1</v>
      </c>
      <c r="U164" s="110"/>
      <c r="V164" s="100"/>
      <c r="W164" s="100"/>
      <c r="X164" s="100">
        <v>1</v>
      </c>
      <c r="Y164" s="110"/>
      <c r="Z164" s="110"/>
      <c r="AA164" s="100"/>
      <c r="AB164" s="109"/>
      <c r="AC164" s="108"/>
      <c r="AD164" s="109"/>
      <c r="AE164" s="109"/>
      <c r="AF164" s="109"/>
      <c r="AG164" s="109"/>
      <c r="AH164" s="108"/>
      <c r="AI164" s="100"/>
      <c r="AJ164" s="110"/>
      <c r="AK164" s="110"/>
      <c r="AL164" s="100"/>
      <c r="AM164" s="100"/>
      <c r="AN164" s="110"/>
      <c r="AO164" s="100"/>
      <c r="AP164" s="100"/>
      <c r="AQ164" s="110"/>
      <c r="AR164" s="100"/>
      <c r="AS164" s="111"/>
      <c r="AT164" s="111"/>
    </row>
    <row r="165" spans="1:46" ht="17" thickBot="1">
      <c r="A165" s="85" t="s">
        <v>4</v>
      </c>
      <c r="B165" s="250">
        <f>SUM(J165+K165+L165+M165+N165+S165+V165+W165+X165+AA165+AI165+AJ165+AI165+AM165+AP165+AQ165+AS165+AT165+AU165+AV165)+189</f>
        <v>199</v>
      </c>
      <c r="C165" s="217">
        <f t="shared" si="33"/>
        <v>199</v>
      </c>
      <c r="D165" s="144"/>
      <c r="E165" s="145"/>
      <c r="F165" s="146"/>
      <c r="G165" s="147"/>
      <c r="H165" s="130"/>
      <c r="I165" s="114"/>
      <c r="J165" s="113"/>
      <c r="K165" s="112"/>
      <c r="L165" s="112"/>
      <c r="M165" s="112">
        <v>5</v>
      </c>
      <c r="N165" s="113"/>
      <c r="O165" s="118"/>
      <c r="P165" s="127"/>
      <c r="Q165" s="118"/>
      <c r="R165" s="118"/>
      <c r="S165" s="116"/>
      <c r="T165" s="120">
        <v>5</v>
      </c>
      <c r="U165" s="120"/>
      <c r="V165" s="116"/>
      <c r="W165" s="116"/>
      <c r="X165" s="116">
        <v>5</v>
      </c>
      <c r="Y165" s="120"/>
      <c r="Z165" s="120"/>
      <c r="AA165" s="116"/>
      <c r="AB165" s="118"/>
      <c r="AC165" s="117"/>
      <c r="AD165" s="118"/>
      <c r="AE165" s="118"/>
      <c r="AF165" s="118"/>
      <c r="AG165" s="118"/>
      <c r="AH165" s="117"/>
      <c r="AI165" s="116"/>
      <c r="AJ165" s="120"/>
      <c r="AK165" s="120"/>
      <c r="AL165" s="116"/>
      <c r="AM165" s="116"/>
      <c r="AN165" s="120"/>
      <c r="AO165" s="116"/>
      <c r="AP165" s="116"/>
      <c r="AQ165" s="120"/>
      <c r="AR165" s="116"/>
      <c r="AS165" s="121"/>
      <c r="AT165" s="121"/>
    </row>
    <row r="166" spans="1:46" ht="21.1">
      <c r="A166" s="82" t="s">
        <v>87</v>
      </c>
      <c r="B166" s="247"/>
      <c r="C166" s="214"/>
      <c r="D166" s="133"/>
      <c r="E166" s="134"/>
      <c r="F166" s="135"/>
      <c r="G166" s="136"/>
      <c r="H166" s="107"/>
      <c r="I166" s="96" t="s">
        <v>339</v>
      </c>
      <c r="J166" s="104" t="s">
        <v>339</v>
      </c>
      <c r="K166" s="75" t="s">
        <v>339</v>
      </c>
      <c r="L166" s="75" t="s">
        <v>339</v>
      </c>
      <c r="M166" s="75" t="s">
        <v>339</v>
      </c>
      <c r="N166" s="104" t="s">
        <v>339</v>
      </c>
      <c r="O166" s="109" t="s">
        <v>375</v>
      </c>
      <c r="P166" s="108"/>
      <c r="Q166" s="109" t="s">
        <v>375</v>
      </c>
      <c r="R166" s="109"/>
      <c r="S166" s="100" t="s">
        <v>375</v>
      </c>
      <c r="T166" s="110" t="s">
        <v>393</v>
      </c>
      <c r="U166" s="110" t="s">
        <v>375</v>
      </c>
      <c r="V166" s="100" t="s">
        <v>375</v>
      </c>
      <c r="W166" s="102" t="s">
        <v>375</v>
      </c>
      <c r="X166" s="102"/>
      <c r="Y166" s="101"/>
      <c r="Z166" s="101"/>
      <c r="AA166" s="102"/>
      <c r="AB166" s="99" t="s">
        <v>375</v>
      </c>
      <c r="AC166" s="98"/>
      <c r="AD166" s="99"/>
      <c r="AE166" s="99" t="s">
        <v>378</v>
      </c>
      <c r="AF166" s="99" t="s">
        <v>378</v>
      </c>
      <c r="AG166" s="99" t="s">
        <v>375</v>
      </c>
      <c r="AH166" s="98"/>
      <c r="AI166" s="102"/>
      <c r="AJ166" s="101"/>
      <c r="AK166" s="101"/>
      <c r="AL166" s="102"/>
      <c r="AM166" s="102"/>
      <c r="AN166" s="101"/>
      <c r="AO166" s="102"/>
      <c r="AP166" s="102"/>
      <c r="AQ166" s="101"/>
      <c r="AR166" s="102"/>
      <c r="AS166" s="103"/>
      <c r="AT166" s="103"/>
    </row>
    <row r="167" spans="1:46" ht="16.3">
      <c r="A167" s="246" t="s">
        <v>1</v>
      </c>
      <c r="B167" s="248">
        <f>SUM(J167+K167+L167+M167+N167+S167+V167+W167+X167+AA167+AI167+AJ167+AI167+AM167+AP167+AQ167+AS167+AT167+AU167+AV167+AN167)+32</f>
        <v>32</v>
      </c>
      <c r="C167" s="215">
        <f>B167</f>
        <v>32</v>
      </c>
      <c r="D167" s="139"/>
      <c r="E167" s="140"/>
      <c r="F167" s="135"/>
      <c r="G167" s="136"/>
      <c r="H167" s="107"/>
      <c r="I167" s="96"/>
      <c r="J167" s="104"/>
      <c r="K167" s="75"/>
      <c r="L167" s="75"/>
      <c r="M167" s="75"/>
      <c r="N167" s="75"/>
      <c r="O167" s="96"/>
      <c r="P167" s="105"/>
      <c r="Q167" s="96"/>
      <c r="R167" s="96"/>
      <c r="S167" s="75"/>
      <c r="T167" s="106"/>
      <c r="U167" s="106"/>
      <c r="V167" s="75"/>
      <c r="W167" s="75"/>
      <c r="X167" s="75"/>
      <c r="Y167" s="106"/>
      <c r="Z167" s="106"/>
      <c r="AA167" s="75"/>
      <c r="AB167" s="96"/>
      <c r="AC167" s="105"/>
      <c r="AD167" s="96"/>
      <c r="AE167" s="96">
        <v>1</v>
      </c>
      <c r="AF167" s="96">
        <v>1</v>
      </c>
      <c r="AG167" s="96"/>
      <c r="AH167" s="105"/>
      <c r="AI167" s="75"/>
      <c r="AJ167" s="106"/>
      <c r="AK167" s="106"/>
      <c r="AL167" s="75"/>
      <c r="AM167" s="75"/>
      <c r="AN167" s="106"/>
      <c r="AO167" s="75"/>
      <c r="AP167" s="75"/>
      <c r="AQ167" s="106"/>
      <c r="AR167" s="75"/>
      <c r="AS167" s="107"/>
      <c r="AT167" s="107"/>
    </row>
    <row r="168" spans="1:46" ht="16.3">
      <c r="A168" s="246" t="s">
        <v>2</v>
      </c>
      <c r="B168" s="248">
        <f>SUM(J168+K168+L168+M168+N168+S168+V168+W168+X168+AA168+AI168+AJ168+AI168+AM168+AP168+AQ168+AS168+AT168+AU168+AV168)+40</f>
        <v>43</v>
      </c>
      <c r="C168" s="215">
        <f t="shared" ref="C168:C172" si="34">B168</f>
        <v>43</v>
      </c>
      <c r="D168" s="139"/>
      <c r="E168" s="140"/>
      <c r="F168" s="135"/>
      <c r="G168" s="136"/>
      <c r="H168" s="107"/>
      <c r="I168" s="96"/>
      <c r="J168" s="104"/>
      <c r="K168" s="75"/>
      <c r="L168" s="75"/>
      <c r="M168" s="75"/>
      <c r="N168" s="104"/>
      <c r="O168" s="109">
        <v>1</v>
      </c>
      <c r="P168" s="108"/>
      <c r="Q168" s="109">
        <v>1</v>
      </c>
      <c r="R168" s="109"/>
      <c r="S168" s="100">
        <v>1</v>
      </c>
      <c r="T168" s="110"/>
      <c r="U168" s="110">
        <v>1</v>
      </c>
      <c r="V168" s="100">
        <v>1</v>
      </c>
      <c r="W168" s="100">
        <v>1</v>
      </c>
      <c r="X168" s="100"/>
      <c r="Y168" s="110"/>
      <c r="Z168" s="110"/>
      <c r="AA168" s="100"/>
      <c r="AB168" s="109">
        <v>1</v>
      </c>
      <c r="AC168" s="108"/>
      <c r="AD168" s="109"/>
      <c r="AE168" s="109"/>
      <c r="AF168" s="109"/>
      <c r="AG168" s="109">
        <v>1</v>
      </c>
      <c r="AH168" s="108"/>
      <c r="AI168" s="100"/>
      <c r="AJ168" s="110"/>
      <c r="AK168" s="110"/>
      <c r="AL168" s="100"/>
      <c r="AM168" s="100"/>
      <c r="AN168" s="110"/>
      <c r="AO168" s="100"/>
      <c r="AP168" s="100"/>
      <c r="AQ168" s="110"/>
      <c r="AR168" s="100"/>
      <c r="AS168" s="111"/>
      <c r="AT168" s="111"/>
    </row>
    <row r="169" spans="1:46" ht="16.3">
      <c r="A169" s="83" t="s">
        <v>363</v>
      </c>
      <c r="B169" s="247">
        <f>SUM(B167+B168)</f>
        <v>75</v>
      </c>
      <c r="C169" s="214">
        <f t="shared" si="34"/>
        <v>75</v>
      </c>
      <c r="D169" s="139"/>
      <c r="E169" s="140"/>
      <c r="F169" s="135"/>
      <c r="G169" s="136"/>
      <c r="H169" s="107"/>
      <c r="I169" s="96"/>
      <c r="J169" s="104"/>
      <c r="K169" s="75"/>
      <c r="L169" s="75"/>
      <c r="M169" s="75"/>
      <c r="N169" s="104"/>
      <c r="O169" s="109"/>
      <c r="P169" s="108"/>
      <c r="Q169" s="109"/>
      <c r="R169" s="109"/>
      <c r="S169" s="100"/>
      <c r="T169" s="110"/>
      <c r="U169" s="110"/>
      <c r="V169" s="100"/>
      <c r="W169" s="100"/>
      <c r="X169" s="100"/>
      <c r="Y169" s="110"/>
      <c r="Z169" s="110"/>
      <c r="AA169" s="100"/>
      <c r="AB169" s="109"/>
      <c r="AC169" s="108"/>
      <c r="AD169" s="109"/>
      <c r="AE169" s="109"/>
      <c r="AF169" s="109"/>
      <c r="AG169" s="109"/>
      <c r="AH169" s="108"/>
      <c r="AI169" s="100"/>
      <c r="AJ169" s="110"/>
      <c r="AK169" s="110"/>
      <c r="AL169" s="100"/>
      <c r="AM169" s="100"/>
      <c r="AN169" s="110"/>
      <c r="AO169" s="100"/>
      <c r="AP169" s="100"/>
      <c r="AQ169" s="110"/>
      <c r="AR169" s="100"/>
      <c r="AS169" s="111"/>
      <c r="AT169" s="111"/>
    </row>
    <row r="170" spans="1:46" ht="16.3">
      <c r="A170" s="246" t="s">
        <v>362</v>
      </c>
      <c r="B170" s="248">
        <f>SUM(J170+K170+L170+M170+N170+S170+V170+W170+X170+AA170+AI170+AJ170+AI170+AM170+AP170+AQ170+AS170+AT170+AU170+AV170)+4</f>
        <v>4</v>
      </c>
      <c r="C170" s="215">
        <f t="shared" si="34"/>
        <v>4</v>
      </c>
      <c r="D170" s="139"/>
      <c r="E170" s="140"/>
      <c r="F170" s="135"/>
      <c r="G170" s="136"/>
      <c r="H170" s="107"/>
      <c r="I170" s="96"/>
      <c r="J170" s="104"/>
      <c r="K170" s="75"/>
      <c r="L170" s="75"/>
      <c r="M170" s="75"/>
      <c r="N170" s="104"/>
      <c r="O170" s="109"/>
      <c r="P170" s="108"/>
      <c r="Q170" s="109"/>
      <c r="R170" s="109"/>
      <c r="S170" s="100"/>
      <c r="T170" s="110"/>
      <c r="U170" s="110"/>
      <c r="V170" s="100"/>
      <c r="W170" s="100"/>
      <c r="X170" s="100"/>
      <c r="Y170" s="110"/>
      <c r="Z170" s="110"/>
      <c r="AA170" s="100"/>
      <c r="AB170" s="109"/>
      <c r="AC170" s="108"/>
      <c r="AD170" s="109"/>
      <c r="AE170" s="109"/>
      <c r="AF170" s="109"/>
      <c r="AG170" s="109"/>
      <c r="AH170" s="108"/>
      <c r="AI170" s="100"/>
      <c r="AJ170" s="110"/>
      <c r="AK170" s="110"/>
      <c r="AL170" s="100"/>
      <c r="AM170" s="100"/>
      <c r="AN170" s="110"/>
      <c r="AO170" s="100"/>
      <c r="AP170" s="100"/>
      <c r="AQ170" s="110"/>
      <c r="AR170" s="100"/>
      <c r="AS170" s="111"/>
      <c r="AT170" s="111"/>
    </row>
    <row r="171" spans="1:46" ht="16.3">
      <c r="A171" s="246" t="s">
        <v>5</v>
      </c>
      <c r="B171" s="248">
        <f>SUM(J171+K171+L171+M171+N171+S171+V171+W171+X171+AA171+AI171+AJ171+AI171+AM171+AP171+AQ171+AS171+AT171+AU171+AV171)+2</f>
        <v>2</v>
      </c>
      <c r="C171" s="215">
        <f t="shared" si="34"/>
        <v>2</v>
      </c>
      <c r="D171" s="139"/>
      <c r="E171" s="140"/>
      <c r="F171" s="135"/>
      <c r="G171" s="136"/>
      <c r="H171" s="107"/>
      <c r="I171" s="96"/>
      <c r="J171" s="104"/>
      <c r="K171" s="75"/>
      <c r="L171" s="75"/>
      <c r="M171" s="75"/>
      <c r="N171" s="104"/>
      <c r="O171" s="109"/>
      <c r="P171" s="108"/>
      <c r="Q171" s="109"/>
      <c r="R171" s="109"/>
      <c r="S171" s="100"/>
      <c r="T171" s="110"/>
      <c r="U171" s="110"/>
      <c r="V171" s="100"/>
      <c r="W171" s="100"/>
      <c r="X171" s="100"/>
      <c r="Y171" s="110"/>
      <c r="Z171" s="110"/>
      <c r="AA171" s="100"/>
      <c r="AB171" s="109"/>
      <c r="AC171" s="108"/>
      <c r="AD171" s="109"/>
      <c r="AE171" s="109"/>
      <c r="AF171" s="109"/>
      <c r="AG171" s="109"/>
      <c r="AH171" s="108"/>
      <c r="AI171" s="100"/>
      <c r="AJ171" s="110"/>
      <c r="AK171" s="110"/>
      <c r="AL171" s="100"/>
      <c r="AM171" s="100"/>
      <c r="AN171" s="110"/>
      <c r="AO171" s="100"/>
      <c r="AP171" s="100"/>
      <c r="AQ171" s="110"/>
      <c r="AR171" s="100"/>
      <c r="AS171" s="111"/>
      <c r="AT171" s="111"/>
    </row>
    <row r="172" spans="1:46" ht="16.3">
      <c r="A172" s="246" t="s">
        <v>6</v>
      </c>
      <c r="B172" s="248">
        <f>SUM(J172+K172+L172+M172+N172+S172+V172+W172+X172+AA172+AI172+AJ172+AI172+AM172+AP172+AQ172+AS172+AT172+AU172+AV172)+2</f>
        <v>2</v>
      </c>
      <c r="C172" s="215">
        <f t="shared" si="34"/>
        <v>2</v>
      </c>
      <c r="D172" s="139"/>
      <c r="E172" s="140"/>
      <c r="F172" s="135"/>
      <c r="G172" s="136"/>
      <c r="H172" s="107"/>
      <c r="I172" s="96"/>
      <c r="J172" s="104"/>
      <c r="K172" s="75"/>
      <c r="L172" s="75"/>
      <c r="M172" s="75"/>
      <c r="N172" s="104"/>
      <c r="O172" s="109"/>
      <c r="P172" s="108"/>
      <c r="Q172" s="109"/>
      <c r="R172" s="109"/>
      <c r="S172" s="100"/>
      <c r="T172" s="110"/>
      <c r="U172" s="110"/>
      <c r="V172" s="100"/>
      <c r="W172" s="100"/>
      <c r="X172" s="100"/>
      <c r="Y172" s="110"/>
      <c r="Z172" s="110"/>
      <c r="AA172" s="100"/>
      <c r="AB172" s="109"/>
      <c r="AC172" s="108"/>
      <c r="AD172" s="109"/>
      <c r="AE172" s="109"/>
      <c r="AF172" s="109"/>
      <c r="AG172" s="109"/>
      <c r="AH172" s="108"/>
      <c r="AI172" s="100"/>
      <c r="AJ172" s="110"/>
      <c r="AK172" s="110"/>
      <c r="AL172" s="100"/>
      <c r="AM172" s="100"/>
      <c r="AN172" s="110"/>
      <c r="AO172" s="100"/>
      <c r="AP172" s="100"/>
      <c r="AQ172" s="110"/>
      <c r="AR172" s="100"/>
      <c r="AS172" s="111"/>
      <c r="AT172" s="111"/>
    </row>
    <row r="173" spans="1:46" ht="16.3">
      <c r="A173" s="246" t="s">
        <v>368</v>
      </c>
      <c r="B173" s="248">
        <f>SUM(B171/B172)*100</f>
        <v>100</v>
      </c>
      <c r="C173" s="215">
        <f>SUM(C171/C172)*100</f>
        <v>100</v>
      </c>
      <c r="D173" s="139"/>
      <c r="E173" s="140"/>
      <c r="F173" s="135"/>
      <c r="G173" s="136"/>
      <c r="H173" s="107"/>
      <c r="I173" s="96"/>
      <c r="J173" s="104"/>
      <c r="K173" s="75"/>
      <c r="L173" s="75"/>
      <c r="M173" s="75"/>
      <c r="N173" s="104"/>
      <c r="O173" s="109"/>
      <c r="P173" s="108"/>
      <c r="Q173" s="109"/>
      <c r="R173" s="109"/>
      <c r="S173" s="100"/>
      <c r="T173" s="110"/>
      <c r="U173" s="110"/>
      <c r="V173" s="100"/>
      <c r="W173" s="100"/>
      <c r="X173" s="100"/>
      <c r="Y173" s="110"/>
      <c r="Z173" s="110"/>
      <c r="AA173" s="100"/>
      <c r="AB173" s="109"/>
      <c r="AC173" s="108"/>
      <c r="AD173" s="109"/>
      <c r="AE173" s="109"/>
      <c r="AF173" s="109"/>
      <c r="AG173" s="109"/>
      <c r="AH173" s="108"/>
      <c r="AI173" s="100"/>
      <c r="AJ173" s="110"/>
      <c r="AK173" s="110"/>
      <c r="AL173" s="100"/>
      <c r="AM173" s="100"/>
      <c r="AN173" s="110"/>
      <c r="AO173" s="100"/>
      <c r="AP173" s="100"/>
      <c r="AQ173" s="110"/>
      <c r="AR173" s="100"/>
      <c r="AS173" s="111"/>
      <c r="AT173" s="111"/>
    </row>
    <row r="174" spans="1:46" ht="16.3">
      <c r="A174" s="83" t="s">
        <v>3</v>
      </c>
      <c r="B174" s="247">
        <f>SUM(J174+K174+L174+M174+N174+S174+V174+W174+X174+AA174+AI174+AJ174+AI174+AM174+AP174+AQ174+AS174+AT174+AU174+AV174)+13</f>
        <v>13</v>
      </c>
      <c r="C174" s="214">
        <f t="shared" ref="C174:C175" si="35">B174</f>
        <v>13</v>
      </c>
      <c r="D174" s="133"/>
      <c r="E174" s="134"/>
      <c r="F174" s="135"/>
      <c r="G174" s="136"/>
      <c r="H174" s="107"/>
      <c r="I174" s="96"/>
      <c r="J174" s="104"/>
      <c r="K174" s="75"/>
      <c r="L174" s="75"/>
      <c r="M174" s="75"/>
      <c r="N174" s="104"/>
      <c r="O174" s="109"/>
      <c r="P174" s="108"/>
      <c r="Q174" s="109"/>
      <c r="R174" s="109"/>
      <c r="S174" s="100"/>
      <c r="T174" s="110"/>
      <c r="U174" s="110"/>
      <c r="V174" s="100"/>
      <c r="W174" s="100"/>
      <c r="X174" s="100"/>
      <c r="Y174" s="110"/>
      <c r="Z174" s="110"/>
      <c r="AA174" s="100"/>
      <c r="AB174" s="109"/>
      <c r="AC174" s="108"/>
      <c r="AD174" s="109"/>
      <c r="AE174" s="109">
        <v>1</v>
      </c>
      <c r="AF174" s="109"/>
      <c r="AG174" s="109"/>
      <c r="AH174" s="108"/>
      <c r="AI174" s="100"/>
      <c r="AJ174" s="110"/>
      <c r="AK174" s="110"/>
      <c r="AL174" s="100"/>
      <c r="AM174" s="100"/>
      <c r="AN174" s="110"/>
      <c r="AO174" s="100"/>
      <c r="AP174" s="100"/>
      <c r="AQ174" s="110"/>
      <c r="AR174" s="100"/>
      <c r="AS174" s="111"/>
      <c r="AT174" s="111"/>
    </row>
    <row r="175" spans="1:46" ht="17" thickBot="1">
      <c r="A175" s="85" t="s">
        <v>4</v>
      </c>
      <c r="B175" s="250">
        <f>SUM(J175+K175+L175+M175+N175+S175+V175+W175+X175+AA175+AI175+AJ175+AI175+AM175+AP175+AQ175+AS175+AT175+AU175+AV175)+69</f>
        <v>69</v>
      </c>
      <c r="C175" s="217">
        <f t="shared" si="35"/>
        <v>69</v>
      </c>
      <c r="D175" s="144"/>
      <c r="E175" s="145"/>
      <c r="F175" s="146"/>
      <c r="G175" s="147"/>
      <c r="H175" s="130"/>
      <c r="I175" s="114"/>
      <c r="J175" s="113"/>
      <c r="K175" s="112"/>
      <c r="L175" s="112"/>
      <c r="M175" s="112"/>
      <c r="N175" s="113"/>
      <c r="O175" s="118"/>
      <c r="P175" s="127"/>
      <c r="Q175" s="118"/>
      <c r="R175" s="118"/>
      <c r="S175" s="116"/>
      <c r="T175" s="120"/>
      <c r="U175" s="120"/>
      <c r="V175" s="112"/>
      <c r="W175" s="116"/>
      <c r="X175" s="116"/>
      <c r="Y175" s="120"/>
      <c r="Z175" s="120"/>
      <c r="AA175" s="116"/>
      <c r="AB175" s="118"/>
      <c r="AC175" s="117"/>
      <c r="AD175" s="118"/>
      <c r="AE175" s="118">
        <v>5</v>
      </c>
      <c r="AF175" s="118"/>
      <c r="AG175" s="118"/>
      <c r="AH175" s="117"/>
      <c r="AI175" s="116"/>
      <c r="AJ175" s="120"/>
      <c r="AK175" s="120"/>
      <c r="AL175" s="116"/>
      <c r="AM175" s="116"/>
      <c r="AN175" s="120"/>
      <c r="AO175" s="116"/>
      <c r="AP175" s="116"/>
      <c r="AQ175" s="120"/>
      <c r="AR175" s="116"/>
      <c r="AS175" s="121"/>
      <c r="AT175" s="121"/>
    </row>
    <row r="176" spans="1:46" ht="21.1">
      <c r="A176" s="82" t="s">
        <v>214</v>
      </c>
      <c r="B176" s="247"/>
      <c r="C176" s="214"/>
      <c r="D176" s="133"/>
      <c r="E176" s="134"/>
      <c r="F176" s="135"/>
      <c r="G176" s="136"/>
      <c r="H176" s="107"/>
      <c r="I176" s="96" t="s">
        <v>378</v>
      </c>
      <c r="J176" s="104">
        <v>9</v>
      </c>
      <c r="K176" s="75" t="s">
        <v>378</v>
      </c>
      <c r="L176" s="75" t="s">
        <v>375</v>
      </c>
      <c r="M176" s="75" t="s">
        <v>393</v>
      </c>
      <c r="N176" s="104" t="s">
        <v>393</v>
      </c>
      <c r="O176" s="109"/>
      <c r="P176" s="108"/>
      <c r="Q176" s="109"/>
      <c r="R176" s="109"/>
      <c r="S176" s="100" t="s">
        <v>378</v>
      </c>
      <c r="T176" s="110"/>
      <c r="U176" s="110"/>
      <c r="V176" s="100"/>
      <c r="W176" s="100" t="s">
        <v>378</v>
      </c>
      <c r="X176" s="100" t="s">
        <v>375</v>
      </c>
      <c r="Y176" s="110" t="s">
        <v>375</v>
      </c>
      <c r="Z176" s="101" t="s">
        <v>375</v>
      </c>
      <c r="AA176" s="102" t="s">
        <v>393</v>
      </c>
      <c r="AB176" s="99" t="s">
        <v>378</v>
      </c>
      <c r="AC176" s="98"/>
      <c r="AD176" s="99" t="s">
        <v>1030</v>
      </c>
      <c r="AE176" s="99" t="s">
        <v>375</v>
      </c>
      <c r="AF176" s="99"/>
      <c r="AG176" s="99" t="s">
        <v>378</v>
      </c>
      <c r="AH176" s="98"/>
      <c r="AI176" s="102"/>
      <c r="AJ176" s="101"/>
      <c r="AK176" s="101"/>
      <c r="AL176" s="102"/>
      <c r="AM176" s="102"/>
      <c r="AN176" s="101"/>
      <c r="AO176" s="102"/>
      <c r="AP176" s="102"/>
      <c r="AQ176" s="101"/>
      <c r="AR176" s="102"/>
      <c r="AS176" s="103"/>
      <c r="AT176" s="103"/>
    </row>
    <row r="177" spans="1:46" ht="16.3">
      <c r="A177" s="246" t="s">
        <v>1</v>
      </c>
      <c r="B177" s="248">
        <f>SUM(J177+K177+L177+M177+N177+S177+V177+W177+X177+AA177+AI177+AJ177+AI177+AM177+AP177+AQ177+AS177+AT177+AU177+AV177+AN177)+3</f>
        <v>7</v>
      </c>
      <c r="C177" s="215">
        <f>B177</f>
        <v>7</v>
      </c>
      <c r="D177" s="139"/>
      <c r="E177" s="140"/>
      <c r="F177" s="135"/>
      <c r="G177" s="136"/>
      <c r="H177" s="107"/>
      <c r="I177" s="96">
        <v>1</v>
      </c>
      <c r="J177" s="104">
        <v>1</v>
      </c>
      <c r="K177" s="75">
        <v>1</v>
      </c>
      <c r="L177" s="75"/>
      <c r="M177" s="75"/>
      <c r="N177" s="75"/>
      <c r="O177" s="96"/>
      <c r="P177" s="105"/>
      <c r="Q177" s="96"/>
      <c r="R177" s="96"/>
      <c r="S177" s="75">
        <v>1</v>
      </c>
      <c r="T177" s="106"/>
      <c r="U177" s="106"/>
      <c r="V177" s="75"/>
      <c r="W177" s="75">
        <v>1</v>
      </c>
      <c r="X177" s="75"/>
      <c r="Y177" s="106"/>
      <c r="Z177" s="106"/>
      <c r="AA177" s="75"/>
      <c r="AB177" s="96">
        <v>1</v>
      </c>
      <c r="AC177" s="105"/>
      <c r="AD177" s="96">
        <v>1</v>
      </c>
      <c r="AE177" s="96"/>
      <c r="AF177" s="96"/>
      <c r="AG177" s="96">
        <v>1</v>
      </c>
      <c r="AH177" s="105"/>
      <c r="AI177" s="75"/>
      <c r="AJ177" s="106"/>
      <c r="AK177" s="106"/>
      <c r="AL177" s="75"/>
      <c r="AM177" s="75"/>
      <c r="AN177" s="106"/>
      <c r="AO177" s="75"/>
      <c r="AP177" s="75"/>
      <c r="AQ177" s="106"/>
      <c r="AR177" s="75"/>
      <c r="AS177" s="107"/>
      <c r="AT177" s="107"/>
    </row>
    <row r="178" spans="1:46" ht="16.3">
      <c r="A178" s="246" t="s">
        <v>2</v>
      </c>
      <c r="B178" s="248">
        <f>SUM(J178+K178+L178+M178+N178+S178+V178+W178+X178+AA178+AI178+AJ178+AI178+AM178+AP178+AQ178+AS178+AT178+AU178+AV178)+12</f>
        <v>14</v>
      </c>
      <c r="C178" s="215">
        <f t="shared" ref="C178:C182" si="36">B178</f>
        <v>14</v>
      </c>
      <c r="D178" s="139"/>
      <c r="E178" s="140"/>
      <c r="F178" s="135"/>
      <c r="G178" s="136"/>
      <c r="H178" s="107"/>
      <c r="I178" s="96"/>
      <c r="J178" s="104"/>
      <c r="K178" s="75"/>
      <c r="L178" s="75">
        <v>1</v>
      </c>
      <c r="M178" s="75"/>
      <c r="N178" s="104"/>
      <c r="O178" s="109"/>
      <c r="P178" s="108"/>
      <c r="Q178" s="109"/>
      <c r="R178" s="109"/>
      <c r="S178" s="100"/>
      <c r="T178" s="110"/>
      <c r="U178" s="110"/>
      <c r="V178" s="100"/>
      <c r="W178" s="100"/>
      <c r="X178" s="100">
        <v>1</v>
      </c>
      <c r="Y178" s="110">
        <v>1</v>
      </c>
      <c r="Z178" s="110">
        <v>1</v>
      </c>
      <c r="AA178" s="100"/>
      <c r="AB178" s="109"/>
      <c r="AC178" s="108"/>
      <c r="AD178" s="109"/>
      <c r="AE178" s="109">
        <v>1</v>
      </c>
      <c r="AF178" s="109"/>
      <c r="AG178" s="109"/>
      <c r="AH178" s="108"/>
      <c r="AI178" s="100"/>
      <c r="AJ178" s="110"/>
      <c r="AK178" s="110"/>
      <c r="AL178" s="100"/>
      <c r="AM178" s="100"/>
      <c r="AN178" s="110"/>
      <c r="AO178" s="100"/>
      <c r="AP178" s="100"/>
      <c r="AQ178" s="110"/>
      <c r="AR178" s="100"/>
      <c r="AS178" s="111"/>
      <c r="AT178" s="111"/>
    </row>
    <row r="179" spans="1:46" ht="16.3">
      <c r="A179" s="83" t="s">
        <v>363</v>
      </c>
      <c r="B179" s="247">
        <f>SUM(B177+B178)</f>
        <v>21</v>
      </c>
      <c r="C179" s="214">
        <f t="shared" si="36"/>
        <v>21</v>
      </c>
      <c r="D179" s="133"/>
      <c r="E179" s="134"/>
      <c r="F179" s="135"/>
      <c r="G179" s="136"/>
      <c r="H179" s="107"/>
      <c r="I179" s="96"/>
      <c r="J179" s="104"/>
      <c r="K179" s="75"/>
      <c r="L179" s="75"/>
      <c r="M179" s="75"/>
      <c r="N179" s="104"/>
      <c r="O179" s="109"/>
      <c r="P179" s="108"/>
      <c r="Q179" s="109"/>
      <c r="R179" s="109"/>
      <c r="S179" s="100"/>
      <c r="T179" s="110"/>
      <c r="U179" s="110"/>
      <c r="V179" s="100"/>
      <c r="W179" s="100"/>
      <c r="X179" s="100"/>
      <c r="Y179" s="110"/>
      <c r="Z179" s="110"/>
      <c r="AA179" s="100"/>
      <c r="AB179" s="109"/>
      <c r="AC179" s="108"/>
      <c r="AD179" s="109"/>
      <c r="AE179" s="109"/>
      <c r="AF179" s="109"/>
      <c r="AG179" s="109"/>
      <c r="AH179" s="108"/>
      <c r="AI179" s="100"/>
      <c r="AJ179" s="110"/>
      <c r="AK179" s="110"/>
      <c r="AL179" s="100"/>
      <c r="AM179" s="100"/>
      <c r="AN179" s="110"/>
      <c r="AO179" s="100"/>
      <c r="AP179" s="100"/>
      <c r="AQ179" s="110"/>
      <c r="AR179" s="100"/>
      <c r="AS179" s="111"/>
      <c r="AT179" s="111"/>
    </row>
    <row r="180" spans="1:46" ht="16.3">
      <c r="A180" s="246" t="s">
        <v>746</v>
      </c>
      <c r="B180" s="248">
        <f>SUM(J180+K180+L180+M180+N180+S180+V180+W180+X180+AA180+AI180+AJ180+AI180+AM180+AP180+AQ180+AS180+AT180+AU180+AV180+AN180)</f>
        <v>0</v>
      </c>
      <c r="C180" s="215">
        <f>B180</f>
        <v>0</v>
      </c>
      <c r="D180" s="133"/>
      <c r="E180" s="134"/>
      <c r="F180" s="135"/>
      <c r="G180" s="136"/>
      <c r="H180" s="107"/>
      <c r="I180" s="96"/>
      <c r="J180" s="104"/>
      <c r="K180" s="75"/>
      <c r="L180" s="75"/>
      <c r="M180" s="75"/>
      <c r="N180" s="104"/>
      <c r="O180" s="109"/>
      <c r="P180" s="108"/>
      <c r="Q180" s="109"/>
      <c r="R180" s="109"/>
      <c r="S180" s="100"/>
      <c r="T180" s="110"/>
      <c r="U180" s="110"/>
      <c r="V180" s="100"/>
      <c r="W180" s="100"/>
      <c r="X180" s="100"/>
      <c r="Y180" s="110"/>
      <c r="Z180" s="110"/>
      <c r="AA180" s="100"/>
      <c r="AB180" s="109"/>
      <c r="AC180" s="108"/>
      <c r="AD180" s="109">
        <v>1</v>
      </c>
      <c r="AE180" s="109"/>
      <c r="AF180" s="109"/>
      <c r="AG180" s="109"/>
      <c r="AH180" s="108"/>
      <c r="AI180" s="100"/>
      <c r="AJ180" s="110"/>
      <c r="AK180" s="110"/>
      <c r="AL180" s="100"/>
      <c r="AM180" s="100"/>
      <c r="AN180" s="110"/>
      <c r="AO180" s="100"/>
      <c r="AP180" s="100"/>
      <c r="AQ180" s="110"/>
      <c r="AR180" s="100"/>
      <c r="AS180" s="111"/>
      <c r="AT180" s="111"/>
    </row>
    <row r="181" spans="1:46" ht="16.3">
      <c r="A181" s="83" t="s">
        <v>3</v>
      </c>
      <c r="B181" s="247">
        <f>SUM(J181+K181+L181+M181+N181+S181+V181+W181+X181+AA181+AI181+AJ181+AI181+AM181+AP181+AQ181+AS181+AT181+AU181+AV181)</f>
        <v>2</v>
      </c>
      <c r="C181" s="214">
        <f t="shared" si="36"/>
        <v>2</v>
      </c>
      <c r="D181" s="133"/>
      <c r="E181" s="134"/>
      <c r="F181" s="135"/>
      <c r="G181" s="136"/>
      <c r="H181" s="107"/>
      <c r="I181" s="96"/>
      <c r="J181" s="104"/>
      <c r="K181" s="75">
        <v>1</v>
      </c>
      <c r="L181" s="75"/>
      <c r="M181" s="75"/>
      <c r="N181" s="75"/>
      <c r="O181" s="109"/>
      <c r="P181" s="108"/>
      <c r="Q181" s="109"/>
      <c r="R181" s="109"/>
      <c r="S181" s="100"/>
      <c r="T181" s="110"/>
      <c r="U181" s="110"/>
      <c r="V181" s="100"/>
      <c r="W181" s="100">
        <v>1</v>
      </c>
      <c r="X181" s="100"/>
      <c r="Y181" s="110"/>
      <c r="Z181" s="110"/>
      <c r="AA181" s="100"/>
      <c r="AB181" s="109">
        <v>2</v>
      </c>
      <c r="AC181" s="108"/>
      <c r="AD181" s="150">
        <v>3</v>
      </c>
      <c r="AE181" s="109"/>
      <c r="AF181" s="109"/>
      <c r="AG181" s="109"/>
      <c r="AH181" s="108"/>
      <c r="AI181" s="100"/>
      <c r="AJ181" s="110"/>
      <c r="AK181" s="110"/>
      <c r="AL181" s="100"/>
      <c r="AM181" s="100"/>
      <c r="AN181" s="110"/>
      <c r="AO181" s="100"/>
      <c r="AP181" s="100"/>
      <c r="AQ181" s="110"/>
      <c r="AR181" s="100"/>
      <c r="AS181" s="111"/>
      <c r="AT181" s="111"/>
    </row>
    <row r="182" spans="1:46" ht="17" thickBot="1">
      <c r="A182" s="85" t="s">
        <v>4</v>
      </c>
      <c r="B182" s="247">
        <f>SUM(J182+K182+L182+M182+N182+S182+V182+W182+X182+AA182+AI182+AJ182+AI182+AM182+AP182+AQ182+AS182+AT182+AU182+AV182)</f>
        <v>10</v>
      </c>
      <c r="C182" s="214">
        <f t="shared" si="36"/>
        <v>10</v>
      </c>
      <c r="D182" s="133"/>
      <c r="E182" s="134"/>
      <c r="F182" s="135"/>
      <c r="G182" s="136"/>
      <c r="H182" s="130"/>
      <c r="I182" s="114"/>
      <c r="J182" s="113"/>
      <c r="K182" s="112">
        <v>5</v>
      </c>
      <c r="L182" s="112"/>
      <c r="M182" s="112"/>
      <c r="N182" s="129"/>
      <c r="O182" s="118"/>
      <c r="P182" s="127"/>
      <c r="Q182" s="118"/>
      <c r="R182" s="118"/>
      <c r="S182" s="116"/>
      <c r="T182" s="120"/>
      <c r="U182" s="120"/>
      <c r="V182" s="112"/>
      <c r="W182" s="100">
        <v>5</v>
      </c>
      <c r="X182" s="100"/>
      <c r="Y182" s="110"/>
      <c r="Z182" s="110"/>
      <c r="AA182" s="100"/>
      <c r="AB182" s="109">
        <v>10</v>
      </c>
      <c r="AC182" s="108"/>
      <c r="AD182" s="109">
        <v>15</v>
      </c>
      <c r="AE182" s="109"/>
      <c r="AF182" s="109"/>
      <c r="AG182" s="109"/>
      <c r="AH182" s="108"/>
      <c r="AI182" s="100"/>
      <c r="AJ182" s="110"/>
      <c r="AK182" s="110"/>
      <c r="AL182" s="100"/>
      <c r="AM182" s="100"/>
      <c r="AN182" s="110"/>
      <c r="AO182" s="100"/>
      <c r="AP182" s="100"/>
      <c r="AQ182" s="110"/>
      <c r="AR182" s="100"/>
      <c r="AS182" s="111"/>
      <c r="AT182" s="111"/>
    </row>
    <row r="183" spans="1:46" ht="21.1">
      <c r="A183" s="82" t="s">
        <v>329</v>
      </c>
      <c r="B183" s="251"/>
      <c r="C183" s="218"/>
      <c r="D183" s="153"/>
      <c r="E183" s="154"/>
      <c r="F183" s="155"/>
      <c r="G183" s="156"/>
      <c r="H183" s="107"/>
      <c r="I183" s="96" t="s">
        <v>375</v>
      </c>
      <c r="J183" s="104" t="s">
        <v>393</v>
      </c>
      <c r="K183" s="75" t="s">
        <v>375</v>
      </c>
      <c r="L183" s="75"/>
      <c r="M183" s="75"/>
      <c r="N183" s="104"/>
      <c r="O183" s="109" t="s">
        <v>378</v>
      </c>
      <c r="P183" s="108"/>
      <c r="Q183" s="109">
        <v>9</v>
      </c>
      <c r="R183" s="109">
        <v>9</v>
      </c>
      <c r="S183" s="100"/>
      <c r="T183" s="110"/>
      <c r="U183" s="110"/>
      <c r="V183" s="100"/>
      <c r="W183" s="102"/>
      <c r="X183" s="102"/>
      <c r="Y183" s="101"/>
      <c r="Z183" s="101" t="s">
        <v>984</v>
      </c>
      <c r="AA183" s="102" t="s">
        <v>984</v>
      </c>
      <c r="AB183" s="99"/>
      <c r="AC183" s="98"/>
      <c r="AD183" s="99"/>
      <c r="AE183" s="99"/>
      <c r="AF183" s="99" t="s">
        <v>375</v>
      </c>
      <c r="AG183" s="99"/>
      <c r="AH183" s="98"/>
      <c r="AI183" s="102"/>
      <c r="AJ183" s="101"/>
      <c r="AK183" s="101"/>
      <c r="AL183" s="102"/>
      <c r="AM183" s="102"/>
      <c r="AN183" s="101"/>
      <c r="AO183" s="102"/>
      <c r="AP183" s="102"/>
      <c r="AQ183" s="101"/>
      <c r="AR183" s="102"/>
      <c r="AS183" s="103"/>
      <c r="AT183" s="103"/>
    </row>
    <row r="184" spans="1:46" ht="16.3">
      <c r="A184" s="246" t="s">
        <v>1</v>
      </c>
      <c r="B184" s="248">
        <f>SUM(J184+K184+L184+M184+N184+S184+V184+W184+X184+AA184+AI184+AJ184+AI184+AM184+AP184+AQ184+AS184+AT184+AU184+AV184+AN184)+2</f>
        <v>2</v>
      </c>
      <c r="C184" s="215">
        <f>B184</f>
        <v>2</v>
      </c>
      <c r="D184" s="133"/>
      <c r="E184" s="134"/>
      <c r="F184" s="135"/>
      <c r="G184" s="136"/>
      <c r="H184" s="107"/>
      <c r="I184" s="96"/>
      <c r="J184" s="104"/>
      <c r="K184" s="75"/>
      <c r="L184" s="75"/>
      <c r="M184" s="75"/>
      <c r="N184" s="104"/>
      <c r="O184" s="109">
        <v>1</v>
      </c>
      <c r="P184" s="108"/>
      <c r="Q184" s="109">
        <v>1</v>
      </c>
      <c r="R184" s="109">
        <v>1</v>
      </c>
      <c r="S184" s="100"/>
      <c r="T184" s="110"/>
      <c r="U184" s="110"/>
      <c r="V184" s="100"/>
      <c r="W184" s="100"/>
      <c r="X184" s="100"/>
      <c r="Y184" s="110"/>
      <c r="Z184" s="110"/>
      <c r="AA184" s="100"/>
      <c r="AB184" s="109"/>
      <c r="AC184" s="108"/>
      <c r="AD184" s="109"/>
      <c r="AE184" s="109"/>
      <c r="AF184" s="109"/>
      <c r="AG184" s="109"/>
      <c r="AH184" s="108"/>
      <c r="AI184" s="100"/>
      <c r="AJ184" s="110"/>
      <c r="AK184" s="110"/>
      <c r="AL184" s="100"/>
      <c r="AM184" s="100"/>
      <c r="AN184" s="110"/>
      <c r="AO184" s="100"/>
      <c r="AP184" s="100"/>
      <c r="AQ184" s="110"/>
      <c r="AR184" s="100"/>
      <c r="AS184" s="111"/>
      <c r="AT184" s="111"/>
    </row>
    <row r="185" spans="1:46" ht="16.3">
      <c r="A185" s="246" t="s">
        <v>2</v>
      </c>
      <c r="B185" s="248">
        <f>SUM(J185+K185+L185+M185+N185+S185+V185+W185+X185+AA185+AI185+AJ185+AI185+AM185+AP185+AQ185+AS185+AT185+AU185+AV185)+2</f>
        <v>3</v>
      </c>
      <c r="C185" s="215">
        <f t="shared" ref="C185:C188" si="37">B185</f>
        <v>3</v>
      </c>
      <c r="D185" s="133"/>
      <c r="E185" s="134"/>
      <c r="F185" s="135"/>
      <c r="G185" s="136"/>
      <c r="H185" s="107"/>
      <c r="I185" s="96">
        <v>1</v>
      </c>
      <c r="J185" s="104"/>
      <c r="K185" s="75">
        <v>1</v>
      </c>
      <c r="L185" s="75"/>
      <c r="M185" s="75"/>
      <c r="N185" s="104"/>
      <c r="O185" s="109"/>
      <c r="P185" s="108"/>
      <c r="Q185" s="109"/>
      <c r="R185" s="109"/>
      <c r="S185" s="100"/>
      <c r="T185" s="110"/>
      <c r="U185" s="110"/>
      <c r="V185" s="100"/>
      <c r="W185" s="100"/>
      <c r="X185" s="100"/>
      <c r="Y185" s="110"/>
      <c r="Z185" s="110"/>
      <c r="AA185" s="100"/>
      <c r="AB185" s="109"/>
      <c r="AC185" s="108"/>
      <c r="AD185" s="109"/>
      <c r="AE185" s="109"/>
      <c r="AF185" s="109">
        <v>1</v>
      </c>
      <c r="AG185" s="109"/>
      <c r="AH185" s="108"/>
      <c r="AI185" s="100"/>
      <c r="AJ185" s="110"/>
      <c r="AK185" s="110"/>
      <c r="AL185" s="100"/>
      <c r="AM185" s="100"/>
      <c r="AN185" s="110"/>
      <c r="AO185" s="100"/>
      <c r="AP185" s="100"/>
      <c r="AQ185" s="110"/>
      <c r="AR185" s="100"/>
      <c r="AS185" s="111"/>
      <c r="AT185" s="111"/>
    </row>
    <row r="186" spans="1:46" ht="16.3">
      <c r="A186" s="83" t="s">
        <v>363</v>
      </c>
      <c r="B186" s="247">
        <f>SUM(B184+B185)</f>
        <v>5</v>
      </c>
      <c r="C186" s="214">
        <f t="shared" si="37"/>
        <v>5</v>
      </c>
      <c r="D186" s="133"/>
      <c r="E186" s="134"/>
      <c r="F186" s="135"/>
      <c r="G186" s="136"/>
      <c r="H186" s="107"/>
      <c r="I186" s="96"/>
      <c r="J186" s="104"/>
      <c r="K186" s="75"/>
      <c r="L186" s="75"/>
      <c r="M186" s="75"/>
      <c r="N186" s="104"/>
      <c r="O186" s="109"/>
      <c r="P186" s="108"/>
      <c r="Q186" s="109"/>
      <c r="R186" s="109"/>
      <c r="S186" s="100"/>
      <c r="T186" s="110"/>
      <c r="U186" s="110"/>
      <c r="V186" s="100"/>
      <c r="W186" s="100"/>
      <c r="X186" s="100"/>
      <c r="Y186" s="110"/>
      <c r="Z186" s="110"/>
      <c r="AA186" s="100"/>
      <c r="AB186" s="109"/>
      <c r="AC186" s="108"/>
      <c r="AD186" s="109"/>
      <c r="AE186" s="109"/>
      <c r="AF186" s="109"/>
      <c r="AG186" s="109"/>
      <c r="AH186" s="108"/>
      <c r="AI186" s="100"/>
      <c r="AJ186" s="110"/>
      <c r="AK186" s="110"/>
      <c r="AL186" s="100"/>
      <c r="AM186" s="100"/>
      <c r="AN186" s="110"/>
      <c r="AO186" s="100"/>
      <c r="AP186" s="100"/>
      <c r="AQ186" s="110"/>
      <c r="AR186" s="100"/>
      <c r="AS186" s="111"/>
      <c r="AT186" s="111"/>
    </row>
    <row r="187" spans="1:46" ht="16.3">
      <c r="A187" s="83" t="s">
        <v>3</v>
      </c>
      <c r="B187" s="247">
        <f>SUM(J187+K187+L187+M187+N187+S187+V187+W187+X187+AA187+AI187+AJ187+AI187+AM187+AP187+AQ187+AS187+AT187+AU187+AV187)+1</f>
        <v>1</v>
      </c>
      <c r="C187" s="214">
        <f t="shared" si="37"/>
        <v>1</v>
      </c>
      <c r="D187" s="133"/>
      <c r="E187" s="134"/>
      <c r="F187" s="135"/>
      <c r="G187" s="136"/>
      <c r="H187" s="107"/>
      <c r="I187" s="96"/>
      <c r="J187" s="104"/>
      <c r="K187" s="75"/>
      <c r="L187" s="75"/>
      <c r="M187" s="75"/>
      <c r="N187" s="104"/>
      <c r="O187" s="109"/>
      <c r="P187" s="108"/>
      <c r="Q187" s="109"/>
      <c r="R187" s="109"/>
      <c r="S187" s="100"/>
      <c r="T187" s="110"/>
      <c r="U187" s="110"/>
      <c r="V187" s="100"/>
      <c r="W187" s="100"/>
      <c r="X187" s="100"/>
      <c r="Y187" s="110"/>
      <c r="Z187" s="110"/>
      <c r="AA187" s="100"/>
      <c r="AB187" s="109"/>
      <c r="AC187" s="108"/>
      <c r="AD187" s="109"/>
      <c r="AE187" s="109"/>
      <c r="AF187" s="109"/>
      <c r="AG187" s="109"/>
      <c r="AH187" s="108"/>
      <c r="AI187" s="100"/>
      <c r="AJ187" s="110"/>
      <c r="AK187" s="110"/>
      <c r="AL187" s="100"/>
      <c r="AM187" s="100"/>
      <c r="AN187" s="110"/>
      <c r="AO187" s="100"/>
      <c r="AP187" s="100"/>
      <c r="AQ187" s="110"/>
      <c r="AR187" s="100"/>
      <c r="AS187" s="111"/>
      <c r="AT187" s="111"/>
    </row>
    <row r="188" spans="1:46" ht="17" thickBot="1">
      <c r="A188" s="85" t="s">
        <v>4</v>
      </c>
      <c r="B188" s="250">
        <f>SUM(J188+K188+L188+M188+N188+S188+V188+W188+X188+AA188+AI188+AJ188+AI188+AM188+AP188+AQ188+AS188+AT188+AU188+AV188)+5</f>
        <v>5</v>
      </c>
      <c r="C188" s="217">
        <f t="shared" si="37"/>
        <v>5</v>
      </c>
      <c r="D188" s="144"/>
      <c r="E188" s="145"/>
      <c r="F188" s="146"/>
      <c r="G188" s="147"/>
      <c r="H188" s="130"/>
      <c r="I188" s="114"/>
      <c r="J188" s="113"/>
      <c r="K188" s="112"/>
      <c r="L188" s="112"/>
      <c r="M188" s="112"/>
      <c r="N188" s="113"/>
      <c r="O188" s="118"/>
      <c r="P188" s="127"/>
      <c r="Q188" s="118"/>
      <c r="R188" s="118"/>
      <c r="S188" s="116"/>
      <c r="T188" s="120"/>
      <c r="U188" s="120"/>
      <c r="V188" s="112"/>
      <c r="W188" s="116"/>
      <c r="X188" s="116"/>
      <c r="Y188" s="120"/>
      <c r="Z188" s="120"/>
      <c r="AA188" s="116"/>
      <c r="AB188" s="118"/>
      <c r="AC188" s="117"/>
      <c r="AD188" s="118"/>
      <c r="AE188" s="118"/>
      <c r="AF188" s="118"/>
      <c r="AG188" s="118"/>
      <c r="AH188" s="117"/>
      <c r="AI188" s="116"/>
      <c r="AJ188" s="120"/>
      <c r="AK188" s="120"/>
      <c r="AL188" s="116"/>
      <c r="AM188" s="116"/>
      <c r="AN188" s="120"/>
      <c r="AO188" s="116"/>
      <c r="AP188" s="116"/>
      <c r="AQ188" s="120"/>
      <c r="AR188" s="116"/>
      <c r="AS188" s="121"/>
      <c r="AT188" s="121"/>
    </row>
    <row r="189" spans="1:46" ht="21.1">
      <c r="A189" s="82" t="s">
        <v>823</v>
      </c>
      <c r="B189" s="247"/>
      <c r="C189" s="214"/>
      <c r="D189" s="133"/>
      <c r="E189" s="134"/>
      <c r="F189" s="135"/>
      <c r="G189" s="136"/>
      <c r="H189" s="107"/>
      <c r="I189" s="96"/>
      <c r="J189" s="104"/>
      <c r="K189" s="75"/>
      <c r="L189" s="75"/>
      <c r="M189" s="75"/>
      <c r="N189" s="104"/>
      <c r="O189" s="109"/>
      <c r="P189" s="108"/>
      <c r="Q189" s="109"/>
      <c r="R189" s="109" t="s">
        <v>375</v>
      </c>
      <c r="S189" s="100"/>
      <c r="T189" s="110"/>
      <c r="U189" s="110"/>
      <c r="V189" s="100"/>
      <c r="W189" s="100"/>
      <c r="X189" s="100"/>
      <c r="Y189" s="110"/>
      <c r="Z189" s="110"/>
      <c r="AA189" s="100"/>
      <c r="AB189" s="109"/>
      <c r="AC189" s="108"/>
      <c r="AD189" s="109" t="s">
        <v>375</v>
      </c>
      <c r="AE189" s="109"/>
      <c r="AF189" s="109"/>
      <c r="AG189" s="109"/>
      <c r="AH189" s="108"/>
      <c r="AI189" s="100"/>
      <c r="AJ189" s="110"/>
      <c r="AK189" s="110"/>
      <c r="AL189" s="100"/>
      <c r="AM189" s="100"/>
      <c r="AN189" s="110"/>
      <c r="AO189" s="100"/>
      <c r="AP189" s="100"/>
      <c r="AQ189" s="110"/>
      <c r="AR189" s="100"/>
      <c r="AS189" s="111"/>
      <c r="AT189" s="111"/>
    </row>
    <row r="190" spans="1:46" ht="16.3">
      <c r="A190" s="246" t="s">
        <v>1</v>
      </c>
      <c r="B190" s="248">
        <f>SUM(J190+K190+L190+M190+N190+S190+V190+W190+X190+AA190+AI190+AJ190+AI190+AM190+AP190+AQ190+AS190+AT190+AU190+AV190+AN190)</f>
        <v>0</v>
      </c>
      <c r="C190" s="215">
        <f>B190</f>
        <v>0</v>
      </c>
      <c r="D190" s="133"/>
      <c r="E190" s="134"/>
      <c r="F190" s="135"/>
      <c r="G190" s="136"/>
      <c r="H190" s="107"/>
      <c r="I190" s="96"/>
      <c r="J190" s="104"/>
      <c r="K190" s="75"/>
      <c r="L190" s="75"/>
      <c r="M190" s="75"/>
      <c r="N190" s="104"/>
      <c r="O190" s="109"/>
      <c r="P190" s="108"/>
      <c r="Q190" s="109"/>
      <c r="R190" s="109"/>
      <c r="S190" s="100"/>
      <c r="T190" s="110"/>
      <c r="U190" s="110"/>
      <c r="V190" s="100"/>
      <c r="W190" s="100"/>
      <c r="X190" s="100"/>
      <c r="Y190" s="110"/>
      <c r="Z190" s="110"/>
      <c r="AA190" s="100"/>
      <c r="AB190" s="109"/>
      <c r="AC190" s="108"/>
      <c r="AD190" s="109"/>
      <c r="AE190" s="109"/>
      <c r="AF190" s="109"/>
      <c r="AG190" s="109"/>
      <c r="AH190" s="108"/>
      <c r="AI190" s="100"/>
      <c r="AJ190" s="110"/>
      <c r="AK190" s="110"/>
      <c r="AL190" s="100"/>
      <c r="AM190" s="100"/>
      <c r="AN190" s="110"/>
      <c r="AO190" s="100"/>
      <c r="AP190" s="100"/>
      <c r="AQ190" s="110"/>
      <c r="AR190" s="100"/>
      <c r="AS190" s="111"/>
      <c r="AT190" s="111"/>
    </row>
    <row r="191" spans="1:46" ht="16.3">
      <c r="A191" s="246" t="s">
        <v>2</v>
      </c>
      <c r="B191" s="248">
        <f>SUM(J191+K191+L191+M191+N191+S191+V191+W191+X191+AA191+AI191+AJ191+AI191+AM191+AP191+AQ191+AS191+AT191+AU191+AV191)</f>
        <v>0</v>
      </c>
      <c r="C191" s="215">
        <f t="shared" ref="C191:C194" si="38">B191</f>
        <v>0</v>
      </c>
      <c r="D191" s="133"/>
      <c r="E191" s="134"/>
      <c r="F191" s="135"/>
      <c r="G191" s="136"/>
      <c r="H191" s="107"/>
      <c r="I191" s="96"/>
      <c r="J191" s="104"/>
      <c r="K191" s="75"/>
      <c r="L191" s="75"/>
      <c r="M191" s="75"/>
      <c r="N191" s="104"/>
      <c r="O191" s="109"/>
      <c r="P191" s="108"/>
      <c r="Q191" s="109"/>
      <c r="R191" s="109">
        <v>1</v>
      </c>
      <c r="S191" s="100"/>
      <c r="T191" s="110"/>
      <c r="U191" s="110"/>
      <c r="V191" s="100"/>
      <c r="W191" s="100"/>
      <c r="X191" s="100"/>
      <c r="Y191" s="110"/>
      <c r="Z191" s="110"/>
      <c r="AA191" s="100"/>
      <c r="AB191" s="109"/>
      <c r="AC191" s="108"/>
      <c r="AD191" s="109">
        <v>1</v>
      </c>
      <c r="AE191" s="109"/>
      <c r="AF191" s="109"/>
      <c r="AG191" s="109"/>
      <c r="AH191" s="108"/>
      <c r="AI191" s="100"/>
      <c r="AJ191" s="110"/>
      <c r="AK191" s="110"/>
      <c r="AL191" s="100"/>
      <c r="AM191" s="100"/>
      <c r="AN191" s="110"/>
      <c r="AO191" s="100"/>
      <c r="AP191" s="100"/>
      <c r="AQ191" s="110"/>
      <c r="AR191" s="100"/>
      <c r="AS191" s="111"/>
      <c r="AT191" s="111"/>
    </row>
    <row r="192" spans="1:46" ht="16.3">
      <c r="A192" s="83" t="s">
        <v>363</v>
      </c>
      <c r="B192" s="247">
        <f>SUM(B190+B191)</f>
        <v>0</v>
      </c>
      <c r="C192" s="214">
        <f t="shared" si="38"/>
        <v>0</v>
      </c>
      <c r="D192" s="133"/>
      <c r="E192" s="134"/>
      <c r="F192" s="135"/>
      <c r="G192" s="136"/>
      <c r="H192" s="107"/>
      <c r="I192" s="96"/>
      <c r="J192" s="104"/>
      <c r="K192" s="75"/>
      <c r="L192" s="75"/>
      <c r="M192" s="75"/>
      <c r="N192" s="104"/>
      <c r="O192" s="109"/>
      <c r="P192" s="108"/>
      <c r="Q192" s="109"/>
      <c r="R192" s="109"/>
      <c r="S192" s="100"/>
      <c r="T192" s="110"/>
      <c r="U192" s="110"/>
      <c r="V192" s="100"/>
      <c r="W192" s="100"/>
      <c r="X192" s="100"/>
      <c r="Y192" s="110"/>
      <c r="Z192" s="110"/>
      <c r="AA192" s="100"/>
      <c r="AB192" s="109"/>
      <c r="AC192" s="108"/>
      <c r="AD192" s="109"/>
      <c r="AE192" s="109"/>
      <c r="AF192" s="109"/>
      <c r="AG192" s="109"/>
      <c r="AH192" s="108"/>
      <c r="AI192" s="100"/>
      <c r="AJ192" s="110"/>
      <c r="AK192" s="110"/>
      <c r="AL192" s="100"/>
      <c r="AM192" s="100"/>
      <c r="AN192" s="110"/>
      <c r="AO192" s="100"/>
      <c r="AP192" s="100"/>
      <c r="AQ192" s="110"/>
      <c r="AR192" s="100"/>
      <c r="AS192" s="111"/>
      <c r="AT192" s="111"/>
    </row>
    <row r="193" spans="1:48" ht="16.3">
      <c r="A193" s="83" t="s">
        <v>3</v>
      </c>
      <c r="B193" s="247">
        <f>SUM(J193+K193+L193+M193+N193+S193+V193+W193+X193+AA193+AI193+AJ193+AI193+AM193+AP193+AQ193+AS193+AT193+AU193+AV193)</f>
        <v>0</v>
      </c>
      <c r="C193" s="214">
        <f t="shared" si="38"/>
        <v>0</v>
      </c>
      <c r="D193" s="133"/>
      <c r="E193" s="134"/>
      <c r="F193" s="135"/>
      <c r="G193" s="136"/>
      <c r="H193" s="107"/>
      <c r="I193" s="96"/>
      <c r="J193" s="104"/>
      <c r="K193" s="75"/>
      <c r="L193" s="75"/>
      <c r="M193" s="75"/>
      <c r="N193" s="104"/>
      <c r="O193" s="109"/>
      <c r="P193" s="108"/>
      <c r="Q193" s="109"/>
      <c r="R193" s="109"/>
      <c r="S193" s="100"/>
      <c r="T193" s="110"/>
      <c r="U193" s="110"/>
      <c r="V193" s="100"/>
      <c r="W193" s="100"/>
      <c r="X193" s="100"/>
      <c r="Y193" s="110"/>
      <c r="Z193" s="110"/>
      <c r="AA193" s="100"/>
      <c r="AB193" s="109"/>
      <c r="AC193" s="108"/>
      <c r="AD193" s="109"/>
      <c r="AE193" s="109"/>
      <c r="AF193" s="109"/>
      <c r="AG193" s="109"/>
      <c r="AH193" s="108"/>
      <c r="AI193" s="100"/>
      <c r="AJ193" s="110"/>
      <c r="AK193" s="110"/>
      <c r="AL193" s="100"/>
      <c r="AM193" s="100"/>
      <c r="AN193" s="110"/>
      <c r="AO193" s="100"/>
      <c r="AP193" s="100"/>
      <c r="AQ193" s="110"/>
      <c r="AR193" s="100"/>
      <c r="AS193" s="111"/>
      <c r="AT193" s="111"/>
    </row>
    <row r="194" spans="1:48" ht="17" thickBot="1">
      <c r="A194" s="85" t="s">
        <v>4</v>
      </c>
      <c r="B194" s="250">
        <f>SUM(J194+K194+L194+M194+N194+S194+V194+W194+X194+AA194+AI194+AJ194+AI194+AM194+AP194+AQ194+AS194+AT194+AU194+AV194)</f>
        <v>0</v>
      </c>
      <c r="C194" s="217">
        <f t="shared" si="38"/>
        <v>0</v>
      </c>
      <c r="D194" s="144"/>
      <c r="E194" s="145"/>
      <c r="F194" s="146"/>
      <c r="G194" s="147"/>
      <c r="H194" s="130"/>
      <c r="I194" s="114"/>
      <c r="J194" s="113"/>
      <c r="K194" s="112"/>
      <c r="L194" s="112"/>
      <c r="M194" s="112"/>
      <c r="N194" s="113"/>
      <c r="O194" s="118"/>
      <c r="P194" s="117"/>
      <c r="Q194" s="118"/>
      <c r="R194" s="118"/>
      <c r="S194" s="116"/>
      <c r="T194" s="120"/>
      <c r="U194" s="120"/>
      <c r="V194" s="116"/>
      <c r="W194" s="116"/>
      <c r="X194" s="116"/>
      <c r="Y194" s="120"/>
      <c r="Z194" s="120"/>
      <c r="AA194" s="116"/>
      <c r="AB194" s="118"/>
      <c r="AC194" s="117"/>
      <c r="AD194" s="118"/>
      <c r="AE194" s="118"/>
      <c r="AF194" s="118"/>
      <c r="AG194" s="118"/>
      <c r="AH194" s="117"/>
      <c r="AI194" s="116"/>
      <c r="AJ194" s="120"/>
      <c r="AK194" s="120"/>
      <c r="AL194" s="116"/>
      <c r="AM194" s="116"/>
      <c r="AN194" s="120"/>
      <c r="AO194" s="116"/>
      <c r="AP194" s="116"/>
      <c r="AQ194" s="120"/>
      <c r="AR194" s="116"/>
      <c r="AS194" s="121"/>
      <c r="AT194" s="121"/>
    </row>
    <row r="195" spans="1:48" ht="21.1">
      <c r="A195" s="82" t="s">
        <v>86</v>
      </c>
      <c r="B195" s="247"/>
      <c r="C195" s="214"/>
      <c r="D195" s="133"/>
      <c r="E195" s="134"/>
      <c r="F195" s="135"/>
      <c r="G195" s="136"/>
      <c r="H195" s="107"/>
      <c r="I195" s="96" t="s">
        <v>369</v>
      </c>
      <c r="J195" s="104" t="s">
        <v>369</v>
      </c>
      <c r="K195" s="75" t="s">
        <v>369</v>
      </c>
      <c r="L195" s="75" t="s">
        <v>369</v>
      </c>
      <c r="M195" s="75" t="s">
        <v>375</v>
      </c>
      <c r="N195" s="104" t="s">
        <v>375</v>
      </c>
      <c r="O195" s="109"/>
      <c r="P195" s="108"/>
      <c r="Q195" s="109"/>
      <c r="R195" s="109"/>
      <c r="S195" s="100" t="s">
        <v>369</v>
      </c>
      <c r="T195" s="110" t="s">
        <v>375</v>
      </c>
      <c r="U195" s="110" t="s">
        <v>375</v>
      </c>
      <c r="V195" s="100" t="s">
        <v>369</v>
      </c>
      <c r="W195" s="100" t="s">
        <v>369</v>
      </c>
      <c r="X195" s="100"/>
      <c r="Y195" s="110" t="s">
        <v>375</v>
      </c>
      <c r="Z195" s="110" t="s">
        <v>369</v>
      </c>
      <c r="AA195" s="100" t="s">
        <v>369</v>
      </c>
      <c r="AB195" s="109" t="s">
        <v>775</v>
      </c>
      <c r="AC195" s="108"/>
      <c r="AD195" s="109" t="s">
        <v>775</v>
      </c>
      <c r="AE195" s="109" t="s">
        <v>775</v>
      </c>
      <c r="AF195" s="109" t="s">
        <v>375</v>
      </c>
      <c r="AG195" s="109"/>
      <c r="AH195" s="108"/>
      <c r="AI195" s="100"/>
      <c r="AJ195" s="110"/>
      <c r="AK195" s="110"/>
      <c r="AL195" s="100"/>
      <c r="AM195" s="100"/>
      <c r="AN195" s="110"/>
      <c r="AO195" s="100"/>
      <c r="AP195" s="100"/>
      <c r="AQ195" s="110"/>
      <c r="AR195" s="100"/>
      <c r="AS195" s="111"/>
      <c r="AT195" s="111"/>
    </row>
    <row r="196" spans="1:48" ht="16.3">
      <c r="A196" s="246" t="s">
        <v>1</v>
      </c>
      <c r="B196" s="248">
        <f>SUM(J196+K196+L196+M196+N196+S196+V196+W196+X196+AA196+AI196+AJ196+AI196+AM196+AP196+AQ196+AS196+AT196+AU196+AV196+AN196)+25</f>
        <v>32</v>
      </c>
      <c r="C196" s="215">
        <f>B196</f>
        <v>32</v>
      </c>
      <c r="D196" s="133"/>
      <c r="E196" s="134"/>
      <c r="F196" s="135"/>
      <c r="G196" s="136"/>
      <c r="H196" s="107"/>
      <c r="I196" s="96">
        <v>1</v>
      </c>
      <c r="J196" s="104">
        <v>1</v>
      </c>
      <c r="K196" s="75">
        <v>1</v>
      </c>
      <c r="L196" s="75">
        <v>1</v>
      </c>
      <c r="M196" s="75"/>
      <c r="N196" s="104"/>
      <c r="O196" s="109"/>
      <c r="P196" s="108"/>
      <c r="Q196" s="109"/>
      <c r="R196" s="109"/>
      <c r="S196" s="100">
        <v>1</v>
      </c>
      <c r="T196" s="110"/>
      <c r="U196" s="110"/>
      <c r="V196" s="100">
        <v>1</v>
      </c>
      <c r="W196" s="100">
        <v>1</v>
      </c>
      <c r="X196" s="100"/>
      <c r="Y196" s="110"/>
      <c r="Z196" s="110">
        <v>1</v>
      </c>
      <c r="AA196" s="100">
        <v>1</v>
      </c>
      <c r="AB196" s="109"/>
      <c r="AC196" s="108"/>
      <c r="AD196" s="109"/>
      <c r="AE196" s="109"/>
      <c r="AF196" s="109"/>
      <c r="AG196" s="109"/>
      <c r="AH196" s="108"/>
      <c r="AI196" s="100"/>
      <c r="AJ196" s="110"/>
      <c r="AK196" s="110"/>
      <c r="AL196" s="100"/>
      <c r="AM196" s="100"/>
      <c r="AN196" s="110"/>
      <c r="AO196" s="100"/>
      <c r="AP196" s="100"/>
      <c r="AQ196" s="110"/>
      <c r="AR196" s="100"/>
      <c r="AS196" s="111"/>
      <c r="AT196" s="111"/>
    </row>
    <row r="197" spans="1:48" ht="16.3">
      <c r="A197" s="246" t="s">
        <v>2</v>
      </c>
      <c r="B197" s="248">
        <f>SUM(J197+K197+L197+M197+N197+S197+V197+W197+X197+AA197+AI197+AJ197+AI197+AM197+AP197+AQ197+AS197+AT197+AU197+AV197)+27</f>
        <v>29</v>
      </c>
      <c r="C197" s="215">
        <f t="shared" ref="C197:C201" si="39">B197</f>
        <v>29</v>
      </c>
      <c r="D197" s="133"/>
      <c r="E197" s="134"/>
      <c r="F197" s="135"/>
      <c r="G197" s="136"/>
      <c r="H197" s="107"/>
      <c r="I197" s="96"/>
      <c r="J197" s="104"/>
      <c r="K197" s="75"/>
      <c r="L197" s="75"/>
      <c r="M197" s="75">
        <v>1</v>
      </c>
      <c r="N197" s="104">
        <v>1</v>
      </c>
      <c r="O197" s="109"/>
      <c r="P197" s="108"/>
      <c r="Q197" s="109"/>
      <c r="R197" s="109"/>
      <c r="S197" s="100"/>
      <c r="T197" s="110">
        <v>1</v>
      </c>
      <c r="U197" s="110">
        <v>1</v>
      </c>
      <c r="V197" s="100"/>
      <c r="W197" s="100"/>
      <c r="X197" s="100"/>
      <c r="Y197" s="110">
        <v>1</v>
      </c>
      <c r="Z197" s="110"/>
      <c r="AA197" s="100"/>
      <c r="AB197" s="109"/>
      <c r="AC197" s="108"/>
      <c r="AD197" s="109"/>
      <c r="AE197" s="109"/>
      <c r="AF197" s="109">
        <v>1</v>
      </c>
      <c r="AG197" s="109"/>
      <c r="AH197" s="108"/>
      <c r="AI197" s="100"/>
      <c r="AJ197" s="110"/>
      <c r="AK197" s="110"/>
      <c r="AL197" s="100"/>
      <c r="AM197" s="100"/>
      <c r="AN197" s="110"/>
      <c r="AO197" s="100"/>
      <c r="AP197" s="100"/>
      <c r="AQ197" s="110"/>
      <c r="AR197" s="100"/>
      <c r="AS197" s="111"/>
      <c r="AT197" s="111"/>
    </row>
    <row r="198" spans="1:48" ht="16.3">
      <c r="A198" s="83" t="s">
        <v>363</v>
      </c>
      <c r="B198" s="247">
        <f>SUM(B196+B197)</f>
        <v>61</v>
      </c>
      <c r="C198" s="214">
        <f t="shared" si="39"/>
        <v>61</v>
      </c>
      <c r="D198" s="133"/>
      <c r="E198" s="134"/>
      <c r="F198" s="135"/>
      <c r="G198" s="136"/>
      <c r="H198" s="107"/>
      <c r="I198" s="96"/>
      <c r="J198" s="104"/>
      <c r="K198" s="75"/>
      <c r="L198" s="75"/>
      <c r="M198" s="75"/>
      <c r="N198" s="104"/>
      <c r="O198" s="109"/>
      <c r="P198" s="108"/>
      <c r="Q198" s="109"/>
      <c r="R198" s="109"/>
      <c r="S198" s="100"/>
      <c r="T198" s="110"/>
      <c r="U198" s="110"/>
      <c r="V198" s="100"/>
      <c r="W198" s="100"/>
      <c r="X198" s="100"/>
      <c r="Y198" s="110"/>
      <c r="Z198" s="110"/>
      <c r="AA198" s="100"/>
      <c r="AB198" s="109"/>
      <c r="AC198" s="108"/>
      <c r="AD198" s="109"/>
      <c r="AE198" s="109"/>
      <c r="AF198" s="109"/>
      <c r="AG198" s="109"/>
      <c r="AH198" s="108"/>
      <c r="AI198" s="100"/>
      <c r="AJ198" s="110"/>
      <c r="AK198" s="110"/>
      <c r="AL198" s="100"/>
      <c r="AM198" s="100"/>
      <c r="AN198" s="110"/>
      <c r="AO198" s="100"/>
      <c r="AP198" s="100"/>
      <c r="AQ198" s="110"/>
      <c r="AR198" s="100"/>
      <c r="AS198" s="111"/>
      <c r="AT198" s="111"/>
    </row>
    <row r="199" spans="1:48" ht="16.3">
      <c r="A199" s="246" t="s">
        <v>362</v>
      </c>
      <c r="B199" s="248">
        <f>SUM(J199+K199+L199+M199+N199+S199+V199+W199+X199+AA199+AI199+AJ199+AI199+AM199+AP199+AQ199+AS199+AT199+AU199+AV199)+2</f>
        <v>2</v>
      </c>
      <c r="C199" s="215">
        <f t="shared" si="39"/>
        <v>2</v>
      </c>
      <c r="D199" s="133"/>
      <c r="E199" s="134"/>
      <c r="F199" s="135"/>
      <c r="G199" s="136"/>
      <c r="H199" s="107"/>
      <c r="I199" s="96"/>
      <c r="J199" s="104"/>
      <c r="K199" s="75"/>
      <c r="L199" s="75"/>
      <c r="M199" s="75"/>
      <c r="N199" s="104"/>
      <c r="O199" s="109"/>
      <c r="P199" s="108"/>
      <c r="Q199" s="109"/>
      <c r="R199" s="109"/>
      <c r="S199" s="100"/>
      <c r="T199" s="110"/>
      <c r="U199" s="110"/>
      <c r="V199" s="100"/>
      <c r="W199" s="100"/>
      <c r="X199" s="100"/>
      <c r="Y199" s="110"/>
      <c r="Z199" s="110"/>
      <c r="AA199" s="100"/>
      <c r="AB199" s="109"/>
      <c r="AC199" s="108"/>
      <c r="AD199" s="109"/>
      <c r="AE199" s="109"/>
      <c r="AF199" s="109"/>
      <c r="AG199" s="109"/>
      <c r="AH199" s="108"/>
      <c r="AI199" s="100"/>
      <c r="AJ199" s="110"/>
      <c r="AK199" s="110"/>
      <c r="AL199" s="100"/>
      <c r="AM199" s="100"/>
      <c r="AN199" s="110"/>
      <c r="AO199" s="100"/>
      <c r="AP199" s="100"/>
      <c r="AQ199" s="110"/>
      <c r="AR199" s="100"/>
      <c r="AS199" s="111"/>
      <c r="AT199" s="111"/>
    </row>
    <row r="200" spans="1:48" ht="16.3">
      <c r="A200" s="83" t="s">
        <v>3</v>
      </c>
      <c r="B200" s="247">
        <f>SUM(J200+K200+L200+M200+N200+S200+V200+W200+X200+AA200+AI200+AJ200+AI200+AM200+AP200+AQ200+AS200+AT200+AU200+AV200)+4</f>
        <v>4</v>
      </c>
      <c r="C200" s="214">
        <f t="shared" si="39"/>
        <v>4</v>
      </c>
      <c r="D200" s="133"/>
      <c r="E200" s="134"/>
      <c r="F200" s="135"/>
      <c r="G200" s="136"/>
      <c r="H200" s="107"/>
      <c r="I200" s="96"/>
      <c r="J200" s="104"/>
      <c r="K200" s="75"/>
      <c r="L200" s="75"/>
      <c r="M200" s="75"/>
      <c r="N200" s="104"/>
      <c r="O200" s="109"/>
      <c r="P200" s="108"/>
      <c r="Q200" s="109"/>
      <c r="R200" s="109"/>
      <c r="S200" s="100"/>
      <c r="T200" s="110"/>
      <c r="U200" s="110"/>
      <c r="V200" s="100"/>
      <c r="W200" s="100"/>
      <c r="X200" s="100"/>
      <c r="Y200" s="110"/>
      <c r="Z200" s="110"/>
      <c r="AA200" s="100"/>
      <c r="AB200" s="109"/>
      <c r="AC200" s="108"/>
      <c r="AD200" s="109"/>
      <c r="AE200" s="109"/>
      <c r="AF200" s="109"/>
      <c r="AG200" s="109"/>
      <c r="AH200" s="108"/>
      <c r="AI200" s="100"/>
      <c r="AJ200" s="110"/>
      <c r="AK200" s="110"/>
      <c r="AL200" s="100"/>
      <c r="AM200" s="100"/>
      <c r="AN200" s="110"/>
      <c r="AO200" s="100"/>
      <c r="AP200" s="100"/>
      <c r="AQ200" s="110"/>
      <c r="AR200" s="100"/>
      <c r="AS200" s="111"/>
      <c r="AT200" s="111"/>
    </row>
    <row r="201" spans="1:48" ht="17" thickBot="1">
      <c r="A201" s="85" t="s">
        <v>4</v>
      </c>
      <c r="B201" s="250">
        <f>SUM(J201+K201+L201+M201+N201+S201+V201+W201+X201+AA201+AI201+AJ201+AI201+AM201+AP201+AQ201+AS201+AT201+AU201+AV201)+20</f>
        <v>20</v>
      </c>
      <c r="C201" s="217">
        <f t="shared" si="39"/>
        <v>20</v>
      </c>
      <c r="D201" s="144"/>
      <c r="E201" s="145"/>
      <c r="F201" s="146"/>
      <c r="G201" s="147"/>
      <c r="H201" s="130"/>
      <c r="I201" s="114"/>
      <c r="J201" s="113"/>
      <c r="K201" s="112"/>
      <c r="L201" s="112"/>
      <c r="M201" s="112"/>
      <c r="N201" s="113"/>
      <c r="O201" s="118"/>
      <c r="P201" s="117"/>
      <c r="Q201" s="118"/>
      <c r="R201" s="118"/>
      <c r="S201" s="116"/>
      <c r="T201" s="120"/>
      <c r="U201" s="120"/>
      <c r="V201" s="116"/>
      <c r="W201" s="112"/>
      <c r="X201" s="116"/>
      <c r="Y201" s="120"/>
      <c r="Z201" s="120"/>
      <c r="AA201" s="116"/>
      <c r="AB201" s="118"/>
      <c r="AC201" s="117"/>
      <c r="AD201" s="118"/>
      <c r="AE201" s="118"/>
      <c r="AF201" s="118"/>
      <c r="AG201" s="118"/>
      <c r="AH201" s="117"/>
      <c r="AI201" s="116"/>
      <c r="AJ201" s="120"/>
      <c r="AK201" s="120"/>
      <c r="AL201" s="116"/>
      <c r="AM201" s="116"/>
      <c r="AN201" s="120"/>
      <c r="AO201" s="116"/>
      <c r="AP201" s="116"/>
      <c r="AQ201" s="120"/>
      <c r="AR201" s="116"/>
      <c r="AS201" s="121"/>
      <c r="AT201" s="121"/>
      <c r="AU201" s="493"/>
      <c r="AV201" s="493"/>
    </row>
    <row r="202" spans="1:48" ht="21.1">
      <c r="A202" s="82" t="s">
        <v>649</v>
      </c>
      <c r="B202" s="247"/>
      <c r="C202" s="214"/>
      <c r="D202" s="133"/>
      <c r="E202" s="134"/>
      <c r="F202" s="135"/>
      <c r="G202" s="136"/>
      <c r="H202" s="107"/>
      <c r="I202" s="96" t="s">
        <v>432</v>
      </c>
      <c r="J202" s="104" t="s">
        <v>375</v>
      </c>
      <c r="K202" s="75" t="s">
        <v>375</v>
      </c>
      <c r="L202" s="75" t="s">
        <v>375</v>
      </c>
      <c r="M202" s="75" t="s">
        <v>369</v>
      </c>
      <c r="N202" s="104" t="s">
        <v>369</v>
      </c>
      <c r="O202" s="109"/>
      <c r="P202" s="108"/>
      <c r="Q202" s="109" t="s">
        <v>782</v>
      </c>
      <c r="R202" s="109" t="s">
        <v>782</v>
      </c>
      <c r="S202" s="100"/>
      <c r="T202" s="110" t="s">
        <v>369</v>
      </c>
      <c r="U202" s="110" t="s">
        <v>369</v>
      </c>
      <c r="V202" s="100" t="s">
        <v>375</v>
      </c>
      <c r="W202" s="100"/>
      <c r="X202" s="100" t="s">
        <v>369</v>
      </c>
      <c r="Y202" s="110" t="s">
        <v>932</v>
      </c>
      <c r="Z202" s="110" t="s">
        <v>375</v>
      </c>
      <c r="AA202" s="100" t="s">
        <v>375</v>
      </c>
      <c r="AB202" s="109"/>
      <c r="AC202" s="108" t="s">
        <v>0</v>
      </c>
      <c r="AD202" s="109" t="s">
        <v>782</v>
      </c>
      <c r="AE202" s="109" t="s">
        <v>782</v>
      </c>
      <c r="AF202" s="109"/>
      <c r="AG202" s="109" t="s">
        <v>782</v>
      </c>
      <c r="AH202" s="108"/>
      <c r="AI202" s="100"/>
      <c r="AJ202" s="110"/>
      <c r="AK202" s="110"/>
      <c r="AL202" s="100"/>
      <c r="AM202" s="100"/>
      <c r="AN202" s="110"/>
      <c r="AO202" s="100"/>
      <c r="AP202" s="100"/>
      <c r="AQ202" s="110"/>
      <c r="AR202" s="100"/>
      <c r="AS202" s="111"/>
      <c r="AT202" s="111"/>
    </row>
    <row r="203" spans="1:48" ht="16.3">
      <c r="A203" s="246" t="s">
        <v>1</v>
      </c>
      <c r="B203" s="248">
        <f>SUM(J203+K203+L203+M203+N203+S203+V203+W203+X203+AA203+AI203+AJ203+AI203+AM203+AP203+AQ203+AS203+AT203+AU203+AV203+AN203)</f>
        <v>3</v>
      </c>
      <c r="C203" s="215">
        <f>SUM(J203+K203+L203+M203+N203+S203+W203+X203+V203+AA203+AJ203+AI203+AJ203+AN203+AQ203+AM203+AT203+AU203+AV203+AW203+AP203+AS203)+6</f>
        <v>9</v>
      </c>
      <c r="D203" s="133"/>
      <c r="E203" s="134"/>
      <c r="F203" s="135"/>
      <c r="G203" s="136"/>
      <c r="H203" s="107"/>
      <c r="I203" s="96"/>
      <c r="J203" s="104"/>
      <c r="K203" s="75"/>
      <c r="L203" s="75"/>
      <c r="M203" s="75">
        <v>1</v>
      </c>
      <c r="N203" s="104">
        <v>1</v>
      </c>
      <c r="O203" s="109"/>
      <c r="P203" s="108"/>
      <c r="Q203" s="109"/>
      <c r="R203" s="109"/>
      <c r="S203" s="100"/>
      <c r="T203" s="110">
        <v>1</v>
      </c>
      <c r="U203" s="110">
        <v>1</v>
      </c>
      <c r="V203" s="100"/>
      <c r="W203" s="100"/>
      <c r="X203" s="100">
        <v>1</v>
      </c>
      <c r="Y203" s="110">
        <v>1</v>
      </c>
      <c r="Z203" s="110"/>
      <c r="AA203" s="100"/>
      <c r="AB203" s="109"/>
      <c r="AC203" s="108"/>
      <c r="AD203" s="109"/>
      <c r="AE203" s="109"/>
      <c r="AF203" s="109"/>
      <c r="AG203" s="109"/>
      <c r="AH203" s="108"/>
      <c r="AI203" s="100"/>
      <c r="AJ203" s="110"/>
      <c r="AK203" s="110"/>
      <c r="AL203" s="100"/>
      <c r="AM203" s="100"/>
      <c r="AN203" s="110"/>
      <c r="AO203" s="100"/>
      <c r="AP203" s="100"/>
      <c r="AQ203" s="110"/>
      <c r="AR203" s="100"/>
      <c r="AS203" s="111"/>
      <c r="AT203" s="111"/>
    </row>
    <row r="204" spans="1:48" ht="16.3">
      <c r="A204" s="246" t="s">
        <v>2</v>
      </c>
      <c r="B204" s="248">
        <f>SUM(J204+K204+L204+M204+N204+S204+V204+W204+X204+AA204+AI204+AJ204+AI204+AM204+AP204+AQ204+AS204+AT204+AU204+AV204)</f>
        <v>5</v>
      </c>
      <c r="C204" s="215">
        <f>SUM(J204+K204+L204+M204+N204+S204+W204+X204+V204+AA204+AJ204+AI204+AJ204+AN204+AQ204+AM204+AT204+AU204+AV204+AW204+AP204+AS204)+10</f>
        <v>15</v>
      </c>
      <c r="D204" s="133"/>
      <c r="E204" s="134"/>
      <c r="F204" s="135"/>
      <c r="G204" s="136"/>
      <c r="H204" s="107"/>
      <c r="I204" s="96">
        <v>1</v>
      </c>
      <c r="J204" s="104">
        <v>1</v>
      </c>
      <c r="K204" s="75">
        <v>1</v>
      </c>
      <c r="L204" s="75">
        <v>1</v>
      </c>
      <c r="M204" s="75"/>
      <c r="N204" s="104"/>
      <c r="O204" s="109"/>
      <c r="P204" s="108"/>
      <c r="Q204" s="109"/>
      <c r="R204" s="109"/>
      <c r="S204" s="100"/>
      <c r="T204" s="110"/>
      <c r="U204" s="110"/>
      <c r="V204" s="100">
        <v>1</v>
      </c>
      <c r="W204" s="100"/>
      <c r="X204" s="100"/>
      <c r="Y204" s="110"/>
      <c r="Z204" s="110">
        <v>1</v>
      </c>
      <c r="AA204" s="100">
        <v>1</v>
      </c>
      <c r="AB204" s="109"/>
      <c r="AC204" s="108"/>
      <c r="AD204" s="109"/>
      <c r="AE204" s="109"/>
      <c r="AF204" s="109"/>
      <c r="AG204" s="109"/>
      <c r="AH204" s="108"/>
      <c r="AI204" s="100"/>
      <c r="AJ204" s="110"/>
      <c r="AK204" s="110"/>
      <c r="AL204" s="100"/>
      <c r="AM204" s="100"/>
      <c r="AN204" s="110"/>
      <c r="AO204" s="100"/>
      <c r="AP204" s="100"/>
      <c r="AQ204" s="110"/>
      <c r="AR204" s="100"/>
      <c r="AS204" s="111"/>
      <c r="AT204" s="111"/>
    </row>
    <row r="205" spans="1:48" ht="16.3">
      <c r="A205" s="83" t="s">
        <v>363</v>
      </c>
      <c r="B205" s="247">
        <f>SUM(B203+B204)</f>
        <v>8</v>
      </c>
      <c r="C205" s="214">
        <f>SUM(C203+C204)</f>
        <v>24</v>
      </c>
      <c r="D205" s="133"/>
      <c r="E205" s="134"/>
      <c r="F205" s="135"/>
      <c r="G205" s="136"/>
      <c r="H205" s="107"/>
      <c r="I205" s="96"/>
      <c r="J205" s="104"/>
      <c r="K205" s="75"/>
      <c r="L205" s="75"/>
      <c r="M205" s="75"/>
      <c r="N205" s="104"/>
      <c r="O205" s="109"/>
      <c r="P205" s="108"/>
      <c r="Q205" s="109"/>
      <c r="R205" s="109"/>
      <c r="S205" s="100"/>
      <c r="T205" s="110"/>
      <c r="U205" s="110"/>
      <c r="V205" s="100"/>
      <c r="W205" s="100"/>
      <c r="X205" s="100"/>
      <c r="Y205" s="110"/>
      <c r="Z205" s="110"/>
      <c r="AA205" s="100"/>
      <c r="AB205" s="109"/>
      <c r="AC205" s="108"/>
      <c r="AD205" s="109"/>
      <c r="AE205" s="109"/>
      <c r="AF205" s="109"/>
      <c r="AG205" s="109"/>
      <c r="AH205" s="108"/>
      <c r="AI205" s="100"/>
      <c r="AJ205" s="110"/>
      <c r="AK205" s="110"/>
      <c r="AL205" s="100"/>
      <c r="AM205" s="100"/>
      <c r="AN205" s="110"/>
      <c r="AO205" s="100"/>
      <c r="AP205" s="100"/>
      <c r="AQ205" s="110"/>
      <c r="AR205" s="100"/>
      <c r="AS205" s="111"/>
      <c r="AT205" s="111"/>
    </row>
    <row r="206" spans="1:48" ht="16.3">
      <c r="A206" s="246" t="s">
        <v>362</v>
      </c>
      <c r="B206" s="248">
        <f>SUM(J206+K206+L206+M206+N206+S206+V206+W206+X206+AA206+AI206+AJ206+AI206+AM206+AP206+AQ206+AS206+AT206+AU206+AV206+AN206)</f>
        <v>0</v>
      </c>
      <c r="C206" s="215">
        <f>SUM(J206+K206+L206+M206+N206+S206+W206+X206+V206+AA206+AJ206+AI206+AJ206+AN206+AQ206+AM206+AT206+AU206+AV206+AW206+AP206+AS206)</f>
        <v>0</v>
      </c>
      <c r="D206" s="133"/>
      <c r="E206" s="134"/>
      <c r="F206" s="135"/>
      <c r="G206" s="136"/>
      <c r="H206" s="107"/>
      <c r="I206" s="96"/>
      <c r="J206" s="104"/>
      <c r="K206" s="75"/>
      <c r="L206" s="75"/>
      <c r="M206" s="75"/>
      <c r="N206" s="104"/>
      <c r="O206" s="109"/>
      <c r="P206" s="108"/>
      <c r="Q206" s="109"/>
      <c r="R206" s="109"/>
      <c r="S206" s="100"/>
      <c r="T206" s="110"/>
      <c r="U206" s="110"/>
      <c r="V206" s="100"/>
      <c r="W206" s="100"/>
      <c r="X206" s="100"/>
      <c r="Y206" s="110">
        <v>1</v>
      </c>
      <c r="Z206" s="110"/>
      <c r="AA206" s="100"/>
      <c r="AB206" s="109"/>
      <c r="AC206" s="108"/>
      <c r="AD206" s="109"/>
      <c r="AE206" s="109"/>
      <c r="AF206" s="109"/>
      <c r="AG206" s="109"/>
      <c r="AH206" s="108"/>
      <c r="AI206" s="100"/>
      <c r="AJ206" s="110"/>
      <c r="AK206" s="110"/>
      <c r="AL206" s="100"/>
      <c r="AM206" s="100"/>
      <c r="AN206" s="110"/>
      <c r="AO206" s="100"/>
      <c r="AP206" s="100"/>
      <c r="AQ206" s="110"/>
      <c r="AR206" s="100"/>
      <c r="AS206" s="111"/>
      <c r="AT206" s="111"/>
    </row>
    <row r="207" spans="1:48" ht="16.3">
      <c r="A207" s="83" t="s">
        <v>3</v>
      </c>
      <c r="B207" s="247">
        <f>SUM(J207+K207+L207+M207+N207+S207+V207+W207+X207+AA207+AI207+AJ207+AI207+AM207+AP207+AQ207+AS207+AT207+AU207+AV207)</f>
        <v>2</v>
      </c>
      <c r="C207" s="214">
        <f>SUM(J207+K207+L207+M207+N207+S207+W207+X207+V207+AA207+AJ207+AI207+AJ207+AN207+AQ207+AM207+AT207+AU207+AV207+AW207+AP207+AS207)+1</f>
        <v>3</v>
      </c>
      <c r="D207" s="133"/>
      <c r="E207" s="134"/>
      <c r="F207" s="135"/>
      <c r="G207" s="136"/>
      <c r="H207" s="107"/>
      <c r="I207" s="96"/>
      <c r="J207" s="104"/>
      <c r="K207" s="75"/>
      <c r="L207" s="75"/>
      <c r="M207" s="75"/>
      <c r="N207" s="104"/>
      <c r="O207" s="109"/>
      <c r="P207" s="108"/>
      <c r="Q207" s="109"/>
      <c r="R207" s="109"/>
      <c r="S207" s="100"/>
      <c r="T207" s="110"/>
      <c r="U207" s="110"/>
      <c r="V207" s="100"/>
      <c r="W207" s="100"/>
      <c r="X207" s="100">
        <v>2</v>
      </c>
      <c r="Y207" s="110">
        <v>1</v>
      </c>
      <c r="Z207" s="110"/>
      <c r="AA207" s="100"/>
      <c r="AB207" s="109"/>
      <c r="AC207" s="108"/>
      <c r="AD207" s="109"/>
      <c r="AE207" s="109"/>
      <c r="AF207" s="109"/>
      <c r="AG207" s="109"/>
      <c r="AH207" s="108"/>
      <c r="AI207" s="100"/>
      <c r="AJ207" s="110"/>
      <c r="AK207" s="110"/>
      <c r="AL207" s="100"/>
      <c r="AM207" s="100"/>
      <c r="AN207" s="110"/>
      <c r="AO207" s="100"/>
      <c r="AP207" s="100"/>
      <c r="AQ207" s="110"/>
      <c r="AR207" s="100"/>
      <c r="AS207" s="111"/>
      <c r="AT207" s="111"/>
    </row>
    <row r="208" spans="1:48" ht="17" thickBot="1">
      <c r="A208" s="85" t="s">
        <v>4</v>
      </c>
      <c r="B208" s="250">
        <f>SUM(J208+K208+L208+M208+N208+S208+V208+W208+X208+AA208+AI208+AJ208+AI208+AM208+AP208+AQ208+AS208+AT208+AU208+AV208)</f>
        <v>10</v>
      </c>
      <c r="C208" s="217">
        <f>SUM(J208+K208+L208+M208+N208+S208+W208+X208+V208+AA208+AJ208+AI208+AJ208+AN208+AQ208+AM208+AT208+AU208+AV208+AW208+AP208+AS208)+5</f>
        <v>15</v>
      </c>
      <c r="D208" s="144"/>
      <c r="E208" s="145"/>
      <c r="F208" s="146"/>
      <c r="G208" s="147"/>
      <c r="H208" s="130"/>
      <c r="I208" s="114"/>
      <c r="J208" s="113"/>
      <c r="K208" s="112"/>
      <c r="L208" s="112"/>
      <c r="M208" s="112"/>
      <c r="N208" s="113"/>
      <c r="O208" s="118"/>
      <c r="P208" s="117"/>
      <c r="Q208" s="118"/>
      <c r="R208" s="118"/>
      <c r="S208" s="116"/>
      <c r="T208" s="120"/>
      <c r="U208" s="120"/>
      <c r="V208" s="116"/>
      <c r="W208" s="116"/>
      <c r="X208" s="116">
        <v>10</v>
      </c>
      <c r="Y208" s="120">
        <v>5</v>
      </c>
      <c r="Z208" s="120"/>
      <c r="AA208" s="116"/>
      <c r="AB208" s="118"/>
      <c r="AC208" s="117"/>
      <c r="AD208" s="118"/>
      <c r="AE208" s="118"/>
      <c r="AF208" s="118"/>
      <c r="AG208" s="118"/>
      <c r="AH208" s="117"/>
      <c r="AI208" s="116"/>
      <c r="AJ208" s="120"/>
      <c r="AK208" s="120"/>
      <c r="AL208" s="116"/>
      <c r="AM208" s="116"/>
      <c r="AN208" s="120"/>
      <c r="AO208" s="116"/>
      <c r="AP208" s="116"/>
      <c r="AQ208" s="120"/>
      <c r="AR208" s="116"/>
      <c r="AS208" s="121"/>
      <c r="AT208" s="121"/>
      <c r="AU208" s="493"/>
      <c r="AV208" s="493"/>
    </row>
    <row r="209" spans="1:46" ht="21.1">
      <c r="A209" s="82" t="s">
        <v>105</v>
      </c>
      <c r="B209" s="251"/>
      <c r="C209" s="218"/>
      <c r="D209" s="133"/>
      <c r="E209" s="134"/>
      <c r="F209" s="135"/>
      <c r="G209" s="136"/>
      <c r="H209" s="107"/>
      <c r="I209" s="96" t="s">
        <v>339</v>
      </c>
      <c r="J209" s="104" t="s">
        <v>339</v>
      </c>
      <c r="K209" s="75" t="s">
        <v>339</v>
      </c>
      <c r="L209" s="75" t="s">
        <v>339</v>
      </c>
      <c r="M209" s="75" t="s">
        <v>339</v>
      </c>
      <c r="N209" s="104" t="s">
        <v>339</v>
      </c>
      <c r="O209" s="109" t="s">
        <v>375</v>
      </c>
      <c r="P209" s="108"/>
      <c r="Q209" s="109" t="s">
        <v>369</v>
      </c>
      <c r="R209" s="109" t="s">
        <v>369</v>
      </c>
      <c r="S209" s="100" t="s">
        <v>375</v>
      </c>
      <c r="T209" s="110" t="s">
        <v>339</v>
      </c>
      <c r="U209" s="110" t="s">
        <v>339</v>
      </c>
      <c r="V209" s="100" t="s">
        <v>339</v>
      </c>
      <c r="W209" s="100" t="s">
        <v>339</v>
      </c>
      <c r="X209" s="100" t="s">
        <v>339</v>
      </c>
      <c r="Y209" s="110" t="s">
        <v>339</v>
      </c>
      <c r="Z209" s="110" t="s">
        <v>339</v>
      </c>
      <c r="AA209" s="100" t="s">
        <v>339</v>
      </c>
      <c r="AB209" s="99" t="s">
        <v>339</v>
      </c>
      <c r="AC209" s="108"/>
      <c r="AD209" s="109" t="s">
        <v>369</v>
      </c>
      <c r="AE209" s="109" t="s">
        <v>369</v>
      </c>
      <c r="AF209" s="109" t="s">
        <v>369</v>
      </c>
      <c r="AG209" s="109" t="s">
        <v>369</v>
      </c>
      <c r="AH209" s="108"/>
      <c r="AI209" s="100"/>
      <c r="AJ209" s="110"/>
      <c r="AK209" s="110"/>
      <c r="AL209" s="100"/>
      <c r="AM209" s="100"/>
      <c r="AN209" s="110"/>
      <c r="AO209" s="100"/>
      <c r="AP209" s="100"/>
      <c r="AQ209" s="110"/>
      <c r="AR209" s="100"/>
      <c r="AS209" s="111"/>
      <c r="AT209" s="111"/>
    </row>
    <row r="210" spans="1:46" ht="16.3">
      <c r="A210" s="246" t="s">
        <v>1</v>
      </c>
      <c r="B210" s="248">
        <f>SUM(J210+K210+L210+M210+N210+S210+V210+W210+X210+AA210+AI210+AJ210+AI210+AM210+AP210+AQ210+AS210+AT210+AU210+AV210+AN210)+6</f>
        <v>6</v>
      </c>
      <c r="C210" s="215">
        <f>SUM(J210+K210+L210+M210+N210+S210+W210+X210+V210+AA210+AJ210+AI210+AJ210+AN210+AQ210+AM210+AT210+AU210+AV210+AW210+AP210+AS210)+47</f>
        <v>47</v>
      </c>
      <c r="D210" s="133"/>
      <c r="E210" s="134"/>
      <c r="F210" s="135"/>
      <c r="G210" s="136"/>
      <c r="H210" s="107"/>
      <c r="I210" s="96"/>
      <c r="J210" s="104"/>
      <c r="K210" s="75"/>
      <c r="L210" s="75"/>
      <c r="M210" s="75"/>
      <c r="N210" s="104"/>
      <c r="O210" s="109"/>
      <c r="P210" s="108"/>
      <c r="Q210" s="109">
        <v>1</v>
      </c>
      <c r="R210" s="109">
        <v>1</v>
      </c>
      <c r="S210" s="100"/>
      <c r="T210" s="110"/>
      <c r="U210" s="110"/>
      <c r="V210" s="100"/>
      <c r="W210" s="100"/>
      <c r="X210" s="100"/>
      <c r="Y210" s="110"/>
      <c r="Z210" s="110"/>
      <c r="AA210" s="100"/>
      <c r="AB210" s="109"/>
      <c r="AC210" s="108"/>
      <c r="AD210" s="109">
        <v>1</v>
      </c>
      <c r="AE210" s="109">
        <v>1</v>
      </c>
      <c r="AF210" s="109">
        <v>1</v>
      </c>
      <c r="AG210" s="109">
        <v>1</v>
      </c>
      <c r="AH210" s="108"/>
      <c r="AI210" s="100"/>
      <c r="AJ210" s="110"/>
      <c r="AK210" s="110"/>
      <c r="AL210" s="100"/>
      <c r="AM210" s="100"/>
      <c r="AN210" s="110"/>
      <c r="AO210" s="100"/>
      <c r="AP210" s="100"/>
      <c r="AQ210" s="110"/>
      <c r="AR210" s="100"/>
      <c r="AS210" s="111"/>
      <c r="AT210" s="111"/>
    </row>
    <row r="211" spans="1:46" ht="16.3">
      <c r="A211" s="246" t="s">
        <v>2</v>
      </c>
      <c r="B211" s="248">
        <f>SUM(J211+K211+L211+M211+N211+S211+V211+W211+X211+AA211+AI211+AJ211+AI211+AM211+AP211+AQ211+AS211+AT211+AU211+AV211)+6</f>
        <v>7</v>
      </c>
      <c r="C211" s="215">
        <f>SUM(J211+K211+L211+M211+N211+S211+W211+X211+V211+AA211+AJ211+AI211+AJ211+AN211+AQ211+AM211+AT211+AU211+AV211+AW211+AP211+AS211)+38</f>
        <v>39</v>
      </c>
      <c r="D211" s="133"/>
      <c r="E211" s="134"/>
      <c r="F211" s="135"/>
      <c r="G211" s="136"/>
      <c r="H211" s="107"/>
      <c r="I211" s="96"/>
      <c r="J211" s="104"/>
      <c r="K211" s="75"/>
      <c r="L211" s="75"/>
      <c r="M211" s="75"/>
      <c r="N211" s="104"/>
      <c r="O211" s="109">
        <v>1</v>
      </c>
      <c r="P211" s="108"/>
      <c r="Q211" s="109"/>
      <c r="R211" s="109"/>
      <c r="S211" s="100">
        <v>1</v>
      </c>
      <c r="T211" s="110"/>
      <c r="U211" s="110"/>
      <c r="V211" s="100"/>
      <c r="W211" s="100"/>
      <c r="X211" s="100"/>
      <c r="Y211" s="110"/>
      <c r="Z211" s="110"/>
      <c r="AA211" s="100"/>
      <c r="AB211" s="109"/>
      <c r="AC211" s="108"/>
      <c r="AD211" s="109"/>
      <c r="AE211" s="109"/>
      <c r="AF211" s="109"/>
      <c r="AG211" s="109"/>
      <c r="AH211" s="108"/>
      <c r="AI211" s="100"/>
      <c r="AJ211" s="110"/>
      <c r="AK211" s="110"/>
      <c r="AL211" s="100"/>
      <c r="AM211" s="100"/>
      <c r="AN211" s="110"/>
      <c r="AO211" s="100"/>
      <c r="AP211" s="100"/>
      <c r="AQ211" s="110"/>
      <c r="AR211" s="100"/>
      <c r="AS211" s="111"/>
      <c r="AT211" s="111"/>
    </row>
    <row r="212" spans="1:46" ht="16.3">
      <c r="A212" s="83" t="s">
        <v>363</v>
      </c>
      <c r="B212" s="247">
        <f>SUM(B210+B211)</f>
        <v>13</v>
      </c>
      <c r="C212" s="214">
        <f>SUM(C210+C211)</f>
        <v>86</v>
      </c>
      <c r="D212" s="133"/>
      <c r="E212" s="134"/>
      <c r="F212" s="135"/>
      <c r="G212" s="136"/>
      <c r="H212" s="107"/>
      <c r="I212" s="96"/>
      <c r="J212" s="104"/>
      <c r="K212" s="75"/>
      <c r="L212" s="75"/>
      <c r="M212" s="75"/>
      <c r="N212" s="104"/>
      <c r="O212" s="109"/>
      <c r="P212" s="108"/>
      <c r="Q212" s="109"/>
      <c r="R212" s="109"/>
      <c r="S212" s="100"/>
      <c r="T212" s="110"/>
      <c r="U212" s="110"/>
      <c r="V212" s="100"/>
      <c r="W212" s="100"/>
      <c r="X212" s="100"/>
      <c r="Y212" s="110"/>
      <c r="Z212" s="110"/>
      <c r="AA212" s="100"/>
      <c r="AB212" s="109"/>
      <c r="AC212" s="108"/>
      <c r="AD212" s="109"/>
      <c r="AE212" s="109"/>
      <c r="AF212" s="109"/>
      <c r="AG212" s="109"/>
      <c r="AH212" s="108"/>
      <c r="AI212" s="100"/>
      <c r="AJ212" s="110"/>
      <c r="AK212" s="110"/>
      <c r="AL212" s="100"/>
      <c r="AM212" s="100"/>
      <c r="AN212" s="110"/>
      <c r="AO212" s="100"/>
      <c r="AP212" s="100"/>
      <c r="AQ212" s="110"/>
      <c r="AR212" s="100"/>
      <c r="AS212" s="111"/>
      <c r="AT212" s="111"/>
    </row>
    <row r="213" spans="1:46" ht="16.3">
      <c r="A213" s="83" t="s">
        <v>3</v>
      </c>
      <c r="B213" s="247">
        <f>SUM(J213+K213+L213+M213+N213+S213+V213+W213+X213+AA213+AI213+AJ213+AI213+AM213+AP213+AQ213+AS213+AT213+AU213+AV213)</f>
        <v>0</v>
      </c>
      <c r="C213" s="214">
        <f>SUM(J213+K213+L213+M213+N213+S213+W213+X213+V213+AA213+AJ213+AI213+AJ213+AN213+AQ213+AM213+AT213+AU213+AV213+AW213+AP213+AS213)+6</f>
        <v>6</v>
      </c>
      <c r="D213" s="133"/>
      <c r="E213" s="134"/>
      <c r="F213" s="135"/>
      <c r="G213" s="136"/>
      <c r="H213" s="107"/>
      <c r="I213" s="96"/>
      <c r="J213" s="104"/>
      <c r="K213" s="75"/>
      <c r="L213" s="75"/>
      <c r="M213" s="75"/>
      <c r="N213" s="104"/>
      <c r="O213" s="109"/>
      <c r="P213" s="108"/>
      <c r="Q213" s="109"/>
      <c r="R213" s="109"/>
      <c r="S213" s="100"/>
      <c r="T213" s="110"/>
      <c r="U213" s="110"/>
      <c r="V213" s="100"/>
      <c r="W213" s="100"/>
      <c r="X213" s="100"/>
      <c r="Y213" s="110"/>
      <c r="Z213" s="110"/>
      <c r="AA213" s="100"/>
      <c r="AB213" s="109"/>
      <c r="AC213" s="108"/>
      <c r="AD213" s="109"/>
      <c r="AE213" s="109"/>
      <c r="AF213" s="109"/>
      <c r="AG213" s="109"/>
      <c r="AH213" s="108"/>
      <c r="AI213" s="100"/>
      <c r="AJ213" s="110"/>
      <c r="AK213" s="110"/>
      <c r="AL213" s="100"/>
      <c r="AM213" s="100"/>
      <c r="AN213" s="110"/>
      <c r="AO213" s="100"/>
      <c r="AP213" s="100"/>
      <c r="AQ213" s="110"/>
      <c r="AR213" s="100"/>
      <c r="AS213" s="111"/>
      <c r="AT213" s="111"/>
    </row>
    <row r="214" spans="1:46" ht="17" thickBot="1">
      <c r="A214" s="85" t="s">
        <v>4</v>
      </c>
      <c r="B214" s="250">
        <f>SUM(J214+K214+L214+M214+N214+S214+V214+W214+X214+AA214+AI214+AJ214+AI214+AM214+AP214+AQ214+AS214+AT214+AU214+AV214)</f>
        <v>0</v>
      </c>
      <c r="C214" s="217">
        <f>SUM(J214+K214+L214+M214+N214+S214+W214+X214+V214+AA214+AJ214+AI214+AJ214+AN214+AQ214+AM214+AT214+AU214+AV214+AW214+AP214+AS214)+30</f>
        <v>30</v>
      </c>
      <c r="D214" s="144"/>
      <c r="E214" s="145"/>
      <c r="F214" s="146"/>
      <c r="G214" s="147"/>
      <c r="H214" s="130"/>
      <c r="I214" s="114"/>
      <c r="J214" s="113"/>
      <c r="K214" s="112"/>
      <c r="L214" s="112"/>
      <c r="M214" s="112"/>
      <c r="N214" s="113"/>
      <c r="O214" s="118"/>
      <c r="P214" s="117"/>
      <c r="Q214" s="118"/>
      <c r="R214" s="118"/>
      <c r="S214" s="116"/>
      <c r="T214" s="120"/>
      <c r="U214" s="120"/>
      <c r="V214" s="116"/>
      <c r="W214" s="116"/>
      <c r="X214" s="116"/>
      <c r="Y214" s="120"/>
      <c r="Z214" s="120"/>
      <c r="AA214" s="116"/>
      <c r="AB214" s="118"/>
      <c r="AC214" s="117"/>
      <c r="AD214" s="118"/>
      <c r="AE214" s="118"/>
      <c r="AF214" s="118"/>
      <c r="AG214" s="118"/>
      <c r="AH214" s="117"/>
      <c r="AI214" s="116"/>
      <c r="AJ214" s="120"/>
      <c r="AK214" s="120"/>
      <c r="AL214" s="116"/>
      <c r="AM214" s="116"/>
      <c r="AN214" s="120"/>
      <c r="AO214" s="116"/>
      <c r="AP214" s="116"/>
      <c r="AQ214" s="120"/>
      <c r="AR214" s="116"/>
      <c r="AS214" s="121"/>
      <c r="AT214" s="121"/>
    </row>
    <row r="215" spans="1:46" ht="21.1">
      <c r="A215" s="82" t="s">
        <v>977</v>
      </c>
      <c r="B215" s="247"/>
      <c r="C215" s="214"/>
      <c r="D215" s="133"/>
      <c r="E215" s="134"/>
      <c r="F215" s="135"/>
      <c r="G215" s="136"/>
      <c r="H215" s="107"/>
      <c r="I215" s="96"/>
      <c r="J215" s="104"/>
      <c r="K215" s="75"/>
      <c r="L215" s="75"/>
      <c r="M215" s="75"/>
      <c r="N215" s="104"/>
      <c r="O215" s="109" t="s">
        <v>786</v>
      </c>
      <c r="P215" s="108"/>
      <c r="Q215" s="109" t="s">
        <v>375</v>
      </c>
      <c r="R215" s="109" t="s">
        <v>375</v>
      </c>
      <c r="S215" s="100"/>
      <c r="T215" s="110"/>
      <c r="U215" s="110"/>
      <c r="V215" s="100"/>
      <c r="W215" s="102" t="s">
        <v>375</v>
      </c>
      <c r="X215" s="102" t="s">
        <v>375</v>
      </c>
      <c r="Y215" s="101"/>
      <c r="Z215" s="101" t="s">
        <v>984</v>
      </c>
      <c r="AA215" s="102" t="s">
        <v>984</v>
      </c>
      <c r="AB215" s="99" t="s">
        <v>369</v>
      </c>
      <c r="AC215" s="98"/>
      <c r="AD215" s="109" t="s">
        <v>984</v>
      </c>
      <c r="AE215" s="99" t="s">
        <v>984</v>
      </c>
      <c r="AF215" s="99" t="s">
        <v>984</v>
      </c>
      <c r="AG215" s="99" t="s">
        <v>984</v>
      </c>
      <c r="AH215" s="98"/>
      <c r="AI215" s="102"/>
      <c r="AJ215" s="101"/>
      <c r="AK215" s="101"/>
      <c r="AL215" s="102"/>
      <c r="AM215" s="102"/>
      <c r="AN215" s="101"/>
      <c r="AO215" s="102"/>
      <c r="AP215" s="102"/>
      <c r="AQ215" s="101"/>
      <c r="AR215" s="102"/>
      <c r="AS215" s="103"/>
      <c r="AT215" s="103"/>
    </row>
    <row r="216" spans="1:46" ht="16.3">
      <c r="A216" s="246" t="s">
        <v>1</v>
      </c>
      <c r="B216" s="248">
        <f>SUM(J216+K216+L216+M216+N216+S216+V216+W216+X216+AA216+AI216+AJ216+AI216+AM216+AP216+AQ216+AS216+AT216+AU216+AV216+AN216)</f>
        <v>0</v>
      </c>
      <c r="C216" s="215">
        <f>B216</f>
        <v>0</v>
      </c>
      <c r="D216" s="133"/>
      <c r="E216" s="134"/>
      <c r="F216" s="135"/>
      <c r="G216" s="136"/>
      <c r="H216" s="107"/>
      <c r="I216" s="96"/>
      <c r="J216" s="104"/>
      <c r="K216" s="75"/>
      <c r="L216" s="75"/>
      <c r="M216" s="75"/>
      <c r="N216" s="104"/>
      <c r="O216" s="109">
        <v>1</v>
      </c>
      <c r="P216" s="108"/>
      <c r="Q216" s="109"/>
      <c r="R216" s="109"/>
      <c r="S216" s="100"/>
      <c r="T216" s="110"/>
      <c r="U216" s="110"/>
      <c r="V216" s="100"/>
      <c r="W216" s="100"/>
      <c r="X216" s="100"/>
      <c r="Y216" s="110"/>
      <c r="Z216" s="110"/>
      <c r="AA216" s="100"/>
      <c r="AB216" s="109">
        <v>1</v>
      </c>
      <c r="AC216" s="108"/>
      <c r="AD216" s="109"/>
      <c r="AE216" s="109"/>
      <c r="AF216" s="109"/>
      <c r="AG216" s="109"/>
      <c r="AH216" s="108"/>
      <c r="AI216" s="100"/>
      <c r="AJ216" s="110"/>
      <c r="AK216" s="110"/>
      <c r="AL216" s="100"/>
      <c r="AM216" s="100"/>
      <c r="AN216" s="110"/>
      <c r="AO216" s="100"/>
      <c r="AP216" s="100"/>
      <c r="AQ216" s="110"/>
      <c r="AR216" s="100"/>
      <c r="AS216" s="111"/>
      <c r="AT216" s="111"/>
    </row>
    <row r="217" spans="1:46" ht="16.3">
      <c r="A217" s="246" t="s">
        <v>2</v>
      </c>
      <c r="B217" s="248">
        <f>SUM(J217+K217+L217+M217+N217+S217+V217+W217+X217+AA217+AI217+AJ217+AI217+AM217+AP217+AQ217+AS217+AT217+AU217+AV217)</f>
        <v>2</v>
      </c>
      <c r="C217" s="215">
        <f t="shared" ref="C217:C220" si="40">B217</f>
        <v>2</v>
      </c>
      <c r="D217" s="133"/>
      <c r="E217" s="134"/>
      <c r="F217" s="135"/>
      <c r="G217" s="136"/>
      <c r="H217" s="107"/>
      <c r="I217" s="96"/>
      <c r="J217" s="104"/>
      <c r="K217" s="75"/>
      <c r="L217" s="75"/>
      <c r="M217" s="75"/>
      <c r="N217" s="104"/>
      <c r="O217" s="109"/>
      <c r="P217" s="108"/>
      <c r="Q217" s="109">
        <v>1</v>
      </c>
      <c r="R217" s="109">
        <v>1</v>
      </c>
      <c r="S217" s="100"/>
      <c r="T217" s="110"/>
      <c r="U217" s="110"/>
      <c r="V217" s="100"/>
      <c r="W217" s="100">
        <v>1</v>
      </c>
      <c r="X217" s="100">
        <v>1</v>
      </c>
      <c r="Y217" s="110"/>
      <c r="Z217" s="110"/>
      <c r="AA217" s="100"/>
      <c r="AB217" s="109"/>
      <c r="AC217" s="108"/>
      <c r="AD217" s="109"/>
      <c r="AE217" s="109"/>
      <c r="AF217" s="109"/>
      <c r="AG217" s="109"/>
      <c r="AH217" s="108"/>
      <c r="AI217" s="100"/>
      <c r="AJ217" s="110"/>
      <c r="AK217" s="110"/>
      <c r="AL217" s="100"/>
      <c r="AM217" s="100"/>
      <c r="AN217" s="110"/>
      <c r="AO217" s="100"/>
      <c r="AP217" s="100"/>
      <c r="AQ217" s="110"/>
      <c r="AR217" s="100"/>
      <c r="AS217" s="111"/>
      <c r="AT217" s="111"/>
    </row>
    <row r="218" spans="1:46" ht="16.3">
      <c r="A218" s="83" t="s">
        <v>363</v>
      </c>
      <c r="B218" s="247">
        <f>SUM(B216+B217)</f>
        <v>2</v>
      </c>
      <c r="C218" s="214">
        <f t="shared" si="40"/>
        <v>2</v>
      </c>
      <c r="D218" s="133"/>
      <c r="E218" s="134"/>
      <c r="F218" s="135"/>
      <c r="G218" s="136"/>
      <c r="H218" s="107"/>
      <c r="I218" s="96"/>
      <c r="J218" s="104"/>
      <c r="K218" s="75"/>
      <c r="L218" s="75"/>
      <c r="M218" s="75"/>
      <c r="N218" s="104"/>
      <c r="O218" s="109"/>
      <c r="P218" s="108"/>
      <c r="Q218" s="109"/>
      <c r="R218" s="109"/>
      <c r="S218" s="100"/>
      <c r="T218" s="110"/>
      <c r="U218" s="110"/>
      <c r="V218" s="100"/>
      <c r="W218" s="100"/>
      <c r="X218" s="100"/>
      <c r="Y218" s="110"/>
      <c r="Z218" s="110"/>
      <c r="AA218" s="100"/>
      <c r="AB218" s="109"/>
      <c r="AC218" s="108"/>
      <c r="AD218" s="109"/>
      <c r="AE218" s="109"/>
      <c r="AF218" s="109"/>
      <c r="AG218" s="109"/>
      <c r="AH218" s="108"/>
      <c r="AI218" s="100"/>
      <c r="AJ218" s="110"/>
      <c r="AK218" s="110"/>
      <c r="AL218" s="100"/>
      <c r="AM218" s="100"/>
      <c r="AN218" s="110"/>
      <c r="AO218" s="100"/>
      <c r="AP218" s="100"/>
      <c r="AQ218" s="110"/>
      <c r="AR218" s="100"/>
      <c r="AS218" s="111"/>
      <c r="AT218" s="111"/>
    </row>
    <row r="219" spans="1:46" ht="16.3">
      <c r="A219" s="83" t="s">
        <v>3</v>
      </c>
      <c r="B219" s="247">
        <f>SUM(J219+K219+L219+M219+N219+S219+V219+W219+X219+AA219+AI219+AJ219+AI219+AM219+AP219+AQ219+AS219+AT219+AU219+AV219)</f>
        <v>0</v>
      </c>
      <c r="C219" s="214">
        <f t="shared" si="40"/>
        <v>0</v>
      </c>
      <c r="D219" s="133"/>
      <c r="E219" s="134"/>
      <c r="F219" s="135"/>
      <c r="G219" s="136"/>
      <c r="H219" s="107"/>
      <c r="I219" s="96"/>
      <c r="J219" s="104"/>
      <c r="K219" s="75"/>
      <c r="L219" s="75"/>
      <c r="M219" s="75"/>
      <c r="N219" s="104"/>
      <c r="O219" s="109"/>
      <c r="P219" s="108"/>
      <c r="Q219" s="109"/>
      <c r="R219" s="109">
        <v>1</v>
      </c>
      <c r="S219" s="100"/>
      <c r="T219" s="110"/>
      <c r="U219" s="110"/>
      <c r="V219" s="100"/>
      <c r="W219" s="100"/>
      <c r="X219" s="100"/>
      <c r="Y219" s="110"/>
      <c r="Z219" s="110"/>
      <c r="AA219" s="100"/>
      <c r="AB219" s="109"/>
      <c r="AC219" s="108"/>
      <c r="AD219" s="109"/>
      <c r="AE219" s="109"/>
      <c r="AF219" s="109"/>
      <c r="AG219" s="109"/>
      <c r="AH219" s="108"/>
      <c r="AI219" s="100"/>
      <c r="AJ219" s="110"/>
      <c r="AK219" s="110"/>
      <c r="AL219" s="100"/>
      <c r="AM219" s="100"/>
      <c r="AN219" s="110"/>
      <c r="AO219" s="100"/>
      <c r="AP219" s="100"/>
      <c r="AQ219" s="110"/>
      <c r="AR219" s="100"/>
      <c r="AS219" s="111"/>
      <c r="AT219" s="111"/>
    </row>
    <row r="220" spans="1:46" ht="17" thickBot="1">
      <c r="A220" s="85" t="s">
        <v>4</v>
      </c>
      <c r="B220" s="250">
        <f>SUM(J220+K220+L220+M220+N220+S220+V220+W220+X220+AA220+AI220+AJ220+AI220+AM220+AP220+AQ220+AS220+AT220+AU220+AV220)</f>
        <v>0</v>
      </c>
      <c r="C220" s="217">
        <f t="shared" si="40"/>
        <v>0</v>
      </c>
      <c r="D220" s="144"/>
      <c r="E220" s="145"/>
      <c r="F220" s="146"/>
      <c r="G220" s="147"/>
      <c r="H220" s="130"/>
      <c r="I220" s="114"/>
      <c r="J220" s="113"/>
      <c r="K220" s="112"/>
      <c r="L220" s="112"/>
      <c r="M220" s="112"/>
      <c r="N220" s="113"/>
      <c r="O220" s="118"/>
      <c r="P220" s="127"/>
      <c r="Q220" s="118"/>
      <c r="R220" s="118">
        <v>5</v>
      </c>
      <c r="S220" s="116"/>
      <c r="T220" s="120"/>
      <c r="U220" s="120"/>
      <c r="V220" s="112"/>
      <c r="W220" s="116"/>
      <c r="X220" s="116"/>
      <c r="Y220" s="120"/>
      <c r="Z220" s="120"/>
      <c r="AA220" s="116"/>
      <c r="AB220" s="118"/>
      <c r="AC220" s="117"/>
      <c r="AD220" s="118"/>
      <c r="AE220" s="118"/>
      <c r="AF220" s="118"/>
      <c r="AG220" s="118"/>
      <c r="AH220" s="117"/>
      <c r="AI220" s="116"/>
      <c r="AJ220" s="120"/>
      <c r="AK220" s="120"/>
      <c r="AL220" s="116"/>
      <c r="AM220" s="116"/>
      <c r="AN220" s="120"/>
      <c r="AO220" s="116"/>
      <c r="AP220" s="116"/>
      <c r="AQ220" s="120"/>
      <c r="AR220" s="116"/>
      <c r="AS220" s="121"/>
      <c r="AT220" s="121"/>
    </row>
    <row r="221" spans="1:46" ht="21.1">
      <c r="A221" s="82" t="s">
        <v>1028</v>
      </c>
      <c r="B221" s="247"/>
      <c r="C221" s="214"/>
      <c r="D221" s="133"/>
      <c r="E221" s="134"/>
      <c r="F221" s="135"/>
      <c r="G221" s="136"/>
      <c r="H221" s="107"/>
      <c r="I221" s="96" t="s">
        <v>1029</v>
      </c>
      <c r="J221" s="104" t="s">
        <v>344</v>
      </c>
      <c r="K221" s="75" t="s">
        <v>344</v>
      </c>
      <c r="L221" s="75" t="s">
        <v>344</v>
      </c>
      <c r="M221" s="75" t="s">
        <v>344</v>
      </c>
      <c r="N221" s="104" t="s">
        <v>344</v>
      </c>
      <c r="O221" s="109" t="s">
        <v>344</v>
      </c>
      <c r="P221" s="108" t="s">
        <v>344</v>
      </c>
      <c r="Q221" s="109" t="s">
        <v>344</v>
      </c>
      <c r="R221" s="109" t="s">
        <v>344</v>
      </c>
      <c r="S221" s="100" t="s">
        <v>344</v>
      </c>
      <c r="T221" s="110" t="s">
        <v>344</v>
      </c>
      <c r="U221" s="110" t="s">
        <v>344</v>
      </c>
      <c r="V221" s="100" t="s">
        <v>344</v>
      </c>
      <c r="W221" s="100" t="s">
        <v>344</v>
      </c>
      <c r="X221" s="100" t="s">
        <v>344</v>
      </c>
      <c r="Y221" s="110" t="s">
        <v>344</v>
      </c>
      <c r="Z221" s="110" t="s">
        <v>344</v>
      </c>
      <c r="AA221" s="100" t="s">
        <v>344</v>
      </c>
      <c r="AB221" s="109" t="s">
        <v>344</v>
      </c>
      <c r="AC221" s="108" t="s">
        <v>719</v>
      </c>
      <c r="AD221" s="109" t="s">
        <v>432</v>
      </c>
      <c r="AE221" s="109" t="s">
        <v>375</v>
      </c>
      <c r="AF221" s="109"/>
      <c r="AG221" s="109" t="s">
        <v>375</v>
      </c>
      <c r="AH221" s="108"/>
      <c r="AI221" s="100"/>
      <c r="AJ221" s="110"/>
      <c r="AK221" s="110"/>
      <c r="AL221" s="100"/>
      <c r="AM221" s="100"/>
      <c r="AN221" s="110"/>
      <c r="AO221" s="100"/>
      <c r="AP221" s="100"/>
      <c r="AQ221" s="110"/>
      <c r="AR221" s="100"/>
      <c r="AS221" s="111"/>
      <c r="AT221" s="111"/>
    </row>
    <row r="222" spans="1:46" ht="16.3">
      <c r="A222" s="246" t="s">
        <v>1</v>
      </c>
      <c r="B222" s="248">
        <f>SUM(J222+K222+L222+M222+N222+S222+V222+W222+X222+AA222+AI222+AJ222+AI222+AM222+AP222+AQ222+AS222+AT222+AU222+AV222+AN222)</f>
        <v>0</v>
      </c>
      <c r="C222" s="215">
        <f>B222</f>
        <v>0</v>
      </c>
      <c r="D222" s="133"/>
      <c r="E222" s="134"/>
      <c r="F222" s="135"/>
      <c r="G222" s="136"/>
      <c r="H222" s="107"/>
      <c r="I222" s="96"/>
      <c r="J222" s="104"/>
      <c r="K222" s="75"/>
      <c r="L222" s="75"/>
      <c r="M222" s="75"/>
      <c r="N222" s="104"/>
      <c r="O222" s="109"/>
      <c r="P222" s="108"/>
      <c r="Q222" s="109"/>
      <c r="R222" s="109"/>
      <c r="S222" s="100"/>
      <c r="T222" s="110"/>
      <c r="U222" s="110"/>
      <c r="V222" s="100"/>
      <c r="W222" s="100"/>
      <c r="X222" s="100"/>
      <c r="Y222" s="110"/>
      <c r="Z222" s="110"/>
      <c r="AA222" s="100"/>
      <c r="AB222" s="109"/>
      <c r="AC222" s="108"/>
      <c r="AD222" s="109"/>
      <c r="AE222" s="109"/>
      <c r="AF222" s="109"/>
      <c r="AG222" s="109"/>
      <c r="AH222" s="108"/>
      <c r="AI222" s="100"/>
      <c r="AJ222" s="110"/>
      <c r="AK222" s="110"/>
      <c r="AL222" s="100"/>
      <c r="AM222" s="100"/>
      <c r="AN222" s="110"/>
      <c r="AO222" s="100"/>
      <c r="AP222" s="100"/>
      <c r="AQ222" s="110"/>
      <c r="AR222" s="100"/>
      <c r="AS222" s="111"/>
      <c r="AT222" s="111"/>
    </row>
    <row r="223" spans="1:46" ht="16.3">
      <c r="A223" s="246" t="s">
        <v>2</v>
      </c>
      <c r="B223" s="248">
        <f>SUM(J223+K223+L223+M223+N223+S223+V223+W223+X223+AA223+AI223+AJ223+AI223+AM223+AP223+AQ223+AS223+AT223+AU223+AV223)</f>
        <v>0</v>
      </c>
      <c r="C223" s="215">
        <f t="shared" ref="C223:C226" si="41">B223</f>
        <v>0</v>
      </c>
      <c r="D223" s="133"/>
      <c r="E223" s="134"/>
      <c r="F223" s="135"/>
      <c r="G223" s="136"/>
      <c r="H223" s="107"/>
      <c r="I223" s="96"/>
      <c r="J223" s="104"/>
      <c r="K223" s="75"/>
      <c r="L223" s="75"/>
      <c r="M223" s="75"/>
      <c r="N223" s="104"/>
      <c r="O223" s="109"/>
      <c r="P223" s="108"/>
      <c r="Q223" s="109"/>
      <c r="R223" s="109"/>
      <c r="S223" s="100"/>
      <c r="T223" s="110"/>
      <c r="U223" s="110"/>
      <c r="V223" s="100"/>
      <c r="W223" s="100"/>
      <c r="X223" s="100"/>
      <c r="Y223" s="110"/>
      <c r="Z223" s="110"/>
      <c r="AA223" s="100"/>
      <c r="AB223" s="109"/>
      <c r="AC223" s="108"/>
      <c r="AD223" s="109">
        <v>1</v>
      </c>
      <c r="AE223" s="109">
        <v>1</v>
      </c>
      <c r="AF223" s="109"/>
      <c r="AG223" s="109">
        <v>1</v>
      </c>
      <c r="AH223" s="108"/>
      <c r="AI223" s="100"/>
      <c r="AJ223" s="110"/>
      <c r="AK223" s="110"/>
      <c r="AL223" s="100"/>
      <c r="AM223" s="100"/>
      <c r="AN223" s="110"/>
      <c r="AO223" s="100"/>
      <c r="AP223" s="100"/>
      <c r="AQ223" s="110"/>
      <c r="AR223" s="100"/>
      <c r="AS223" s="111"/>
      <c r="AT223" s="111"/>
    </row>
    <row r="224" spans="1:46" ht="16.3">
      <c r="A224" s="83" t="s">
        <v>363</v>
      </c>
      <c r="B224" s="247">
        <f>SUM(B222+B223)</f>
        <v>0</v>
      </c>
      <c r="C224" s="214">
        <f t="shared" si="41"/>
        <v>0</v>
      </c>
      <c r="D224" s="133"/>
      <c r="E224" s="134"/>
      <c r="F224" s="135"/>
      <c r="G224" s="136"/>
      <c r="H224" s="107"/>
      <c r="I224" s="96"/>
      <c r="J224" s="104"/>
      <c r="K224" s="75"/>
      <c r="L224" s="75"/>
      <c r="M224" s="75"/>
      <c r="N224" s="104"/>
      <c r="O224" s="109"/>
      <c r="P224" s="108"/>
      <c r="Q224" s="109"/>
      <c r="R224" s="109"/>
      <c r="S224" s="100"/>
      <c r="T224" s="110"/>
      <c r="U224" s="110"/>
      <c r="V224" s="100"/>
      <c r="W224" s="100"/>
      <c r="X224" s="100"/>
      <c r="Y224" s="110"/>
      <c r="Z224" s="110"/>
      <c r="AA224" s="100"/>
      <c r="AB224" s="109"/>
      <c r="AC224" s="108"/>
      <c r="AD224" s="109"/>
      <c r="AE224" s="109"/>
      <c r="AF224" s="109"/>
      <c r="AG224" s="109"/>
      <c r="AH224" s="108"/>
      <c r="AI224" s="100"/>
      <c r="AJ224" s="110"/>
      <c r="AK224" s="110"/>
      <c r="AL224" s="100"/>
      <c r="AM224" s="100"/>
      <c r="AN224" s="110"/>
      <c r="AO224" s="100"/>
      <c r="AP224" s="100"/>
      <c r="AQ224" s="110"/>
      <c r="AR224" s="100"/>
      <c r="AS224" s="111"/>
      <c r="AT224" s="111"/>
    </row>
    <row r="225" spans="1:46" ht="16.3">
      <c r="A225" s="83" t="s">
        <v>3</v>
      </c>
      <c r="B225" s="247">
        <f>SUM(J225+K225+L225+M225+N225+S225+V225+W225+X225+AA225+AI225+AJ225+AI225+AM225+AP225+AQ225+AS225+AT225+AU225+AV225)</f>
        <v>0</v>
      </c>
      <c r="C225" s="214">
        <f t="shared" si="41"/>
        <v>0</v>
      </c>
      <c r="D225" s="133"/>
      <c r="E225" s="134"/>
      <c r="F225" s="135"/>
      <c r="G225" s="136"/>
      <c r="H225" s="107"/>
      <c r="I225" s="96"/>
      <c r="J225" s="104"/>
      <c r="K225" s="75"/>
      <c r="L225" s="75"/>
      <c r="M225" s="75"/>
      <c r="N225" s="104"/>
      <c r="O225" s="109"/>
      <c r="P225" s="108"/>
      <c r="Q225" s="109"/>
      <c r="R225" s="109"/>
      <c r="S225" s="100"/>
      <c r="T225" s="110"/>
      <c r="U225" s="110"/>
      <c r="V225" s="100"/>
      <c r="W225" s="100"/>
      <c r="X225" s="100"/>
      <c r="Y225" s="110"/>
      <c r="Z225" s="110"/>
      <c r="AA225" s="100"/>
      <c r="AB225" s="109"/>
      <c r="AC225" s="108"/>
      <c r="AD225" s="109"/>
      <c r="AE225" s="109"/>
      <c r="AF225" s="109"/>
      <c r="AG225" s="109"/>
      <c r="AH225" s="108"/>
      <c r="AI225" s="100"/>
      <c r="AJ225" s="110"/>
      <c r="AK225" s="110"/>
      <c r="AL225" s="100"/>
      <c r="AM225" s="100"/>
      <c r="AN225" s="110"/>
      <c r="AO225" s="100"/>
      <c r="AP225" s="100"/>
      <c r="AQ225" s="110"/>
      <c r="AR225" s="100"/>
      <c r="AS225" s="111"/>
      <c r="AT225" s="111"/>
    </row>
    <row r="226" spans="1:46" ht="17" thickBot="1">
      <c r="A226" s="85" t="s">
        <v>4</v>
      </c>
      <c r="B226" s="250">
        <f>SUM(J226+K226+L226+M226+N226+S226+V226+W226+X226+AA226+AI226+AJ226+AI226+AM226+AP226+AQ226+AS226+AT226+AU226+AV226)</f>
        <v>0</v>
      </c>
      <c r="C226" s="217">
        <f t="shared" si="41"/>
        <v>0</v>
      </c>
      <c r="D226" s="144"/>
      <c r="E226" s="145"/>
      <c r="F226" s="146"/>
      <c r="G226" s="147"/>
      <c r="H226" s="130"/>
      <c r="I226" s="114"/>
      <c r="J226" s="113"/>
      <c r="K226" s="112"/>
      <c r="L226" s="112"/>
      <c r="M226" s="112"/>
      <c r="N226" s="113"/>
      <c r="O226" s="118"/>
      <c r="P226" s="117"/>
      <c r="Q226" s="118"/>
      <c r="R226" s="118"/>
      <c r="S226" s="116"/>
      <c r="T226" s="120"/>
      <c r="U226" s="120"/>
      <c r="V226" s="116"/>
      <c r="W226" s="116"/>
      <c r="X226" s="116"/>
      <c r="Y226" s="120"/>
      <c r="Z226" s="120"/>
      <c r="AA226" s="116"/>
      <c r="AB226" s="118"/>
      <c r="AC226" s="117"/>
      <c r="AD226" s="118"/>
      <c r="AE226" s="118"/>
      <c r="AF226" s="118"/>
      <c r="AG226" s="118"/>
      <c r="AH226" s="117"/>
      <c r="AI226" s="116"/>
      <c r="AJ226" s="120"/>
      <c r="AK226" s="120"/>
      <c r="AL226" s="116"/>
      <c r="AM226" s="116"/>
      <c r="AN226" s="120"/>
      <c r="AO226" s="116"/>
      <c r="AP226" s="116"/>
      <c r="AQ226" s="120"/>
      <c r="AR226" s="116"/>
      <c r="AS226" s="121"/>
      <c r="AT226" s="121"/>
    </row>
    <row r="227" spans="1:46" ht="21.1">
      <c r="A227" s="82" t="s">
        <v>33</v>
      </c>
      <c r="B227" s="247"/>
      <c r="C227" s="214"/>
      <c r="D227" s="133"/>
      <c r="E227" s="134"/>
      <c r="F227" s="135"/>
      <c r="G227" s="136"/>
      <c r="H227" s="107"/>
      <c r="I227" s="96" t="s">
        <v>370</v>
      </c>
      <c r="J227" s="104" t="s">
        <v>370</v>
      </c>
      <c r="K227" s="75" t="s">
        <v>717</v>
      </c>
      <c r="L227" s="75" t="s">
        <v>370</v>
      </c>
      <c r="M227" s="75" t="s">
        <v>370</v>
      </c>
      <c r="N227" s="104" t="s">
        <v>370</v>
      </c>
      <c r="O227" s="109"/>
      <c r="P227" s="108"/>
      <c r="Q227" s="109"/>
      <c r="R227" s="109"/>
      <c r="S227" s="100" t="s">
        <v>370</v>
      </c>
      <c r="T227" s="110" t="s">
        <v>370</v>
      </c>
      <c r="U227" s="110" t="s">
        <v>370</v>
      </c>
      <c r="V227" s="100" t="s">
        <v>370</v>
      </c>
      <c r="W227" s="100" t="s">
        <v>370</v>
      </c>
      <c r="X227" s="100"/>
      <c r="Y227" s="110" t="s">
        <v>370</v>
      </c>
      <c r="Z227" s="110" t="s">
        <v>370</v>
      </c>
      <c r="AA227" s="100" t="s">
        <v>370</v>
      </c>
      <c r="AB227" s="109" t="s">
        <v>775</v>
      </c>
      <c r="AC227" s="108"/>
      <c r="AD227" s="109" t="s">
        <v>775</v>
      </c>
      <c r="AE227" s="109" t="s">
        <v>775</v>
      </c>
      <c r="AF227" s="109" t="s">
        <v>775</v>
      </c>
      <c r="AG227" s="109" t="s">
        <v>775</v>
      </c>
      <c r="AH227" s="108"/>
      <c r="AI227" s="100"/>
      <c r="AJ227" s="110"/>
      <c r="AK227" s="110"/>
      <c r="AL227" s="100"/>
      <c r="AM227" s="100"/>
      <c r="AN227" s="110"/>
      <c r="AO227" s="100"/>
      <c r="AP227" s="100"/>
      <c r="AQ227" s="110"/>
      <c r="AR227" s="100"/>
      <c r="AS227" s="111"/>
      <c r="AT227" s="111"/>
    </row>
    <row r="228" spans="1:46" ht="16.3">
      <c r="A228" s="246" t="s">
        <v>1</v>
      </c>
      <c r="B228" s="248">
        <f>SUM(J228+K228+L228+M228+N228+S228+V228+W228+X228+AA228+AI228+AJ228+AI228+AM228+AP228+AQ228+AS228+AT228+AU228+AV228+AN228)+30</f>
        <v>38</v>
      </c>
      <c r="C228" s="215">
        <f>SUM(J228+K228+L228+M228+N228+S228+W228+X228+V228+AA228+AJ228+AI228+AJ228+AN228+AQ228+AM228+AT228+AU228+AV228+AW228+AP228+AS228)+78</f>
        <v>86</v>
      </c>
      <c r="D228" s="133"/>
      <c r="E228" s="134"/>
      <c r="F228" s="135"/>
      <c r="G228" s="136"/>
      <c r="H228" s="107"/>
      <c r="I228" s="96">
        <v>1</v>
      </c>
      <c r="J228" s="104">
        <v>1</v>
      </c>
      <c r="K228" s="75"/>
      <c r="L228" s="75">
        <v>1</v>
      </c>
      <c r="M228" s="75">
        <v>1</v>
      </c>
      <c r="N228" s="75">
        <v>1</v>
      </c>
      <c r="O228" s="96"/>
      <c r="P228" s="105"/>
      <c r="Q228" s="96"/>
      <c r="R228" s="96"/>
      <c r="S228" s="75">
        <v>1</v>
      </c>
      <c r="T228" s="106">
        <v>1</v>
      </c>
      <c r="U228" s="106">
        <v>1</v>
      </c>
      <c r="V228" s="75">
        <v>1</v>
      </c>
      <c r="W228" s="75">
        <v>1</v>
      </c>
      <c r="X228" s="75"/>
      <c r="Y228" s="106">
        <v>1</v>
      </c>
      <c r="Z228" s="106">
        <v>1</v>
      </c>
      <c r="AA228" s="75">
        <v>1</v>
      </c>
      <c r="AB228" s="96"/>
      <c r="AC228" s="105"/>
      <c r="AD228" s="96"/>
      <c r="AE228" s="96"/>
      <c r="AF228" s="96"/>
      <c r="AG228" s="96"/>
      <c r="AH228" s="105"/>
      <c r="AI228" s="75"/>
      <c r="AJ228" s="106"/>
      <c r="AK228" s="106"/>
      <c r="AL228" s="75"/>
      <c r="AM228" s="75"/>
      <c r="AN228" s="106"/>
      <c r="AO228" s="75"/>
      <c r="AP228" s="75"/>
      <c r="AQ228" s="106"/>
      <c r="AR228" s="75"/>
      <c r="AS228" s="107"/>
      <c r="AT228" s="107"/>
    </row>
    <row r="229" spans="1:46" ht="16.3">
      <c r="A229" s="246" t="s">
        <v>2</v>
      </c>
      <c r="B229" s="248">
        <f>SUM(J229+K229+L229+M229+N229+S229+V229+W229+X229+AA229+AI229+AJ229+AI229+AM229+AP229+AQ229+AS229+AT229+AU229+AV229)+3</f>
        <v>3</v>
      </c>
      <c r="C229" s="215">
        <f>SUM(J229+K229+L229+M229+N229+S229+W229+X229+V229+AA229+AJ229+AI229+AJ229+AN229+AQ229+AM229+AT229+AU229+AV229+AW229+AP229+AS229)+18</f>
        <v>18</v>
      </c>
      <c r="D229" s="133"/>
      <c r="E229" s="134"/>
      <c r="F229" s="135"/>
      <c r="G229" s="136"/>
      <c r="H229" s="107"/>
      <c r="I229" s="96"/>
      <c r="J229" s="104"/>
      <c r="K229" s="75"/>
      <c r="L229" s="75"/>
      <c r="M229" s="75"/>
      <c r="N229" s="104"/>
      <c r="O229" s="109"/>
      <c r="P229" s="108"/>
      <c r="Q229" s="109"/>
      <c r="R229" s="109"/>
      <c r="S229" s="100"/>
      <c r="T229" s="110"/>
      <c r="U229" s="110"/>
      <c r="V229" s="100"/>
      <c r="W229" s="100"/>
      <c r="X229" s="100"/>
      <c r="Y229" s="110"/>
      <c r="Z229" s="110"/>
      <c r="AA229" s="100"/>
      <c r="AB229" s="109"/>
      <c r="AC229" s="108"/>
      <c r="AD229" s="109"/>
      <c r="AE229" s="109"/>
      <c r="AF229" s="109"/>
      <c r="AG229" s="109"/>
      <c r="AH229" s="108"/>
      <c r="AI229" s="100"/>
      <c r="AJ229" s="110"/>
      <c r="AK229" s="110"/>
      <c r="AL229" s="100"/>
      <c r="AM229" s="100"/>
      <c r="AN229" s="110"/>
      <c r="AO229" s="100"/>
      <c r="AP229" s="100"/>
      <c r="AQ229" s="110"/>
      <c r="AR229" s="100"/>
      <c r="AS229" s="111"/>
      <c r="AT229" s="111"/>
    </row>
    <row r="230" spans="1:46" ht="16.3">
      <c r="A230" s="83" t="s">
        <v>363</v>
      </c>
      <c r="B230" s="247">
        <f>SUM(B228+B229)</f>
        <v>41</v>
      </c>
      <c r="C230" s="214">
        <f>SUM(C228+C229)</f>
        <v>104</v>
      </c>
      <c r="D230" s="133"/>
      <c r="E230" s="134"/>
      <c r="F230" s="135"/>
      <c r="G230" s="136"/>
      <c r="H230" s="107"/>
      <c r="I230" s="96"/>
      <c r="J230" s="104"/>
      <c r="K230" s="75"/>
      <c r="L230" s="75"/>
      <c r="M230" s="75"/>
      <c r="N230" s="104"/>
      <c r="O230" s="109"/>
      <c r="P230" s="108"/>
      <c r="Q230" s="109"/>
      <c r="R230" s="109"/>
      <c r="S230" s="100"/>
      <c r="T230" s="110"/>
      <c r="U230" s="110"/>
      <c r="V230" s="100"/>
      <c r="W230" s="100"/>
      <c r="X230" s="100"/>
      <c r="Y230" s="110"/>
      <c r="Z230" s="110"/>
      <c r="AA230" s="100"/>
      <c r="AB230" s="109"/>
      <c r="AC230" s="108"/>
      <c r="AD230" s="109"/>
      <c r="AE230" s="109"/>
      <c r="AF230" s="109"/>
      <c r="AG230" s="109"/>
      <c r="AH230" s="108"/>
      <c r="AI230" s="100"/>
      <c r="AJ230" s="110"/>
      <c r="AK230" s="110"/>
      <c r="AL230" s="100"/>
      <c r="AM230" s="100"/>
      <c r="AN230" s="110"/>
      <c r="AO230" s="100"/>
      <c r="AP230" s="100"/>
      <c r="AQ230" s="110"/>
      <c r="AR230" s="100"/>
      <c r="AS230" s="111"/>
      <c r="AT230" s="111"/>
    </row>
    <row r="231" spans="1:46" ht="16.3">
      <c r="A231" s="83" t="s">
        <v>3</v>
      </c>
      <c r="B231" s="247">
        <f>SUM(J231+K231+L231+M231+N231+S231+V231+W231+X231+AA231+AI231+AJ231+AI231+AM231+AP231+AQ231+AS231+AT231+AU231+AV231)+2</f>
        <v>2</v>
      </c>
      <c r="C231" s="214">
        <f>SUM(J231+K231+L231+M231+N231+S231+W231+X231+V231+AA231+AJ231+AI231+AJ231+AN231+AQ231+AM231+AT231+AU231+AV231+AW231+AP231+AS231)+4</f>
        <v>4</v>
      </c>
      <c r="D231" s="133"/>
      <c r="E231" s="134"/>
      <c r="F231" s="135"/>
      <c r="G231" s="136"/>
      <c r="H231" s="107"/>
      <c r="I231" s="96"/>
      <c r="J231" s="104"/>
      <c r="K231" s="75"/>
      <c r="L231" s="75"/>
      <c r="M231" s="75"/>
      <c r="N231" s="104"/>
      <c r="O231" s="109"/>
      <c r="P231" s="108"/>
      <c r="Q231" s="109"/>
      <c r="R231" s="109"/>
      <c r="S231" s="100"/>
      <c r="T231" s="110"/>
      <c r="U231" s="110"/>
      <c r="V231" s="100"/>
      <c r="W231" s="100"/>
      <c r="X231" s="100"/>
      <c r="Y231" s="110"/>
      <c r="Z231" s="110"/>
      <c r="AA231" s="100"/>
      <c r="AB231" s="109"/>
      <c r="AC231" s="108"/>
      <c r="AD231" s="109"/>
      <c r="AE231" s="109"/>
      <c r="AF231" s="109"/>
      <c r="AG231" s="109"/>
      <c r="AH231" s="108"/>
      <c r="AI231" s="100"/>
      <c r="AJ231" s="110"/>
      <c r="AK231" s="110"/>
      <c r="AL231" s="100"/>
      <c r="AM231" s="100"/>
      <c r="AN231" s="110"/>
      <c r="AO231" s="100"/>
      <c r="AP231" s="100"/>
      <c r="AQ231" s="110"/>
      <c r="AR231" s="100"/>
      <c r="AS231" s="111"/>
      <c r="AT231" s="111"/>
    </row>
    <row r="232" spans="1:46" ht="17" thickBot="1">
      <c r="A232" s="85" t="s">
        <v>4</v>
      </c>
      <c r="B232" s="250">
        <f>SUM(J232+K232+L232+M232+N232+S232+V232+W232+X232+AA232+AI232+AJ232+AI232+AM232+AP232+AQ232+AS232+AT232+AU232+AV232)+10</f>
        <v>10</v>
      </c>
      <c r="C232" s="217">
        <f>SUM(J232+K232+L232+M232+N232+S232+W232+X232+V232+AA232+AJ232+AI232+AJ232+AN232+AQ232+AM232+AT232+AU232+AV232+AW232+AP232+AS232)+20</f>
        <v>20</v>
      </c>
      <c r="D232" s="144"/>
      <c r="E232" s="145"/>
      <c r="F232" s="146"/>
      <c r="G232" s="147"/>
      <c r="H232" s="130"/>
      <c r="I232" s="114"/>
      <c r="J232" s="113"/>
      <c r="K232" s="112"/>
      <c r="L232" s="112"/>
      <c r="M232" s="112"/>
      <c r="N232" s="113"/>
      <c r="O232" s="118"/>
      <c r="P232" s="127"/>
      <c r="Q232" s="118"/>
      <c r="R232" s="118"/>
      <c r="S232" s="116"/>
      <c r="T232" s="120"/>
      <c r="U232" s="120"/>
      <c r="V232" s="112"/>
      <c r="W232" s="100"/>
      <c r="X232" s="100"/>
      <c r="Y232" s="110"/>
      <c r="Z232" s="110"/>
      <c r="AA232" s="100"/>
      <c r="AB232" s="109"/>
      <c r="AC232" s="108"/>
      <c r="AD232" s="109"/>
      <c r="AE232" s="109"/>
      <c r="AF232" s="109"/>
      <c r="AG232" s="109"/>
      <c r="AH232" s="108"/>
      <c r="AI232" s="100"/>
      <c r="AJ232" s="110"/>
      <c r="AK232" s="110"/>
      <c r="AL232" s="100"/>
      <c r="AM232" s="100"/>
      <c r="AN232" s="110"/>
      <c r="AO232" s="100"/>
      <c r="AP232" s="100"/>
      <c r="AQ232" s="110"/>
      <c r="AR232" s="100"/>
      <c r="AS232" s="111"/>
      <c r="AT232" s="111"/>
    </row>
    <row r="233" spans="1:46" ht="21.1">
      <c r="A233" s="82" t="s">
        <v>469</v>
      </c>
      <c r="B233" s="247"/>
      <c r="C233" s="214"/>
      <c r="D233" s="133"/>
      <c r="E233" s="134"/>
      <c r="F233" s="135"/>
      <c r="G233" s="136"/>
      <c r="H233" s="107"/>
      <c r="I233" s="96" t="s">
        <v>375</v>
      </c>
      <c r="J233" s="104" t="s">
        <v>375</v>
      </c>
      <c r="K233" s="75" t="s">
        <v>370</v>
      </c>
      <c r="L233" s="75" t="s">
        <v>339</v>
      </c>
      <c r="M233" s="75" t="s">
        <v>339</v>
      </c>
      <c r="N233" s="104" t="s">
        <v>339</v>
      </c>
      <c r="O233" s="109"/>
      <c r="P233" s="108"/>
      <c r="Q233" s="109" t="s">
        <v>783</v>
      </c>
      <c r="R233" s="109" t="s">
        <v>783</v>
      </c>
      <c r="S233" s="100"/>
      <c r="T233" s="110"/>
      <c r="U233" s="110"/>
      <c r="V233" s="100"/>
      <c r="W233" s="102" t="s">
        <v>375</v>
      </c>
      <c r="X233" s="102" t="s">
        <v>370</v>
      </c>
      <c r="Y233" s="101" t="s">
        <v>375</v>
      </c>
      <c r="Z233" s="101" t="s">
        <v>375</v>
      </c>
      <c r="AA233" s="102" t="s">
        <v>375</v>
      </c>
      <c r="AB233" s="99"/>
      <c r="AC233" s="98"/>
      <c r="AD233" s="99" t="s">
        <v>783</v>
      </c>
      <c r="AE233" s="99" t="s">
        <v>783</v>
      </c>
      <c r="AF233" s="99"/>
      <c r="AG233" s="99" t="s">
        <v>783</v>
      </c>
      <c r="AH233" s="98"/>
      <c r="AI233" s="102"/>
      <c r="AJ233" s="101"/>
      <c r="AK233" s="101"/>
      <c r="AL233" s="102"/>
      <c r="AM233" s="102"/>
      <c r="AN233" s="101"/>
      <c r="AO233" s="102"/>
      <c r="AP233" s="102"/>
      <c r="AQ233" s="101"/>
      <c r="AR233" s="102"/>
      <c r="AS233" s="103"/>
      <c r="AT233" s="103"/>
    </row>
    <row r="234" spans="1:46" ht="16.3">
      <c r="A234" s="246" t="s">
        <v>1</v>
      </c>
      <c r="B234" s="248">
        <f>SUM(J234+K234+L234+M234+N234+S234+V234+W234+X234+AA234+AI234+AJ234+AI234+AM234+AP234+AQ234+AS234+AT234+AU234+AV234+AN234)+7</f>
        <v>9</v>
      </c>
      <c r="C234" s="215">
        <f>SUM(J234+K234+L234+M234+N234+S234+W234+X234+V234+AA234+AJ234+AI234+AJ234+AN234+AQ234+AM234+AT234+AU234+AV234+AW234+AP234+AS234)+7</f>
        <v>9</v>
      </c>
      <c r="D234" s="133"/>
      <c r="E234" s="134"/>
      <c r="F234" s="135"/>
      <c r="G234" s="136"/>
      <c r="H234" s="107"/>
      <c r="I234" s="96"/>
      <c r="J234" s="104"/>
      <c r="K234" s="75">
        <v>1</v>
      </c>
      <c r="L234" s="75"/>
      <c r="M234" s="75"/>
      <c r="N234" s="104"/>
      <c r="O234" s="109"/>
      <c r="P234" s="108"/>
      <c r="Q234" s="109"/>
      <c r="R234" s="109"/>
      <c r="S234" s="100"/>
      <c r="T234" s="110"/>
      <c r="U234" s="110"/>
      <c r="V234" s="100"/>
      <c r="W234" s="100"/>
      <c r="X234" s="100">
        <v>1</v>
      </c>
      <c r="Y234" s="110"/>
      <c r="Z234" s="110"/>
      <c r="AA234" s="100"/>
      <c r="AB234" s="109"/>
      <c r="AC234" s="108"/>
      <c r="AD234" s="109"/>
      <c r="AE234" s="109"/>
      <c r="AF234" s="109"/>
      <c r="AG234" s="109"/>
      <c r="AH234" s="108"/>
      <c r="AI234" s="100"/>
      <c r="AJ234" s="110"/>
      <c r="AK234" s="110"/>
      <c r="AL234" s="100"/>
      <c r="AM234" s="100"/>
      <c r="AN234" s="110"/>
      <c r="AO234" s="100"/>
      <c r="AP234" s="100"/>
      <c r="AQ234" s="110"/>
      <c r="AR234" s="100"/>
      <c r="AS234" s="111"/>
      <c r="AT234" s="111"/>
    </row>
    <row r="235" spans="1:46" ht="16.3">
      <c r="A235" s="246" t="s">
        <v>2</v>
      </c>
      <c r="B235" s="248">
        <f>SUM(J235+K235+L235+M235+N235+S235+V235+W235+X235+AA235+AI235+AJ235+AI235+AM235+AP235+AQ235+AS235+AT235+AU235+AV235)+18</f>
        <v>21</v>
      </c>
      <c r="C235" s="215">
        <f>SUM(J235+K235+L235+M235+N235+S235+W235+X235+V235+AA235+AJ235+AI235+AJ235+AN235+AQ235+AM235+AT235+AU235+AV235+AW235+AP235+AS235)+32</f>
        <v>35</v>
      </c>
      <c r="D235" s="133"/>
      <c r="E235" s="134"/>
      <c r="F235" s="135"/>
      <c r="G235" s="136"/>
      <c r="H235" s="107"/>
      <c r="I235" s="96">
        <v>1</v>
      </c>
      <c r="J235" s="104">
        <v>1</v>
      </c>
      <c r="K235" s="75"/>
      <c r="L235" s="75"/>
      <c r="M235" s="75"/>
      <c r="N235" s="104"/>
      <c r="O235" s="109"/>
      <c r="P235" s="108"/>
      <c r="Q235" s="109"/>
      <c r="R235" s="109"/>
      <c r="S235" s="100"/>
      <c r="T235" s="110"/>
      <c r="U235" s="110"/>
      <c r="V235" s="100"/>
      <c r="W235" s="100">
        <v>1</v>
      </c>
      <c r="X235" s="100"/>
      <c r="Y235" s="110">
        <v>1</v>
      </c>
      <c r="Z235" s="110">
        <v>1</v>
      </c>
      <c r="AA235" s="100">
        <v>1</v>
      </c>
      <c r="AB235" s="109"/>
      <c r="AC235" s="108"/>
      <c r="AD235" s="109"/>
      <c r="AE235" s="109"/>
      <c r="AF235" s="109"/>
      <c r="AG235" s="109"/>
      <c r="AH235" s="108"/>
      <c r="AI235" s="100"/>
      <c r="AJ235" s="110"/>
      <c r="AK235" s="110"/>
      <c r="AL235" s="100"/>
      <c r="AM235" s="100"/>
      <c r="AN235" s="110"/>
      <c r="AO235" s="100"/>
      <c r="AP235" s="100"/>
      <c r="AQ235" s="110"/>
      <c r="AR235" s="100"/>
      <c r="AS235" s="111"/>
      <c r="AT235" s="111"/>
    </row>
    <row r="236" spans="1:46" ht="16.3">
      <c r="A236" s="83" t="s">
        <v>363</v>
      </c>
      <c r="B236" s="247">
        <f>SUM(B234+B235)</f>
        <v>30</v>
      </c>
      <c r="C236" s="214">
        <f>SUM(C234+C235)</f>
        <v>44</v>
      </c>
      <c r="D236" s="133"/>
      <c r="E236" s="134"/>
      <c r="F236" s="135"/>
      <c r="G236" s="136"/>
      <c r="H236" s="107"/>
      <c r="I236" s="96"/>
      <c r="J236" s="104"/>
      <c r="K236" s="75"/>
      <c r="L236" s="75"/>
      <c r="M236" s="75"/>
      <c r="N236" s="104"/>
      <c r="O236" s="109"/>
      <c r="P236" s="108"/>
      <c r="Q236" s="109"/>
      <c r="R236" s="109"/>
      <c r="S236" s="100"/>
      <c r="T236" s="110"/>
      <c r="U236" s="110"/>
      <c r="V236" s="100"/>
      <c r="W236" s="100"/>
      <c r="X236" s="100"/>
      <c r="Y236" s="110"/>
      <c r="Z236" s="110"/>
      <c r="AA236" s="100"/>
      <c r="AB236" s="109"/>
      <c r="AC236" s="108"/>
      <c r="AD236" s="109"/>
      <c r="AE236" s="109"/>
      <c r="AF236" s="109"/>
      <c r="AG236" s="109"/>
      <c r="AH236" s="108"/>
      <c r="AI236" s="100"/>
      <c r="AJ236" s="110"/>
      <c r="AK236" s="110"/>
      <c r="AL236" s="100"/>
      <c r="AM236" s="100"/>
      <c r="AN236" s="110"/>
      <c r="AO236" s="100"/>
      <c r="AP236" s="100"/>
      <c r="AQ236" s="110"/>
      <c r="AR236" s="100"/>
      <c r="AS236" s="111"/>
      <c r="AT236" s="111"/>
    </row>
    <row r="237" spans="1:46" ht="16.3">
      <c r="A237" s="246" t="s">
        <v>362</v>
      </c>
      <c r="B237" s="248">
        <f>SUM(J237+K237+L237+M237+N237+S237+V237+W237+X237+AA237+AI237+AJ237+AI237+AM237+AP237+AQ237+AS237+AT237+AU237+AV237)+1</f>
        <v>1</v>
      </c>
      <c r="C237" s="215">
        <f>SUM(J237+K237+L237+M237+N237+S237+W237+X237+V237+AA237+AJ237+AI237+AJ237+AN237+AQ237+AM237+AT237+AU237+AV237+AW237+AP237+AS237)+1</f>
        <v>1</v>
      </c>
      <c r="D237" s="133"/>
      <c r="E237" s="134"/>
      <c r="F237" s="135"/>
      <c r="G237" s="136"/>
      <c r="H237" s="107"/>
      <c r="I237" s="96"/>
      <c r="J237" s="104"/>
      <c r="K237" s="75"/>
      <c r="L237" s="75"/>
      <c r="M237" s="75"/>
      <c r="N237" s="104"/>
      <c r="O237" s="109"/>
      <c r="P237" s="108"/>
      <c r="Q237" s="109"/>
      <c r="R237" s="109"/>
      <c r="S237" s="100"/>
      <c r="T237" s="110"/>
      <c r="U237" s="110"/>
      <c r="V237" s="100"/>
      <c r="W237" s="100"/>
      <c r="X237" s="100"/>
      <c r="Y237" s="110"/>
      <c r="Z237" s="110"/>
      <c r="AA237" s="100"/>
      <c r="AB237" s="109"/>
      <c r="AC237" s="108"/>
      <c r="AD237" s="109"/>
      <c r="AE237" s="109"/>
      <c r="AF237" s="109"/>
      <c r="AG237" s="109"/>
      <c r="AH237" s="108"/>
      <c r="AI237" s="100"/>
      <c r="AJ237" s="110"/>
      <c r="AK237" s="110"/>
      <c r="AL237" s="100"/>
      <c r="AM237" s="100"/>
      <c r="AN237" s="110"/>
      <c r="AO237" s="100"/>
      <c r="AP237" s="100"/>
      <c r="AQ237" s="110"/>
      <c r="AR237" s="100"/>
      <c r="AS237" s="111"/>
      <c r="AT237" s="111"/>
    </row>
    <row r="238" spans="1:46" ht="16.3">
      <c r="A238" s="83" t="s">
        <v>3</v>
      </c>
      <c r="B238" s="247">
        <f>SUM(J238+K238+L238+M238+N238+S238+V238+W238+X238+AA238+AI238+AJ238+AI238+AM238+AP238+AQ238+AS238+AT238+AU238+AV238)</f>
        <v>0</v>
      </c>
      <c r="C238" s="214">
        <f>SUM(J238+K238+L238+M238+N238+S238+W238+X238+V238+AA238+AJ238+AI238+AJ238+AN238+AQ238+AM238+AT238+AU238+AV238+AW238+AP238+AS238)</f>
        <v>0</v>
      </c>
      <c r="D238" s="133"/>
      <c r="E238" s="134"/>
      <c r="F238" s="135"/>
      <c r="G238" s="136"/>
      <c r="H238" s="107"/>
      <c r="I238" s="96"/>
      <c r="J238" s="104"/>
      <c r="K238" s="75"/>
      <c r="L238" s="75"/>
      <c r="M238" s="75"/>
      <c r="N238" s="104"/>
      <c r="O238" s="109"/>
      <c r="P238" s="108"/>
      <c r="Q238" s="109"/>
      <c r="R238" s="109"/>
      <c r="S238" s="100"/>
      <c r="T238" s="110"/>
      <c r="U238" s="110"/>
      <c r="V238" s="100"/>
      <c r="W238" s="100"/>
      <c r="X238" s="100"/>
      <c r="Y238" s="110"/>
      <c r="Z238" s="110"/>
      <c r="AA238" s="100"/>
      <c r="AB238" s="109"/>
      <c r="AC238" s="108"/>
      <c r="AD238" s="109"/>
      <c r="AE238" s="109"/>
      <c r="AF238" s="109"/>
      <c r="AG238" s="109"/>
      <c r="AH238" s="108"/>
      <c r="AI238" s="100"/>
      <c r="AJ238" s="110"/>
      <c r="AK238" s="110"/>
      <c r="AL238" s="100"/>
      <c r="AM238" s="100"/>
      <c r="AN238" s="110"/>
      <c r="AO238" s="100"/>
      <c r="AP238" s="100"/>
      <c r="AQ238" s="110"/>
      <c r="AR238" s="100"/>
      <c r="AS238" s="111"/>
      <c r="AT238" s="111"/>
    </row>
    <row r="239" spans="1:46" ht="17" thickBot="1">
      <c r="A239" s="85" t="s">
        <v>4</v>
      </c>
      <c r="B239" s="247">
        <f>SUM(J239+K239+L239+M239+N239+S239+V239+W239+X239+AA239+AI239+AJ239+AI239+AM239+AP239+AQ239+AS239+AT239+AU239+AV239)</f>
        <v>0</v>
      </c>
      <c r="C239" s="214">
        <f>SUM(J239+K239+L239+M239+N239+S239+W239+X239+V239+AA239+AJ239+AI239+AJ239+AN239+AQ239+AM239+AT239+AU239+AV239+AW239+AP239+AS239)</f>
        <v>0</v>
      </c>
      <c r="D239" s="133"/>
      <c r="E239" s="134"/>
      <c r="F239" s="135"/>
      <c r="G239" s="136"/>
      <c r="H239" s="130"/>
      <c r="I239" s="114"/>
      <c r="J239" s="113"/>
      <c r="K239" s="112"/>
      <c r="L239" s="112"/>
      <c r="M239" s="112"/>
      <c r="N239" s="113"/>
      <c r="O239" s="118"/>
      <c r="P239" s="127"/>
      <c r="Q239" s="118"/>
      <c r="R239" s="118"/>
      <c r="S239" s="116"/>
      <c r="T239" s="120"/>
      <c r="U239" s="120"/>
      <c r="V239" s="112"/>
      <c r="W239" s="100"/>
      <c r="X239" s="100"/>
      <c r="Y239" s="110"/>
      <c r="Z239" s="110"/>
      <c r="AA239" s="100"/>
      <c r="AB239" s="109"/>
      <c r="AC239" s="108"/>
      <c r="AD239" s="109"/>
      <c r="AE239" s="109"/>
      <c r="AF239" s="109"/>
      <c r="AG239" s="109"/>
      <c r="AH239" s="108"/>
      <c r="AI239" s="100"/>
      <c r="AJ239" s="110"/>
      <c r="AK239" s="110"/>
      <c r="AL239" s="100"/>
      <c r="AM239" s="100"/>
      <c r="AN239" s="110"/>
      <c r="AO239" s="100"/>
      <c r="AP239" s="100"/>
      <c r="AQ239" s="110"/>
      <c r="AR239" s="100"/>
      <c r="AS239" s="111"/>
      <c r="AT239" s="111"/>
    </row>
    <row r="240" spans="1:46" ht="21.1">
      <c r="A240" s="82" t="s">
        <v>672</v>
      </c>
      <c r="B240" s="251"/>
      <c r="C240" s="218"/>
      <c r="D240" s="153"/>
      <c r="E240" s="154"/>
      <c r="F240" s="155"/>
      <c r="G240" s="156"/>
      <c r="H240" s="107"/>
      <c r="I240" s="96"/>
      <c r="J240" s="104"/>
      <c r="K240" s="75" t="s">
        <v>432</v>
      </c>
      <c r="L240" s="75" t="s">
        <v>339</v>
      </c>
      <c r="M240" s="75" t="s">
        <v>339</v>
      </c>
      <c r="N240" s="104" t="s">
        <v>339</v>
      </c>
      <c r="O240" s="109" t="s">
        <v>339</v>
      </c>
      <c r="P240" s="108"/>
      <c r="Q240" s="109" t="s">
        <v>339</v>
      </c>
      <c r="R240" s="109" t="s">
        <v>375</v>
      </c>
      <c r="S240" s="100" t="s">
        <v>375</v>
      </c>
      <c r="T240" s="110" t="s">
        <v>375</v>
      </c>
      <c r="U240" s="110" t="s">
        <v>375</v>
      </c>
      <c r="V240" s="100" t="s">
        <v>375</v>
      </c>
      <c r="W240" s="102"/>
      <c r="X240" s="102" t="s">
        <v>375</v>
      </c>
      <c r="Y240" s="101"/>
      <c r="Z240" s="101"/>
      <c r="AA240" s="102"/>
      <c r="AB240" s="99" t="s">
        <v>370</v>
      </c>
      <c r="AC240" s="98"/>
      <c r="AD240" s="99" t="s">
        <v>375</v>
      </c>
      <c r="AE240" s="99" t="s">
        <v>375</v>
      </c>
      <c r="AF240" s="99" t="s">
        <v>370</v>
      </c>
      <c r="AG240" s="99"/>
      <c r="AH240" s="98"/>
      <c r="AI240" s="102"/>
      <c r="AJ240" s="101"/>
      <c r="AK240" s="101"/>
      <c r="AL240" s="102"/>
      <c r="AM240" s="102"/>
      <c r="AN240" s="101"/>
      <c r="AO240" s="102"/>
      <c r="AP240" s="102"/>
      <c r="AQ240" s="101"/>
      <c r="AR240" s="102"/>
      <c r="AS240" s="103"/>
      <c r="AT240" s="103"/>
    </row>
    <row r="241" spans="1:46" ht="16.3">
      <c r="A241" s="246" t="s">
        <v>1</v>
      </c>
      <c r="B241" s="248">
        <f>SUM(J241+K241+L241+M241+N241+S241+V241+W241+X241+AA241+AI241+AJ241+AI241+AM241+AP241+AQ241+AS241+AT241+AU241+AV241+AN241)</f>
        <v>0</v>
      </c>
      <c r="C241" s="215">
        <f>B241</f>
        <v>0</v>
      </c>
      <c r="D241" s="133"/>
      <c r="E241" s="134"/>
      <c r="F241" s="135"/>
      <c r="G241" s="136"/>
      <c r="H241" s="107"/>
      <c r="I241" s="96"/>
      <c r="J241" s="104"/>
      <c r="K241" s="75"/>
      <c r="L241" s="75"/>
      <c r="M241" s="75"/>
      <c r="N241" s="104"/>
      <c r="O241" s="109"/>
      <c r="P241" s="108"/>
      <c r="Q241" s="109"/>
      <c r="R241" s="109"/>
      <c r="S241" s="100"/>
      <c r="T241" s="110"/>
      <c r="U241" s="110"/>
      <c r="V241" s="100"/>
      <c r="W241" s="100"/>
      <c r="X241" s="100"/>
      <c r="Y241" s="110"/>
      <c r="Z241" s="110"/>
      <c r="AA241" s="100"/>
      <c r="AB241" s="109">
        <v>1</v>
      </c>
      <c r="AC241" s="108"/>
      <c r="AD241" s="109"/>
      <c r="AE241" s="109"/>
      <c r="AF241" s="109">
        <v>1</v>
      </c>
      <c r="AG241" s="109"/>
      <c r="AH241" s="108"/>
      <c r="AI241" s="100"/>
      <c r="AJ241" s="110"/>
      <c r="AK241" s="110"/>
      <c r="AL241" s="100"/>
      <c r="AM241" s="100"/>
      <c r="AN241" s="110"/>
      <c r="AO241" s="100"/>
      <c r="AP241" s="100"/>
      <c r="AQ241" s="110"/>
      <c r="AR241" s="100"/>
      <c r="AS241" s="111"/>
      <c r="AT241" s="111"/>
    </row>
    <row r="242" spans="1:46" ht="16.3">
      <c r="A242" s="246" t="s">
        <v>2</v>
      </c>
      <c r="B242" s="248">
        <f>SUM(J242+K242+L242+M242+N242+S242+V242+W242+X242+AA242+AI242+AJ242+AI242+AM242+AP242+AQ242+AS242+AT242+AU242+AV242)</f>
        <v>4</v>
      </c>
      <c r="C242" s="215">
        <f t="shared" ref="C242:C245" si="42">B242</f>
        <v>4</v>
      </c>
      <c r="D242" s="133"/>
      <c r="E242" s="134"/>
      <c r="F242" s="135"/>
      <c r="G242" s="136"/>
      <c r="H242" s="107"/>
      <c r="I242" s="96"/>
      <c r="J242" s="104"/>
      <c r="K242" s="75">
        <v>1</v>
      </c>
      <c r="L242" s="75"/>
      <c r="M242" s="75"/>
      <c r="N242" s="104"/>
      <c r="O242" s="109"/>
      <c r="P242" s="108"/>
      <c r="Q242" s="109"/>
      <c r="R242" s="109">
        <v>1</v>
      </c>
      <c r="S242" s="100">
        <v>1</v>
      </c>
      <c r="T242" s="110">
        <v>1</v>
      </c>
      <c r="U242" s="110">
        <v>1</v>
      </c>
      <c r="V242" s="100">
        <v>1</v>
      </c>
      <c r="W242" s="100"/>
      <c r="X242" s="100">
        <v>1</v>
      </c>
      <c r="Y242" s="110"/>
      <c r="Z242" s="110"/>
      <c r="AA242" s="100"/>
      <c r="AB242" s="109"/>
      <c r="AC242" s="108"/>
      <c r="AD242" s="109">
        <v>1</v>
      </c>
      <c r="AE242" s="109">
        <v>1</v>
      </c>
      <c r="AF242" s="109"/>
      <c r="AG242" s="109"/>
      <c r="AH242" s="108"/>
      <c r="AI242" s="100"/>
      <c r="AJ242" s="110"/>
      <c r="AK242" s="110"/>
      <c r="AL242" s="100"/>
      <c r="AM242" s="100"/>
      <c r="AN242" s="110"/>
      <c r="AO242" s="100"/>
      <c r="AP242" s="100"/>
      <c r="AQ242" s="110"/>
      <c r="AR242" s="100"/>
      <c r="AS242" s="111"/>
      <c r="AT242" s="111"/>
    </row>
    <row r="243" spans="1:46" ht="16.3">
      <c r="A243" s="83" t="s">
        <v>363</v>
      </c>
      <c r="B243" s="247">
        <f>SUM(B241+B242)</f>
        <v>4</v>
      </c>
      <c r="C243" s="214">
        <f t="shared" si="42"/>
        <v>4</v>
      </c>
      <c r="D243" s="133"/>
      <c r="E243" s="134"/>
      <c r="F243" s="135"/>
      <c r="G243" s="136"/>
      <c r="H243" s="107"/>
      <c r="I243" s="96"/>
      <c r="J243" s="104"/>
      <c r="K243" s="75"/>
      <c r="L243" s="75"/>
      <c r="M243" s="75"/>
      <c r="N243" s="104"/>
      <c r="O243" s="109"/>
      <c r="P243" s="108"/>
      <c r="Q243" s="109"/>
      <c r="R243" s="109"/>
      <c r="S243" s="100"/>
      <c r="T243" s="110"/>
      <c r="U243" s="110"/>
      <c r="V243" s="100"/>
      <c r="W243" s="100"/>
      <c r="X243" s="100"/>
      <c r="Y243" s="110"/>
      <c r="Z243" s="110"/>
      <c r="AA243" s="100"/>
      <c r="AB243" s="109"/>
      <c r="AC243" s="108"/>
      <c r="AD243" s="109"/>
      <c r="AE243" s="109"/>
      <c r="AF243" s="109"/>
      <c r="AG243" s="109"/>
      <c r="AH243" s="108"/>
      <c r="AI243" s="100"/>
      <c r="AJ243" s="110"/>
      <c r="AK243" s="110"/>
      <c r="AL243" s="100"/>
      <c r="AM243" s="100"/>
      <c r="AN243" s="110"/>
      <c r="AO243" s="100"/>
      <c r="AP243" s="100"/>
      <c r="AQ243" s="110"/>
      <c r="AR243" s="100"/>
      <c r="AS243" s="111"/>
      <c r="AT243" s="111"/>
    </row>
    <row r="244" spans="1:46" ht="16.3">
      <c r="A244" s="83" t="s">
        <v>3</v>
      </c>
      <c r="B244" s="247">
        <f>SUM(J244+K244+L244+M244+N244+S244+V244+W244+X244+AA244+AI244+AJ244+AI244+AM244+AP244+AQ244+AS244+AT244+AU244+AV244)</f>
        <v>0</v>
      </c>
      <c r="C244" s="214">
        <f t="shared" si="42"/>
        <v>0</v>
      </c>
      <c r="D244" s="133"/>
      <c r="E244" s="134"/>
      <c r="F244" s="135"/>
      <c r="G244" s="136"/>
      <c r="H244" s="107"/>
      <c r="I244" s="96"/>
      <c r="J244" s="104"/>
      <c r="K244" s="75"/>
      <c r="L244" s="75"/>
      <c r="M244" s="75"/>
      <c r="N244" s="104"/>
      <c r="O244" s="109"/>
      <c r="P244" s="108"/>
      <c r="Q244" s="109"/>
      <c r="R244" s="109"/>
      <c r="S244" s="100"/>
      <c r="T244" s="110"/>
      <c r="U244" s="110"/>
      <c r="V244" s="100"/>
      <c r="W244" s="100"/>
      <c r="X244" s="100"/>
      <c r="Y244" s="110"/>
      <c r="Z244" s="110"/>
      <c r="AA244" s="100"/>
      <c r="AB244" s="109"/>
      <c r="AC244" s="108"/>
      <c r="AD244" s="109"/>
      <c r="AE244" s="109"/>
      <c r="AF244" s="109"/>
      <c r="AG244" s="109"/>
      <c r="AH244" s="108"/>
      <c r="AI244" s="100"/>
      <c r="AJ244" s="110"/>
      <c r="AK244" s="110"/>
      <c r="AL244" s="100"/>
      <c r="AM244" s="100"/>
      <c r="AN244" s="110"/>
      <c r="AO244" s="100"/>
      <c r="AP244" s="100"/>
      <c r="AQ244" s="110"/>
      <c r="AR244" s="100"/>
      <c r="AS244" s="111"/>
      <c r="AT244" s="111"/>
    </row>
    <row r="245" spans="1:46" ht="17" thickBot="1">
      <c r="A245" s="85" t="s">
        <v>4</v>
      </c>
      <c r="B245" s="250">
        <f>SUM(J245+K245+L245+M245+N245+S245+V245+W245+X245+AA245+AI245+AJ245+AI245+AM245+AP245+AQ245+AS245+AT245+AU245+AV245)</f>
        <v>0</v>
      </c>
      <c r="C245" s="217">
        <f t="shared" si="42"/>
        <v>0</v>
      </c>
      <c r="D245" s="144"/>
      <c r="E245" s="145"/>
      <c r="F245" s="146"/>
      <c r="G245" s="147"/>
      <c r="H245" s="130"/>
      <c r="I245" s="114"/>
      <c r="J245" s="113"/>
      <c r="K245" s="112"/>
      <c r="L245" s="112"/>
      <c r="M245" s="112"/>
      <c r="N245" s="113"/>
      <c r="O245" s="118"/>
      <c r="P245" s="127"/>
      <c r="Q245" s="118"/>
      <c r="R245" s="118"/>
      <c r="S245" s="116"/>
      <c r="T245" s="120"/>
      <c r="U245" s="120"/>
      <c r="V245" s="112"/>
      <c r="W245" s="116"/>
      <c r="X245" s="116"/>
      <c r="Y245" s="120"/>
      <c r="Z245" s="120"/>
      <c r="AA245" s="116"/>
      <c r="AB245" s="118"/>
      <c r="AC245" s="117"/>
      <c r="AD245" s="118"/>
      <c r="AE245" s="118"/>
      <c r="AF245" s="118"/>
      <c r="AG245" s="118"/>
      <c r="AH245" s="117"/>
      <c r="AI245" s="116"/>
      <c r="AJ245" s="120"/>
      <c r="AK245" s="120"/>
      <c r="AL245" s="116"/>
      <c r="AM245" s="116"/>
      <c r="AN245" s="120"/>
      <c r="AO245" s="116"/>
      <c r="AP245" s="116"/>
      <c r="AQ245" s="120"/>
      <c r="AR245" s="116"/>
      <c r="AS245" s="121"/>
      <c r="AT245" s="121"/>
    </row>
    <row r="246" spans="1:46" ht="21.1">
      <c r="A246" s="82" t="s">
        <v>324</v>
      </c>
      <c r="B246" s="247"/>
      <c r="C246" s="214"/>
      <c r="D246" s="133"/>
      <c r="E246" s="134"/>
      <c r="F246" s="135"/>
      <c r="G246" s="136"/>
      <c r="H246" s="107"/>
      <c r="I246" s="96"/>
      <c r="J246" s="104"/>
      <c r="K246" s="75"/>
      <c r="L246" s="75" t="s">
        <v>375</v>
      </c>
      <c r="M246" s="75" t="s">
        <v>375</v>
      </c>
      <c r="N246" s="104" t="s">
        <v>375</v>
      </c>
      <c r="O246" s="109" t="s">
        <v>370</v>
      </c>
      <c r="P246" s="108"/>
      <c r="Q246" s="109" t="s">
        <v>375</v>
      </c>
      <c r="R246" s="109" t="s">
        <v>370</v>
      </c>
      <c r="S246" s="100"/>
      <c r="T246" s="110"/>
      <c r="U246" s="110"/>
      <c r="V246" s="100"/>
      <c r="W246" s="100"/>
      <c r="X246" s="100"/>
      <c r="Y246" s="110"/>
      <c r="Z246" s="110"/>
      <c r="AA246" s="100"/>
      <c r="AB246" s="109" t="s">
        <v>375</v>
      </c>
      <c r="AC246" s="108"/>
      <c r="AD246" s="109" t="s">
        <v>801</v>
      </c>
      <c r="AE246" s="109" t="s">
        <v>370</v>
      </c>
      <c r="AF246" s="109" t="s">
        <v>375</v>
      </c>
      <c r="AG246" s="109" t="s">
        <v>370</v>
      </c>
      <c r="AH246" s="108"/>
      <c r="AI246" s="100"/>
      <c r="AJ246" s="110"/>
      <c r="AK246" s="110"/>
      <c r="AL246" s="100"/>
      <c r="AM246" s="100"/>
      <c r="AN246" s="110"/>
      <c r="AO246" s="100"/>
      <c r="AP246" s="100"/>
      <c r="AQ246" s="110"/>
      <c r="AR246" s="100"/>
      <c r="AS246" s="111"/>
      <c r="AT246" s="111"/>
    </row>
    <row r="247" spans="1:46" ht="16.3">
      <c r="A247" s="246" t="s">
        <v>1</v>
      </c>
      <c r="B247" s="248">
        <f>SUM(J247+K247+L247+M247+N247+S247+V247+W247+X247+AA247+AI247+AJ247+AI247+AM247+AP247+AQ247+AS247+AT247+AU247+AV247+AN247)+2</f>
        <v>2</v>
      </c>
      <c r="C247" s="215">
        <f>SUM(J247+K247+L247+M247+N247+S247+W247+X247+V247+AA247+AJ247+AI247+AJ247+AN247+AQ247+AM247+AT247+AU247+AV247+AW247+AP247+AS247)+2</f>
        <v>2</v>
      </c>
      <c r="D247" s="133"/>
      <c r="E247" s="134"/>
      <c r="F247" s="135"/>
      <c r="G247" s="136"/>
      <c r="H247" s="107"/>
      <c r="I247" s="96"/>
      <c r="J247" s="104"/>
      <c r="K247" s="75"/>
      <c r="L247" s="75"/>
      <c r="M247" s="75"/>
      <c r="N247" s="104"/>
      <c r="O247" s="109">
        <v>1</v>
      </c>
      <c r="P247" s="108"/>
      <c r="Q247" s="109"/>
      <c r="R247" s="109">
        <v>1</v>
      </c>
      <c r="S247" s="100"/>
      <c r="T247" s="110"/>
      <c r="U247" s="110"/>
      <c r="V247" s="100"/>
      <c r="W247" s="100"/>
      <c r="X247" s="100"/>
      <c r="Y247" s="110"/>
      <c r="Z247" s="110"/>
      <c r="AA247" s="100"/>
      <c r="AB247" s="109"/>
      <c r="AC247" s="108"/>
      <c r="AD247" s="109">
        <v>1</v>
      </c>
      <c r="AE247" s="109">
        <v>1</v>
      </c>
      <c r="AF247" s="109"/>
      <c r="AG247" s="109">
        <v>1</v>
      </c>
      <c r="AH247" s="108"/>
      <c r="AI247" s="100"/>
      <c r="AJ247" s="110"/>
      <c r="AK247" s="110"/>
      <c r="AL247" s="100"/>
      <c r="AM247" s="100"/>
      <c r="AN247" s="110"/>
      <c r="AO247" s="100"/>
      <c r="AP247" s="100"/>
      <c r="AQ247" s="110"/>
      <c r="AR247" s="100"/>
      <c r="AS247" s="111"/>
      <c r="AT247" s="111"/>
    </row>
    <row r="248" spans="1:46" ht="16.3">
      <c r="A248" s="246" t="s">
        <v>2</v>
      </c>
      <c r="B248" s="248">
        <f>SUM(J248+K248+L248+M248+N248+S248+V248+W248+X248+AA248+AI248+AJ248+AI248+AM248+AP248+AQ248+AS248+AT248+AU248+AV248)+12</f>
        <v>15</v>
      </c>
      <c r="C248" s="215">
        <f>SUM(J248+K248+L248+M248+N248+S248+W248+X248+V248+AA248+AJ248+AI248+AJ248+AN248+AQ248+AM248+AT248+AU248+AV248+AW248+AP248+AS248)+13</f>
        <v>16</v>
      </c>
      <c r="D248" s="133"/>
      <c r="E248" s="134"/>
      <c r="F248" s="135"/>
      <c r="G248" s="136"/>
      <c r="H248" s="107"/>
      <c r="I248" s="96"/>
      <c r="J248" s="104"/>
      <c r="K248" s="75"/>
      <c r="L248" s="75">
        <v>1</v>
      </c>
      <c r="M248" s="75">
        <v>1</v>
      </c>
      <c r="N248" s="104">
        <v>1</v>
      </c>
      <c r="O248" s="109"/>
      <c r="P248" s="108"/>
      <c r="Q248" s="109">
        <v>1</v>
      </c>
      <c r="R248" s="109"/>
      <c r="S248" s="100"/>
      <c r="T248" s="110"/>
      <c r="U248" s="110"/>
      <c r="V248" s="100"/>
      <c r="W248" s="100"/>
      <c r="X248" s="100"/>
      <c r="Y248" s="110"/>
      <c r="Z248" s="110"/>
      <c r="AA248" s="100"/>
      <c r="AB248" s="109">
        <v>1</v>
      </c>
      <c r="AC248" s="108"/>
      <c r="AD248" s="109"/>
      <c r="AE248" s="109"/>
      <c r="AF248" s="109">
        <v>1</v>
      </c>
      <c r="AG248" s="109"/>
      <c r="AH248" s="108"/>
      <c r="AI248" s="100"/>
      <c r="AJ248" s="110"/>
      <c r="AK248" s="110"/>
      <c r="AL248" s="100"/>
      <c r="AM248" s="100"/>
      <c r="AN248" s="110"/>
      <c r="AO248" s="100"/>
      <c r="AP248" s="100"/>
      <c r="AQ248" s="110"/>
      <c r="AR248" s="100"/>
      <c r="AS248" s="111"/>
      <c r="AT248" s="111"/>
    </row>
    <row r="249" spans="1:46" ht="16.3">
      <c r="A249" s="83" t="s">
        <v>363</v>
      </c>
      <c r="B249" s="247">
        <f>SUM(B247+B248)</f>
        <v>17</v>
      </c>
      <c r="C249" s="214">
        <f>SUM(C247+C248)</f>
        <v>18</v>
      </c>
      <c r="D249" s="133"/>
      <c r="E249" s="134"/>
      <c r="F249" s="135"/>
      <c r="G249" s="136"/>
      <c r="H249" s="107"/>
      <c r="I249" s="96"/>
      <c r="J249" s="104"/>
      <c r="K249" s="75"/>
      <c r="L249" s="75"/>
      <c r="M249" s="75"/>
      <c r="N249" s="104"/>
      <c r="O249" s="109"/>
      <c r="P249" s="108"/>
      <c r="Q249" s="109"/>
      <c r="R249" s="109"/>
      <c r="S249" s="100"/>
      <c r="T249" s="110"/>
      <c r="U249" s="110"/>
      <c r="V249" s="100"/>
      <c r="W249" s="100"/>
      <c r="X249" s="100"/>
      <c r="Y249" s="110"/>
      <c r="Z249" s="110"/>
      <c r="AA249" s="100"/>
      <c r="AB249" s="109"/>
      <c r="AC249" s="108"/>
      <c r="AD249" s="109"/>
      <c r="AE249" s="109"/>
      <c r="AF249" s="109"/>
      <c r="AG249" s="109"/>
      <c r="AH249" s="108"/>
      <c r="AI249" s="100"/>
      <c r="AJ249" s="110"/>
      <c r="AK249" s="110"/>
      <c r="AL249" s="100"/>
      <c r="AM249" s="100"/>
      <c r="AN249" s="110"/>
      <c r="AO249" s="100"/>
      <c r="AP249" s="100"/>
      <c r="AQ249" s="110"/>
      <c r="AR249" s="100"/>
      <c r="AS249" s="111"/>
      <c r="AT249" s="111"/>
    </row>
    <row r="250" spans="1:46" ht="16.3">
      <c r="A250" s="246" t="s">
        <v>362</v>
      </c>
      <c r="B250" s="248">
        <f>SUM(J250+K250+L250+M250+N250+S250+V250+W250+X250+AA250+AI250+AJ250+AI250+AM250+AP250+AQ250+AS250+AT250+AU250+AV250+AN250)+2</f>
        <v>2</v>
      </c>
      <c r="C250" s="215">
        <f>SUM(J250+K250+L250+M250+N250+S250+W250+X250+V250+AA250+AJ250+AI250+AJ250+AN250+AQ250+AM250+AT250+AU250+AV250+AW250+AP250+AS250)+2</f>
        <v>2</v>
      </c>
      <c r="D250" s="133"/>
      <c r="E250" s="134"/>
      <c r="F250" s="135"/>
      <c r="G250" s="136"/>
      <c r="H250" s="107"/>
      <c r="I250" s="96"/>
      <c r="J250" s="104"/>
      <c r="K250" s="75"/>
      <c r="L250" s="75"/>
      <c r="M250" s="75"/>
      <c r="N250" s="104"/>
      <c r="O250" s="109"/>
      <c r="P250" s="108"/>
      <c r="Q250" s="109"/>
      <c r="R250" s="109"/>
      <c r="S250" s="100"/>
      <c r="T250" s="110"/>
      <c r="U250" s="110"/>
      <c r="V250" s="100"/>
      <c r="W250" s="100"/>
      <c r="X250" s="100"/>
      <c r="Y250" s="110"/>
      <c r="Z250" s="110"/>
      <c r="AA250" s="100"/>
      <c r="AB250" s="109"/>
      <c r="AC250" s="108"/>
      <c r="AD250" s="109">
        <v>1</v>
      </c>
      <c r="AE250" s="109"/>
      <c r="AF250" s="109"/>
      <c r="AG250" s="109"/>
      <c r="AH250" s="108"/>
      <c r="AI250" s="100"/>
      <c r="AJ250" s="110"/>
      <c r="AK250" s="110"/>
      <c r="AL250" s="100"/>
      <c r="AM250" s="100"/>
      <c r="AN250" s="110"/>
      <c r="AO250" s="100"/>
      <c r="AP250" s="100"/>
      <c r="AQ250" s="110"/>
      <c r="AR250" s="100"/>
      <c r="AS250" s="111"/>
      <c r="AT250" s="111"/>
    </row>
    <row r="251" spans="1:46" ht="16.3">
      <c r="A251" s="83" t="s">
        <v>3</v>
      </c>
      <c r="B251" s="247">
        <f>SUM(J251+K251+L251+M251+N251+S251+V251+W251+X251+AA251+AI251+AJ251+AI251+AM251+AP251+AQ251+AS251+AT251+AU251+AV251)+1</f>
        <v>1</v>
      </c>
      <c r="C251" s="214">
        <f>SUM(J251+K251+L251+M251+N251+S251+W251+X251+V251+AA251+AJ251+AI251+AJ251+AN251+AQ251+AM251+AT251+AU251+AV251+AW251+AP251+AS251)+1</f>
        <v>1</v>
      </c>
      <c r="D251" s="133"/>
      <c r="E251" s="134"/>
      <c r="F251" s="135"/>
      <c r="G251" s="136"/>
      <c r="H251" s="107"/>
      <c r="I251" s="96"/>
      <c r="J251" s="104"/>
      <c r="K251" s="75"/>
      <c r="L251" s="75"/>
      <c r="M251" s="75"/>
      <c r="N251" s="104"/>
      <c r="O251" s="109"/>
      <c r="P251" s="108"/>
      <c r="Q251" s="109"/>
      <c r="R251" s="109"/>
      <c r="S251" s="100"/>
      <c r="T251" s="110"/>
      <c r="U251" s="110"/>
      <c r="V251" s="100"/>
      <c r="W251" s="100"/>
      <c r="X251" s="100"/>
      <c r="Y251" s="110"/>
      <c r="Z251" s="110"/>
      <c r="AA251" s="100"/>
      <c r="AB251" s="109"/>
      <c r="AC251" s="108"/>
      <c r="AD251" s="109"/>
      <c r="AE251" s="109">
        <v>1</v>
      </c>
      <c r="AF251" s="109"/>
      <c r="AG251" s="109"/>
      <c r="AH251" s="108"/>
      <c r="AI251" s="100"/>
      <c r="AJ251" s="110"/>
      <c r="AK251" s="110"/>
      <c r="AL251" s="100"/>
      <c r="AM251" s="100"/>
      <c r="AN251" s="110"/>
      <c r="AO251" s="100"/>
      <c r="AP251" s="100"/>
      <c r="AQ251" s="110"/>
      <c r="AR251" s="100"/>
      <c r="AS251" s="111"/>
      <c r="AT251" s="111"/>
    </row>
    <row r="252" spans="1:46" ht="17" thickBot="1">
      <c r="A252" s="85" t="s">
        <v>4</v>
      </c>
      <c r="B252" s="250">
        <f>SUM(J252+K252+L252+M252+N252+S252+V252+W252+X252+AA252+AI252+AJ252+AI252+AM252+AP252+AQ252+AS252+AT252+AU252+AV252)+5</f>
        <v>5</v>
      </c>
      <c r="C252" s="217">
        <f>SUM(J252+K252+L252+M252+N252+S252+W252+X252+V252+AA252+AJ252+AI252+AJ252+AN252+AQ252+AM252+AT252+AU252+AV252+AW252+AP252+AS252)+5</f>
        <v>5</v>
      </c>
      <c r="D252" s="144"/>
      <c r="E252" s="145"/>
      <c r="F252" s="146"/>
      <c r="G252" s="147"/>
      <c r="H252" s="130"/>
      <c r="I252" s="114"/>
      <c r="J252" s="116"/>
      <c r="K252" s="112"/>
      <c r="L252" s="112"/>
      <c r="M252" s="112"/>
      <c r="N252" s="113"/>
      <c r="O252" s="118"/>
      <c r="P252" s="117"/>
      <c r="Q252" s="118"/>
      <c r="R252" s="118"/>
      <c r="S252" s="116"/>
      <c r="T252" s="120"/>
      <c r="U252" s="120"/>
      <c r="V252" s="116"/>
      <c r="W252" s="116"/>
      <c r="X252" s="116"/>
      <c r="Y252" s="120"/>
      <c r="Z252" s="120"/>
      <c r="AA252" s="116"/>
      <c r="AB252" s="118"/>
      <c r="AC252" s="127"/>
      <c r="AD252" s="118"/>
      <c r="AE252" s="118">
        <v>5</v>
      </c>
      <c r="AF252" s="118"/>
      <c r="AG252" s="118"/>
      <c r="AH252" s="117"/>
      <c r="AI252" s="116"/>
      <c r="AJ252" s="120"/>
      <c r="AK252" s="120"/>
      <c r="AL252" s="116"/>
      <c r="AM252" s="116"/>
      <c r="AN252" s="120"/>
      <c r="AO252" s="116"/>
      <c r="AP252" s="116"/>
      <c r="AQ252" s="120"/>
      <c r="AR252" s="116"/>
      <c r="AS252" s="121"/>
      <c r="AT252" s="121"/>
    </row>
    <row r="253" spans="1:46" ht="21.1">
      <c r="A253" s="82" t="s">
        <v>330</v>
      </c>
      <c r="B253" s="247"/>
      <c r="C253" s="214"/>
      <c r="D253" s="133"/>
      <c r="E253" s="134"/>
      <c r="F253" s="135"/>
      <c r="G253" s="136"/>
      <c r="H253" s="107"/>
      <c r="I253" s="96"/>
      <c r="J253" s="104"/>
      <c r="K253" s="75"/>
      <c r="L253" s="75"/>
      <c r="M253" s="75"/>
      <c r="N253" s="104"/>
      <c r="O253" s="109"/>
      <c r="P253" s="108"/>
      <c r="Q253" s="109"/>
      <c r="R253" s="109"/>
      <c r="S253" s="100"/>
      <c r="T253" s="110"/>
      <c r="U253" s="110"/>
      <c r="V253" s="100"/>
      <c r="W253" s="100"/>
      <c r="X253" s="100"/>
      <c r="Y253" s="110"/>
      <c r="Z253" s="110"/>
      <c r="AA253" s="100"/>
      <c r="AB253" s="109"/>
      <c r="AC253" s="108"/>
      <c r="AD253" s="109"/>
      <c r="AE253" s="109"/>
      <c r="AF253" s="109"/>
      <c r="AG253" s="109"/>
      <c r="AH253" s="108"/>
      <c r="AI253" s="100"/>
      <c r="AJ253" s="110"/>
      <c r="AK253" s="110"/>
      <c r="AL253" s="100"/>
      <c r="AM253" s="100"/>
      <c r="AN253" s="110"/>
      <c r="AO253" s="100"/>
      <c r="AP253" s="100"/>
      <c r="AQ253" s="110"/>
      <c r="AR253" s="100"/>
      <c r="AS253" s="111"/>
      <c r="AT253" s="111"/>
    </row>
    <row r="254" spans="1:46" ht="16.3">
      <c r="A254" s="246" t="s">
        <v>1</v>
      </c>
      <c r="B254" s="248">
        <f>SUM(J254+K254+L254+M254+N254+S254+V254+W254+X254+AA254+AI254+AJ254+AI254+AM254+AP254+AQ254+AS254+AT254+AU254+AV254+AN254)</f>
        <v>0</v>
      </c>
      <c r="C254" s="215">
        <f>B254</f>
        <v>0</v>
      </c>
      <c r="D254" s="133"/>
      <c r="E254" s="134"/>
      <c r="F254" s="135"/>
      <c r="G254" s="136"/>
      <c r="H254" s="107"/>
      <c r="I254" s="96"/>
      <c r="J254" s="104"/>
      <c r="K254" s="75"/>
      <c r="L254" s="75"/>
      <c r="M254" s="75"/>
      <c r="N254" s="104"/>
      <c r="O254" s="109"/>
      <c r="P254" s="108"/>
      <c r="Q254" s="109"/>
      <c r="R254" s="109"/>
      <c r="S254" s="100"/>
      <c r="T254" s="110"/>
      <c r="U254" s="110"/>
      <c r="V254" s="100"/>
      <c r="W254" s="100"/>
      <c r="X254" s="100"/>
      <c r="Y254" s="110"/>
      <c r="Z254" s="110"/>
      <c r="AA254" s="100"/>
      <c r="AB254" s="109"/>
      <c r="AC254" s="108"/>
      <c r="AD254" s="109"/>
      <c r="AE254" s="109"/>
      <c r="AF254" s="109"/>
      <c r="AG254" s="109"/>
      <c r="AH254" s="108"/>
      <c r="AI254" s="100"/>
      <c r="AJ254" s="110"/>
      <c r="AK254" s="110"/>
      <c r="AL254" s="100"/>
      <c r="AM254" s="100"/>
      <c r="AN254" s="110"/>
      <c r="AO254" s="100"/>
      <c r="AP254" s="100"/>
      <c r="AQ254" s="110"/>
      <c r="AR254" s="100"/>
      <c r="AS254" s="111"/>
      <c r="AT254" s="111"/>
    </row>
    <row r="255" spans="1:46" ht="16.3">
      <c r="A255" s="246" t="s">
        <v>2</v>
      </c>
      <c r="B255" s="248">
        <f>SUM(J255+K255+L255+M255+N255+S255+V255+W255+X255+AA255+AI255+AJ255+AI255+AM255+AP255+AQ255+AS255+AT255+AU255+AV255)</f>
        <v>0</v>
      </c>
      <c r="C255" s="215">
        <f t="shared" ref="C255:C258" si="43">B255</f>
        <v>0</v>
      </c>
      <c r="D255" s="133"/>
      <c r="E255" s="134"/>
      <c r="F255" s="135"/>
      <c r="G255" s="136"/>
      <c r="H255" s="107"/>
      <c r="I255" s="96"/>
      <c r="J255" s="104"/>
      <c r="K255" s="75"/>
      <c r="L255" s="75"/>
      <c r="M255" s="75"/>
      <c r="N255" s="104"/>
      <c r="O255" s="109"/>
      <c r="P255" s="108"/>
      <c r="Q255" s="109"/>
      <c r="R255" s="109"/>
      <c r="S255" s="100"/>
      <c r="T255" s="110"/>
      <c r="U255" s="110"/>
      <c r="V255" s="100"/>
      <c r="W255" s="100"/>
      <c r="X255" s="100"/>
      <c r="Y255" s="110"/>
      <c r="Z255" s="110"/>
      <c r="AA255" s="100"/>
      <c r="AB255" s="109"/>
      <c r="AC255" s="108"/>
      <c r="AD255" s="109"/>
      <c r="AE255" s="109"/>
      <c r="AF255" s="109"/>
      <c r="AG255" s="109"/>
      <c r="AH255" s="108"/>
      <c r="AI255" s="100"/>
      <c r="AJ255" s="110"/>
      <c r="AK255" s="110"/>
      <c r="AL255" s="100"/>
      <c r="AM255" s="100"/>
      <c r="AN255" s="110"/>
      <c r="AO255" s="100"/>
      <c r="AP255" s="100"/>
      <c r="AQ255" s="110"/>
      <c r="AR255" s="100"/>
      <c r="AS255" s="111"/>
      <c r="AT255" s="111"/>
    </row>
    <row r="256" spans="1:46" ht="16.3">
      <c r="A256" s="83" t="s">
        <v>363</v>
      </c>
      <c r="B256" s="247">
        <f>SUM(B254+B255)</f>
        <v>0</v>
      </c>
      <c r="C256" s="214">
        <f t="shared" si="43"/>
        <v>0</v>
      </c>
      <c r="D256" s="133"/>
      <c r="E256" s="134"/>
      <c r="F256" s="135"/>
      <c r="G256" s="136"/>
      <c r="H256" s="107"/>
      <c r="I256" s="96"/>
      <c r="J256" s="104"/>
      <c r="K256" s="75"/>
      <c r="L256" s="75"/>
      <c r="M256" s="75"/>
      <c r="N256" s="104"/>
      <c r="O256" s="109"/>
      <c r="P256" s="108"/>
      <c r="Q256" s="109"/>
      <c r="R256" s="109"/>
      <c r="S256" s="100"/>
      <c r="T256" s="110"/>
      <c r="U256" s="110"/>
      <c r="V256" s="100"/>
      <c r="W256" s="100"/>
      <c r="X256" s="100"/>
      <c r="Y256" s="110"/>
      <c r="Z256" s="110"/>
      <c r="AA256" s="100"/>
      <c r="AB256" s="109"/>
      <c r="AC256" s="108"/>
      <c r="AD256" s="109"/>
      <c r="AE256" s="109"/>
      <c r="AF256" s="109"/>
      <c r="AG256" s="109"/>
      <c r="AH256" s="108"/>
      <c r="AI256" s="100"/>
      <c r="AJ256" s="110"/>
      <c r="AK256" s="110"/>
      <c r="AL256" s="100"/>
      <c r="AM256" s="100"/>
      <c r="AN256" s="110"/>
      <c r="AO256" s="100"/>
      <c r="AP256" s="100"/>
      <c r="AQ256" s="110"/>
      <c r="AR256" s="100"/>
      <c r="AS256" s="111"/>
      <c r="AT256" s="111"/>
    </row>
    <row r="257" spans="1:46" ht="16.3">
      <c r="A257" s="83" t="s">
        <v>3</v>
      </c>
      <c r="B257" s="247">
        <f>SUM(J257+K257+L257+M257+N257+S257+V257+W257+X257+AA257+AI257+AJ257+AI257+AM257+AP257+AQ257+AS257+AT257+AU257+AV257)</f>
        <v>0</v>
      </c>
      <c r="C257" s="214">
        <f t="shared" si="43"/>
        <v>0</v>
      </c>
      <c r="D257" s="133"/>
      <c r="E257" s="134"/>
      <c r="F257" s="135"/>
      <c r="G257" s="136"/>
      <c r="H257" s="107"/>
      <c r="I257" s="96"/>
      <c r="J257" s="104"/>
      <c r="K257" s="75"/>
      <c r="L257" s="75"/>
      <c r="M257" s="75"/>
      <c r="N257" s="104"/>
      <c r="O257" s="109"/>
      <c r="P257" s="108"/>
      <c r="Q257" s="109"/>
      <c r="R257" s="109"/>
      <c r="S257" s="100"/>
      <c r="T257" s="110"/>
      <c r="U257" s="110"/>
      <c r="V257" s="100"/>
      <c r="W257" s="100"/>
      <c r="X257" s="100"/>
      <c r="Y257" s="110"/>
      <c r="Z257" s="110"/>
      <c r="AA257" s="100"/>
      <c r="AB257" s="109"/>
      <c r="AC257" s="108"/>
      <c r="AD257" s="109"/>
      <c r="AE257" s="109"/>
      <c r="AF257" s="109"/>
      <c r="AG257" s="109"/>
      <c r="AH257" s="108"/>
      <c r="AI257" s="100"/>
      <c r="AJ257" s="110"/>
      <c r="AK257" s="110"/>
      <c r="AL257" s="100"/>
      <c r="AM257" s="100"/>
      <c r="AN257" s="110"/>
      <c r="AO257" s="100"/>
      <c r="AP257" s="100"/>
      <c r="AQ257" s="110"/>
      <c r="AR257" s="100"/>
      <c r="AS257" s="111"/>
      <c r="AT257" s="111"/>
    </row>
    <row r="258" spans="1:46" ht="17" thickBot="1">
      <c r="A258" s="85" t="s">
        <v>4</v>
      </c>
      <c r="B258" s="250">
        <f>SUM(J258+K258+L258+M258+N258+S258+V258+W258+X258+AA258+AI258+AJ258+AI258+AM258+AP258+AQ258+AS258+AT258+AU258+AV258)</f>
        <v>0</v>
      </c>
      <c r="C258" s="217">
        <f t="shared" si="43"/>
        <v>0</v>
      </c>
      <c r="D258" s="144"/>
      <c r="E258" s="145"/>
      <c r="F258" s="146"/>
      <c r="G258" s="147"/>
      <c r="H258" s="130"/>
      <c r="I258" s="114"/>
      <c r="J258" s="113"/>
      <c r="K258" s="112"/>
      <c r="L258" s="112"/>
      <c r="M258" s="112"/>
      <c r="N258" s="113"/>
      <c r="O258" s="118"/>
      <c r="P258" s="117"/>
      <c r="Q258" s="118"/>
      <c r="R258" s="118"/>
      <c r="S258" s="116"/>
      <c r="T258" s="120"/>
      <c r="U258" s="120"/>
      <c r="V258" s="116"/>
      <c r="W258" s="116"/>
      <c r="X258" s="116"/>
      <c r="Y258" s="120"/>
      <c r="Z258" s="120"/>
      <c r="AA258" s="116"/>
      <c r="AB258" s="118"/>
      <c r="AC258" s="117"/>
      <c r="AD258" s="118"/>
      <c r="AE258" s="118"/>
      <c r="AF258" s="118"/>
      <c r="AG258" s="118"/>
      <c r="AH258" s="117"/>
      <c r="AI258" s="116"/>
      <c r="AJ258" s="120"/>
      <c r="AK258" s="120"/>
      <c r="AL258" s="116"/>
      <c r="AM258" s="116"/>
      <c r="AN258" s="120"/>
      <c r="AO258" s="116"/>
      <c r="AP258" s="116"/>
      <c r="AQ258" s="120"/>
      <c r="AR258" s="116"/>
      <c r="AS258" s="121"/>
      <c r="AT258" s="121"/>
    </row>
    <row r="259" spans="1:46" ht="21.1">
      <c r="A259" s="82" t="s">
        <v>331</v>
      </c>
      <c r="B259" s="247"/>
      <c r="C259" s="214"/>
      <c r="D259" s="133"/>
      <c r="E259" s="134"/>
      <c r="F259" s="135"/>
      <c r="G259" s="136"/>
      <c r="H259" s="107"/>
      <c r="I259" s="96"/>
      <c r="J259" s="104"/>
      <c r="K259" s="75"/>
      <c r="L259" s="75"/>
      <c r="M259" s="75"/>
      <c r="N259" s="104"/>
      <c r="O259" s="109" t="s">
        <v>375</v>
      </c>
      <c r="P259" s="108"/>
      <c r="Q259" s="109" t="s">
        <v>370</v>
      </c>
      <c r="R259" s="109"/>
      <c r="S259" s="100"/>
      <c r="T259" s="110"/>
      <c r="U259" s="110"/>
      <c r="V259" s="100"/>
      <c r="W259" s="102"/>
      <c r="X259" s="102"/>
      <c r="Y259" s="101"/>
      <c r="Z259" s="101" t="s">
        <v>984</v>
      </c>
      <c r="AA259" s="102" t="s">
        <v>984</v>
      </c>
      <c r="AB259" s="99" t="s">
        <v>375</v>
      </c>
      <c r="AC259" s="98"/>
      <c r="AD259" s="109" t="s">
        <v>984</v>
      </c>
      <c r="AE259" s="99" t="s">
        <v>984</v>
      </c>
      <c r="AF259" s="99" t="s">
        <v>984</v>
      </c>
      <c r="AG259" s="99" t="s">
        <v>984</v>
      </c>
      <c r="AH259" s="98"/>
      <c r="AI259" s="102"/>
      <c r="AJ259" s="101"/>
      <c r="AK259" s="101"/>
      <c r="AL259" s="102"/>
      <c r="AM259" s="102"/>
      <c r="AN259" s="101"/>
      <c r="AO259" s="102"/>
      <c r="AP259" s="102"/>
      <c r="AQ259" s="101"/>
      <c r="AR259" s="102"/>
      <c r="AS259" s="103"/>
      <c r="AT259" s="103"/>
    </row>
    <row r="260" spans="1:46" ht="16.3">
      <c r="A260" s="246" t="s">
        <v>1</v>
      </c>
      <c r="B260" s="248">
        <f>SUM(J260+K260+L260+M260+N260+S260+V260+W260+X260+AA260+AI260+AJ260+AI260+AM260+AP260+AQ260+AS260+AT260+AU260+AV260+AN260)</f>
        <v>0</v>
      </c>
      <c r="C260" s="215">
        <f>B260</f>
        <v>0</v>
      </c>
      <c r="D260" s="133"/>
      <c r="E260" s="134"/>
      <c r="F260" s="135"/>
      <c r="G260" s="136"/>
      <c r="H260" s="107"/>
      <c r="I260" s="96"/>
      <c r="J260" s="104"/>
      <c r="K260" s="75"/>
      <c r="L260" s="75"/>
      <c r="M260" s="75"/>
      <c r="N260" s="104"/>
      <c r="O260" s="109"/>
      <c r="P260" s="108"/>
      <c r="Q260" s="109">
        <v>1</v>
      </c>
      <c r="R260" s="109"/>
      <c r="S260" s="100"/>
      <c r="T260" s="110"/>
      <c r="U260" s="110"/>
      <c r="V260" s="100"/>
      <c r="W260" s="100"/>
      <c r="X260" s="100"/>
      <c r="Y260" s="110"/>
      <c r="Z260" s="110"/>
      <c r="AA260" s="100"/>
      <c r="AB260" s="109"/>
      <c r="AC260" s="108"/>
      <c r="AD260" s="109"/>
      <c r="AE260" s="109"/>
      <c r="AF260" s="109"/>
      <c r="AG260" s="109"/>
      <c r="AH260" s="108"/>
      <c r="AI260" s="100"/>
      <c r="AJ260" s="110"/>
      <c r="AK260" s="110"/>
      <c r="AL260" s="100"/>
      <c r="AM260" s="100"/>
      <c r="AN260" s="110"/>
      <c r="AO260" s="100"/>
      <c r="AP260" s="100"/>
      <c r="AQ260" s="110"/>
      <c r="AR260" s="100"/>
      <c r="AS260" s="111"/>
      <c r="AT260" s="111"/>
    </row>
    <row r="261" spans="1:46" ht="16.3">
      <c r="A261" s="246" t="s">
        <v>2</v>
      </c>
      <c r="B261" s="248">
        <f>SUM(J261+K261+L261+M261+N261+S261+V261+W261+X261+AA261+AI261+AJ261+AI261+AM261+AP261+AQ261+AS261+AT261+AU261+AV261)</f>
        <v>0</v>
      </c>
      <c r="C261" s="215">
        <f t="shared" ref="C261:C264" si="44">B261</f>
        <v>0</v>
      </c>
      <c r="D261" s="133"/>
      <c r="E261" s="134"/>
      <c r="F261" s="135"/>
      <c r="G261" s="136"/>
      <c r="H261" s="107"/>
      <c r="I261" s="96"/>
      <c r="J261" s="104"/>
      <c r="K261" s="75"/>
      <c r="L261" s="75"/>
      <c r="M261" s="75"/>
      <c r="N261" s="104"/>
      <c r="O261" s="109">
        <v>1</v>
      </c>
      <c r="P261" s="108"/>
      <c r="Q261" s="109"/>
      <c r="R261" s="109"/>
      <c r="S261" s="100"/>
      <c r="T261" s="110"/>
      <c r="U261" s="110"/>
      <c r="V261" s="100"/>
      <c r="W261" s="100"/>
      <c r="X261" s="100"/>
      <c r="Y261" s="110"/>
      <c r="Z261" s="110"/>
      <c r="AA261" s="100"/>
      <c r="AB261" s="109">
        <v>1</v>
      </c>
      <c r="AC261" s="108"/>
      <c r="AD261" s="109"/>
      <c r="AE261" s="109"/>
      <c r="AF261" s="109"/>
      <c r="AG261" s="109"/>
      <c r="AH261" s="108"/>
      <c r="AI261" s="100"/>
      <c r="AJ261" s="110"/>
      <c r="AK261" s="110"/>
      <c r="AL261" s="100"/>
      <c r="AM261" s="100"/>
      <c r="AN261" s="110"/>
      <c r="AO261" s="100"/>
      <c r="AP261" s="100"/>
      <c r="AQ261" s="110"/>
      <c r="AR261" s="100"/>
      <c r="AS261" s="111"/>
      <c r="AT261" s="111"/>
    </row>
    <row r="262" spans="1:46" ht="16.3">
      <c r="A262" s="83" t="s">
        <v>363</v>
      </c>
      <c r="B262" s="247">
        <f>SUM(B260+B261)</f>
        <v>0</v>
      </c>
      <c r="C262" s="214">
        <f t="shared" si="44"/>
        <v>0</v>
      </c>
      <c r="D262" s="133"/>
      <c r="E262" s="134"/>
      <c r="F262" s="135"/>
      <c r="G262" s="136"/>
      <c r="H262" s="107"/>
      <c r="I262" s="96"/>
      <c r="J262" s="104"/>
      <c r="K262" s="75"/>
      <c r="L262" s="75"/>
      <c r="M262" s="75"/>
      <c r="N262" s="104"/>
      <c r="O262" s="109"/>
      <c r="P262" s="108"/>
      <c r="Q262" s="109"/>
      <c r="R262" s="109"/>
      <c r="S262" s="100"/>
      <c r="T262" s="110"/>
      <c r="U262" s="110"/>
      <c r="V262" s="100"/>
      <c r="W262" s="100"/>
      <c r="X262" s="100"/>
      <c r="Y262" s="110"/>
      <c r="Z262" s="110"/>
      <c r="AA262" s="100"/>
      <c r="AB262" s="109"/>
      <c r="AC262" s="108"/>
      <c r="AD262" s="109"/>
      <c r="AE262" s="109"/>
      <c r="AF262" s="109"/>
      <c r="AG262" s="109"/>
      <c r="AH262" s="108"/>
      <c r="AI262" s="100"/>
      <c r="AJ262" s="110"/>
      <c r="AK262" s="110"/>
      <c r="AL262" s="100"/>
      <c r="AM262" s="100"/>
      <c r="AN262" s="110"/>
      <c r="AO262" s="100"/>
      <c r="AP262" s="100"/>
      <c r="AQ262" s="110"/>
      <c r="AR262" s="100"/>
      <c r="AS262" s="111"/>
      <c r="AT262" s="111"/>
    </row>
    <row r="263" spans="1:46" ht="16.3">
      <c r="A263" s="83" t="s">
        <v>3</v>
      </c>
      <c r="B263" s="247">
        <f>SUM(J263+K263+L263+M263+N263+S263+V263+W263+X263+AA263+AI263+AJ263+AI263+AM263+AP263+AQ263+AS263+AT263+AU263+AV263)</f>
        <v>0</v>
      </c>
      <c r="C263" s="214">
        <f t="shared" si="44"/>
        <v>0</v>
      </c>
      <c r="D263" s="133"/>
      <c r="E263" s="134"/>
      <c r="F263" s="135"/>
      <c r="G263" s="136"/>
      <c r="H263" s="107"/>
      <c r="I263" s="96"/>
      <c r="J263" s="104"/>
      <c r="K263" s="75"/>
      <c r="L263" s="75"/>
      <c r="M263" s="75"/>
      <c r="N263" s="104"/>
      <c r="O263" s="109"/>
      <c r="P263" s="108"/>
      <c r="Q263" s="109"/>
      <c r="R263" s="109"/>
      <c r="S263" s="100"/>
      <c r="T263" s="110"/>
      <c r="U263" s="110"/>
      <c r="V263" s="100"/>
      <c r="W263" s="100"/>
      <c r="X263" s="100"/>
      <c r="Y263" s="110"/>
      <c r="Z263" s="110"/>
      <c r="AA263" s="100"/>
      <c r="AB263" s="109"/>
      <c r="AC263" s="108"/>
      <c r="AD263" s="109"/>
      <c r="AE263" s="109"/>
      <c r="AF263" s="109"/>
      <c r="AG263" s="109"/>
      <c r="AH263" s="108"/>
      <c r="AI263" s="100"/>
      <c r="AJ263" s="110"/>
      <c r="AK263" s="110"/>
      <c r="AL263" s="100"/>
      <c r="AM263" s="100"/>
      <c r="AN263" s="110"/>
      <c r="AO263" s="100"/>
      <c r="AP263" s="100"/>
      <c r="AQ263" s="110"/>
      <c r="AR263" s="100"/>
      <c r="AS263" s="111"/>
      <c r="AT263" s="111"/>
    </row>
    <row r="264" spans="1:46" ht="17" thickBot="1">
      <c r="A264" s="85" t="s">
        <v>4</v>
      </c>
      <c r="B264" s="250">
        <f>SUM(J264+K264+L264+M264+N264+S264+V264+W264+X264+AA264+AI264+AJ264+AI264+AM264+AP264+AQ264+AS264+AT264+AU264+AV264)</f>
        <v>0</v>
      </c>
      <c r="C264" s="217">
        <f t="shared" si="44"/>
        <v>0</v>
      </c>
      <c r="D264" s="144"/>
      <c r="E264" s="145"/>
      <c r="F264" s="146"/>
      <c r="G264" s="147"/>
      <c r="H264" s="130"/>
      <c r="I264" s="114"/>
      <c r="J264" s="113"/>
      <c r="K264" s="112"/>
      <c r="L264" s="112"/>
      <c r="M264" s="112"/>
      <c r="N264" s="113"/>
      <c r="O264" s="118"/>
      <c r="P264" s="127"/>
      <c r="Q264" s="118"/>
      <c r="R264" s="118"/>
      <c r="S264" s="116"/>
      <c r="T264" s="120"/>
      <c r="U264" s="120"/>
      <c r="V264" s="116"/>
      <c r="W264" s="116"/>
      <c r="X264" s="116"/>
      <c r="Y264" s="120"/>
      <c r="Z264" s="120"/>
      <c r="AA264" s="116"/>
      <c r="AB264" s="118"/>
      <c r="AC264" s="117"/>
      <c r="AD264" s="118"/>
      <c r="AE264" s="118"/>
      <c r="AF264" s="118"/>
      <c r="AG264" s="118"/>
      <c r="AH264" s="117"/>
      <c r="AI264" s="116"/>
      <c r="AJ264" s="120"/>
      <c r="AK264" s="120"/>
      <c r="AL264" s="116"/>
      <c r="AM264" s="116"/>
      <c r="AN264" s="120"/>
      <c r="AO264" s="116"/>
      <c r="AP264" s="116"/>
      <c r="AQ264" s="120"/>
      <c r="AR264" s="116"/>
      <c r="AS264" s="121"/>
      <c r="AT264" s="121"/>
    </row>
    <row r="265" spans="1:46" ht="21.1">
      <c r="A265" s="82" t="s">
        <v>1050</v>
      </c>
      <c r="B265" s="247"/>
      <c r="C265" s="214"/>
      <c r="D265" s="133"/>
      <c r="E265" s="134"/>
      <c r="F265" s="135"/>
      <c r="G265" s="136"/>
      <c r="H265" s="107"/>
      <c r="I265" s="96"/>
      <c r="J265" s="935"/>
      <c r="K265" s="75"/>
      <c r="L265" s="75"/>
      <c r="M265" s="75"/>
      <c r="N265" s="935"/>
      <c r="O265" s="109"/>
      <c r="P265" s="108"/>
      <c r="Q265" s="109"/>
      <c r="R265" s="109"/>
      <c r="S265" s="100"/>
      <c r="T265" s="110"/>
      <c r="U265" s="110"/>
      <c r="V265" s="100"/>
      <c r="W265" s="100"/>
      <c r="X265" s="100"/>
      <c r="Y265" s="110"/>
      <c r="Z265" s="110"/>
      <c r="AA265" s="100"/>
      <c r="AB265" s="109"/>
      <c r="AC265" s="108"/>
      <c r="AD265" s="109"/>
      <c r="AE265" s="109"/>
      <c r="AF265" s="109" t="s">
        <v>719</v>
      </c>
      <c r="AG265" s="109" t="s">
        <v>432</v>
      </c>
      <c r="AH265" s="108"/>
      <c r="AI265" s="100"/>
      <c r="AJ265" s="110"/>
      <c r="AK265" s="110"/>
      <c r="AL265" s="100"/>
      <c r="AM265" s="100"/>
      <c r="AN265" s="110"/>
      <c r="AO265" s="100"/>
      <c r="AP265" s="100"/>
      <c r="AQ265" s="110"/>
      <c r="AR265" s="100"/>
      <c r="AS265" s="111"/>
      <c r="AT265" s="111"/>
    </row>
    <row r="266" spans="1:46" ht="16.3">
      <c r="A266" s="246" t="s">
        <v>1</v>
      </c>
      <c r="B266" s="248">
        <f>SUM(J266+K266+L266+M266+N266+S266+V266+W266+X266+AA266+AI266+AJ266+AI266+AM266+AP266+AQ266+AS266+AT266+AU266+AV266+AN266)</f>
        <v>0</v>
      </c>
      <c r="C266" s="215">
        <f>B266</f>
        <v>0</v>
      </c>
      <c r="D266" s="133"/>
      <c r="E266" s="134"/>
      <c r="F266" s="135"/>
      <c r="G266" s="136"/>
      <c r="H266" s="107"/>
      <c r="I266" s="96"/>
      <c r="J266" s="935"/>
      <c r="K266" s="75"/>
      <c r="L266" s="75"/>
      <c r="M266" s="75"/>
      <c r="N266" s="935"/>
      <c r="O266" s="109"/>
      <c r="P266" s="108"/>
      <c r="Q266" s="109"/>
      <c r="R266" s="109"/>
      <c r="S266" s="100"/>
      <c r="T266" s="110"/>
      <c r="U266" s="110"/>
      <c r="V266" s="100"/>
      <c r="W266" s="100"/>
      <c r="X266" s="100"/>
      <c r="Y266" s="110"/>
      <c r="Z266" s="110"/>
      <c r="AA266" s="100"/>
      <c r="AB266" s="109"/>
      <c r="AC266" s="108"/>
      <c r="AD266" s="109"/>
      <c r="AE266" s="109"/>
      <c r="AF266" s="109"/>
      <c r="AG266" s="109"/>
      <c r="AH266" s="108"/>
      <c r="AI266" s="100"/>
      <c r="AJ266" s="110"/>
      <c r="AK266" s="110"/>
      <c r="AL266" s="100"/>
      <c r="AM266" s="100"/>
      <c r="AN266" s="110"/>
      <c r="AO266" s="100"/>
      <c r="AP266" s="100"/>
      <c r="AQ266" s="110"/>
      <c r="AR266" s="100"/>
      <c r="AS266" s="111"/>
      <c r="AT266" s="111"/>
    </row>
    <row r="267" spans="1:46" ht="16.3">
      <c r="A267" s="246" t="s">
        <v>2</v>
      </c>
      <c r="B267" s="248">
        <f>SUM(J267+K267+L267+M267+N267+S267+V267+W267+X267+AA267+AI267+AJ267+AI267+AM267+AP267+AQ267+AS267+AT267+AU267+AV267)</f>
        <v>0</v>
      </c>
      <c r="C267" s="215">
        <f t="shared" ref="C267:C270" si="45">B267</f>
        <v>0</v>
      </c>
      <c r="D267" s="133"/>
      <c r="E267" s="134"/>
      <c r="F267" s="135"/>
      <c r="G267" s="136"/>
      <c r="H267" s="107"/>
      <c r="I267" s="96"/>
      <c r="J267" s="935"/>
      <c r="K267" s="75"/>
      <c r="L267" s="75"/>
      <c r="M267" s="75"/>
      <c r="N267" s="935"/>
      <c r="O267" s="109"/>
      <c r="P267" s="108"/>
      <c r="Q267" s="109"/>
      <c r="R267" s="109"/>
      <c r="S267" s="100"/>
      <c r="T267" s="110"/>
      <c r="U267" s="110"/>
      <c r="V267" s="100"/>
      <c r="W267" s="100"/>
      <c r="X267" s="100"/>
      <c r="Y267" s="110"/>
      <c r="Z267" s="110"/>
      <c r="AA267" s="100"/>
      <c r="AB267" s="109"/>
      <c r="AC267" s="108"/>
      <c r="AD267" s="109"/>
      <c r="AE267" s="109"/>
      <c r="AF267" s="109"/>
      <c r="AG267" s="109">
        <v>1</v>
      </c>
      <c r="AH267" s="108"/>
      <c r="AI267" s="100"/>
      <c r="AJ267" s="110"/>
      <c r="AK267" s="110"/>
      <c r="AL267" s="100"/>
      <c r="AM267" s="100"/>
      <c r="AN267" s="110"/>
      <c r="AO267" s="100"/>
      <c r="AP267" s="100"/>
      <c r="AQ267" s="110"/>
      <c r="AR267" s="100"/>
      <c r="AS267" s="111"/>
      <c r="AT267" s="111"/>
    </row>
    <row r="268" spans="1:46" ht="16.3">
      <c r="A268" s="83" t="s">
        <v>363</v>
      </c>
      <c r="B268" s="247">
        <f>SUM(B266+B267)</f>
        <v>0</v>
      </c>
      <c r="C268" s="214">
        <f t="shared" si="45"/>
        <v>0</v>
      </c>
      <c r="D268" s="133"/>
      <c r="E268" s="134"/>
      <c r="F268" s="135"/>
      <c r="G268" s="136"/>
      <c r="H268" s="107"/>
      <c r="I268" s="96"/>
      <c r="J268" s="935"/>
      <c r="K268" s="75"/>
      <c r="L268" s="75"/>
      <c r="M268" s="75"/>
      <c r="N268" s="935"/>
      <c r="O268" s="109"/>
      <c r="P268" s="108"/>
      <c r="Q268" s="109"/>
      <c r="R268" s="109"/>
      <c r="S268" s="100"/>
      <c r="T268" s="110"/>
      <c r="U268" s="110"/>
      <c r="V268" s="100"/>
      <c r="W268" s="100"/>
      <c r="X268" s="100"/>
      <c r="Y268" s="110"/>
      <c r="Z268" s="110"/>
      <c r="AA268" s="100"/>
      <c r="AB268" s="109"/>
      <c r="AC268" s="108"/>
      <c r="AD268" s="109"/>
      <c r="AE268" s="109"/>
      <c r="AF268" s="109"/>
      <c r="AG268" s="109"/>
      <c r="AH268" s="108"/>
      <c r="AI268" s="100"/>
      <c r="AJ268" s="110"/>
      <c r="AK268" s="110"/>
      <c r="AL268" s="100"/>
      <c r="AM268" s="100"/>
      <c r="AN268" s="110"/>
      <c r="AO268" s="100"/>
      <c r="AP268" s="100"/>
      <c r="AQ268" s="110"/>
      <c r="AR268" s="100"/>
      <c r="AS268" s="111"/>
      <c r="AT268" s="111"/>
    </row>
    <row r="269" spans="1:46" ht="16.3">
      <c r="A269" s="83" t="s">
        <v>3</v>
      </c>
      <c r="B269" s="247">
        <f>SUM(J269+K269+L269+M269+N269+S269+V269+W269+X269+AA269+AI269+AJ269+AI269+AM269+AP269+AQ269+AS269+AT269+AU269+AV269)</f>
        <v>0</v>
      </c>
      <c r="C269" s="214">
        <f t="shared" si="45"/>
        <v>0</v>
      </c>
      <c r="D269" s="133"/>
      <c r="E269" s="134"/>
      <c r="F269" s="135"/>
      <c r="G269" s="136"/>
      <c r="H269" s="107"/>
      <c r="I269" s="96"/>
      <c r="J269" s="935"/>
      <c r="K269" s="75"/>
      <c r="L269" s="75"/>
      <c r="M269" s="75"/>
      <c r="N269" s="935"/>
      <c r="O269" s="109"/>
      <c r="P269" s="108"/>
      <c r="Q269" s="109"/>
      <c r="R269" s="109"/>
      <c r="S269" s="100"/>
      <c r="T269" s="110"/>
      <c r="U269" s="110"/>
      <c r="V269" s="100"/>
      <c r="W269" s="100"/>
      <c r="X269" s="100"/>
      <c r="Y269" s="110"/>
      <c r="Z269" s="110"/>
      <c r="AA269" s="100"/>
      <c r="AB269" s="109"/>
      <c r="AC269" s="108"/>
      <c r="AD269" s="109"/>
      <c r="AE269" s="109"/>
      <c r="AF269" s="109"/>
      <c r="AG269" s="109"/>
      <c r="AH269" s="108"/>
      <c r="AI269" s="100"/>
      <c r="AJ269" s="110"/>
      <c r="AK269" s="110"/>
      <c r="AL269" s="100"/>
      <c r="AM269" s="100"/>
      <c r="AN269" s="110"/>
      <c r="AO269" s="100"/>
      <c r="AP269" s="100"/>
      <c r="AQ269" s="110"/>
      <c r="AR269" s="100"/>
      <c r="AS269" s="111"/>
      <c r="AT269" s="111"/>
    </row>
    <row r="270" spans="1:46" ht="17" thickBot="1">
      <c r="A270" s="85" t="s">
        <v>4</v>
      </c>
      <c r="B270" s="250">
        <f>SUM(J270+K270+L270+M270+N270+S270+V270+W270+X270+AA270+AI270+AJ270+AI270+AM270+AP270+AQ270+AS270+AT270+AU270+AV270)</f>
        <v>0</v>
      </c>
      <c r="C270" s="217">
        <f t="shared" si="45"/>
        <v>0</v>
      </c>
      <c r="D270" s="144"/>
      <c r="E270" s="145"/>
      <c r="F270" s="146"/>
      <c r="G270" s="147"/>
      <c r="H270" s="130"/>
      <c r="I270" s="114"/>
      <c r="J270" s="113"/>
      <c r="K270" s="112"/>
      <c r="L270" s="112"/>
      <c r="M270" s="112"/>
      <c r="N270" s="113"/>
      <c r="O270" s="118"/>
      <c r="P270" s="117"/>
      <c r="Q270" s="118"/>
      <c r="R270" s="118"/>
      <c r="S270" s="116"/>
      <c r="T270" s="120"/>
      <c r="U270" s="120"/>
      <c r="V270" s="116"/>
      <c r="W270" s="116"/>
      <c r="X270" s="116"/>
      <c r="Y270" s="120"/>
      <c r="Z270" s="120"/>
      <c r="AA270" s="116"/>
      <c r="AB270" s="118"/>
      <c r="AC270" s="117"/>
      <c r="AD270" s="118"/>
      <c r="AE270" s="118"/>
      <c r="AF270" s="118"/>
      <c r="AG270" s="118"/>
      <c r="AH270" s="117"/>
      <c r="AI270" s="116"/>
      <c r="AJ270" s="120"/>
      <c r="AK270" s="120"/>
      <c r="AL270" s="116"/>
      <c r="AM270" s="116"/>
      <c r="AN270" s="120"/>
      <c r="AO270" s="116"/>
      <c r="AP270" s="116"/>
      <c r="AQ270" s="120"/>
      <c r="AR270" s="116"/>
      <c r="AS270" s="121"/>
      <c r="AT270" s="121"/>
    </row>
    <row r="271" spans="1:46" ht="21.1">
      <c r="A271" s="82" t="s">
        <v>250</v>
      </c>
      <c r="B271" s="247"/>
      <c r="C271" s="214"/>
      <c r="D271" s="133"/>
      <c r="E271" s="134"/>
      <c r="F271" s="135"/>
      <c r="G271" s="136"/>
      <c r="H271" s="107"/>
      <c r="I271" s="96" t="s">
        <v>339</v>
      </c>
      <c r="J271" s="104" t="s">
        <v>339</v>
      </c>
      <c r="K271" s="75" t="s">
        <v>339</v>
      </c>
      <c r="L271" s="75" t="s">
        <v>339</v>
      </c>
      <c r="M271" s="75" t="s">
        <v>339</v>
      </c>
      <c r="N271" s="104" t="s">
        <v>339</v>
      </c>
      <c r="O271" s="109" t="s">
        <v>339</v>
      </c>
      <c r="P271" s="108"/>
      <c r="Q271" s="109" t="s">
        <v>339</v>
      </c>
      <c r="R271" s="109" t="s">
        <v>339</v>
      </c>
      <c r="S271" s="100" t="s">
        <v>339</v>
      </c>
      <c r="T271" s="110" t="s">
        <v>339</v>
      </c>
      <c r="U271" s="110" t="s">
        <v>339</v>
      </c>
      <c r="V271" s="100" t="s">
        <v>339</v>
      </c>
      <c r="W271" s="100" t="s">
        <v>339</v>
      </c>
      <c r="X271" s="100" t="s">
        <v>339</v>
      </c>
      <c r="Y271" s="110" t="s">
        <v>339</v>
      </c>
      <c r="Z271" s="110" t="s">
        <v>339</v>
      </c>
      <c r="AA271" s="100" t="s">
        <v>339</v>
      </c>
      <c r="AB271" s="109" t="s">
        <v>339</v>
      </c>
      <c r="AC271" s="108"/>
      <c r="AD271" s="109" t="s">
        <v>339</v>
      </c>
      <c r="AE271" s="109" t="s">
        <v>339</v>
      </c>
      <c r="AF271" s="109" t="s">
        <v>339</v>
      </c>
      <c r="AG271" s="109" t="s">
        <v>375</v>
      </c>
      <c r="AH271" s="108"/>
      <c r="AI271" s="100"/>
      <c r="AJ271" s="110"/>
      <c r="AK271" s="110"/>
      <c r="AL271" s="100"/>
      <c r="AM271" s="100"/>
      <c r="AN271" s="110"/>
      <c r="AO271" s="100"/>
      <c r="AP271" s="100"/>
      <c r="AQ271" s="110"/>
      <c r="AR271" s="100"/>
      <c r="AS271" s="111"/>
      <c r="AT271" s="111"/>
    </row>
    <row r="272" spans="1:46" ht="16.3">
      <c r="A272" s="246" t="s">
        <v>1</v>
      </c>
      <c r="B272" s="248">
        <f>SUM(J272+K272+L272+M272+N272+S272+V272+W272+X272+AA272+AI272+AJ272+AI272+AM272+AP272+AQ272+AS272+AT272+AU272+AV272+AN272)+24</f>
        <v>24</v>
      </c>
      <c r="C272" s="215">
        <f>SUM(J272+K272+L272+M272+N272+S272+W272+X272+V272+AA272+AJ272+AI272+AJ272+AN272+AQ272+AM272+AT272+AU272+AV272+AW272+AP272+AS272)+42</f>
        <v>42</v>
      </c>
      <c r="D272" s="133"/>
      <c r="E272" s="134"/>
      <c r="F272" s="135"/>
      <c r="G272" s="136"/>
      <c r="H272" s="107"/>
      <c r="I272" s="96"/>
      <c r="J272" s="104"/>
      <c r="K272" s="75"/>
      <c r="L272" s="75"/>
      <c r="M272" s="75"/>
      <c r="N272" s="104"/>
      <c r="O272" s="109"/>
      <c r="P272" s="108"/>
      <c r="Q272" s="109"/>
      <c r="R272" s="109"/>
      <c r="S272" s="100"/>
      <c r="T272" s="110"/>
      <c r="U272" s="110"/>
      <c r="V272" s="100"/>
      <c r="W272" s="100"/>
      <c r="X272" s="100"/>
      <c r="Y272" s="110"/>
      <c r="Z272" s="110"/>
      <c r="AA272" s="100"/>
      <c r="AB272" s="109"/>
      <c r="AC272" s="108"/>
      <c r="AD272" s="109"/>
      <c r="AE272" s="109"/>
      <c r="AF272" s="109"/>
      <c r="AG272" s="109"/>
      <c r="AH272" s="108"/>
      <c r="AI272" s="100"/>
      <c r="AJ272" s="110"/>
      <c r="AK272" s="110"/>
      <c r="AL272" s="100"/>
      <c r="AM272" s="100"/>
      <c r="AN272" s="110"/>
      <c r="AO272" s="100"/>
      <c r="AP272" s="100"/>
      <c r="AQ272" s="110"/>
      <c r="AR272" s="100"/>
      <c r="AS272" s="111"/>
      <c r="AT272" s="111"/>
    </row>
    <row r="273" spans="1:46" ht="16.3">
      <c r="A273" s="246" t="s">
        <v>2</v>
      </c>
      <c r="B273" s="248">
        <f>SUM(J273+K273+L273+M273+N273+S273+V273+W273+X273+AA273+AI273+AJ273+AI273+AM273+AP273+AQ273+AS273+AT273+AU273+AV273)+36</f>
        <v>36</v>
      </c>
      <c r="C273" s="215">
        <f>SUM(J273+K273+L273+M273+N273+S273+W273+X273+V273+AA273+AJ273+AI273+AJ273+AN273+AQ273+AM273+AT273+AU273+AV273+AW273+AP273+AS273)+51</f>
        <v>51</v>
      </c>
      <c r="D273" s="133"/>
      <c r="E273" s="134"/>
      <c r="F273" s="135"/>
      <c r="G273" s="136"/>
      <c r="H273" s="107"/>
      <c r="I273" s="96"/>
      <c r="J273" s="104"/>
      <c r="K273" s="75"/>
      <c r="L273" s="75"/>
      <c r="M273" s="75"/>
      <c r="N273" s="104"/>
      <c r="O273" s="109"/>
      <c r="P273" s="108"/>
      <c r="Q273" s="109"/>
      <c r="R273" s="109"/>
      <c r="S273" s="100"/>
      <c r="T273" s="110"/>
      <c r="U273" s="110"/>
      <c r="V273" s="100"/>
      <c r="W273" s="100"/>
      <c r="X273" s="100"/>
      <c r="Y273" s="110"/>
      <c r="Z273" s="110"/>
      <c r="AA273" s="100"/>
      <c r="AB273" s="109"/>
      <c r="AC273" s="108"/>
      <c r="AD273" s="109"/>
      <c r="AE273" s="109"/>
      <c r="AF273" s="109"/>
      <c r="AG273" s="109">
        <v>1</v>
      </c>
      <c r="AH273" s="108"/>
      <c r="AI273" s="100"/>
      <c r="AJ273" s="110"/>
      <c r="AK273" s="110"/>
      <c r="AL273" s="100"/>
      <c r="AM273" s="100"/>
      <c r="AN273" s="110"/>
      <c r="AO273" s="100"/>
      <c r="AP273" s="100"/>
      <c r="AQ273" s="110"/>
      <c r="AR273" s="100"/>
      <c r="AS273" s="111"/>
      <c r="AT273" s="111"/>
    </row>
    <row r="274" spans="1:46" ht="16.3">
      <c r="A274" s="83" t="s">
        <v>363</v>
      </c>
      <c r="B274" s="247">
        <f>SUM(B272+B273)</f>
        <v>60</v>
      </c>
      <c r="C274" s="214">
        <f>SUM(C272+C273)</f>
        <v>93</v>
      </c>
      <c r="D274" s="133"/>
      <c r="E274" s="134"/>
      <c r="F274" s="135"/>
      <c r="G274" s="136"/>
      <c r="H274" s="107"/>
      <c r="I274" s="96"/>
      <c r="J274" s="104"/>
      <c r="K274" s="75"/>
      <c r="L274" s="75"/>
      <c r="M274" s="75"/>
      <c r="N274" s="104"/>
      <c r="O274" s="109"/>
      <c r="P274" s="108"/>
      <c r="Q274" s="109"/>
      <c r="R274" s="109"/>
      <c r="S274" s="100"/>
      <c r="T274" s="110"/>
      <c r="U274" s="110"/>
      <c r="V274" s="100"/>
      <c r="W274" s="100"/>
      <c r="X274" s="100"/>
      <c r="Y274" s="110"/>
      <c r="Z274" s="110"/>
      <c r="AA274" s="100"/>
      <c r="AB274" s="109"/>
      <c r="AC274" s="108"/>
      <c r="AD274" s="109"/>
      <c r="AE274" s="109"/>
      <c r="AF274" s="109"/>
      <c r="AG274" s="109"/>
      <c r="AH274" s="108"/>
      <c r="AI274" s="100"/>
      <c r="AJ274" s="110"/>
      <c r="AK274" s="110"/>
      <c r="AL274" s="100"/>
      <c r="AM274" s="100"/>
      <c r="AN274" s="110"/>
      <c r="AO274" s="100"/>
      <c r="AP274" s="100"/>
      <c r="AQ274" s="110"/>
      <c r="AR274" s="100"/>
      <c r="AS274" s="111"/>
      <c r="AT274" s="111"/>
    </row>
    <row r="275" spans="1:46" ht="16.3">
      <c r="A275" s="246" t="s">
        <v>362</v>
      </c>
      <c r="B275" s="248">
        <f>SUM(J275+K275+L275+M275+N275+S275+V275+W275+X275+AA275+AI275+AJ275+AI275+AM275+AP275+AQ275+AS275+AT275+AU275+AV275)+1</f>
        <v>1</v>
      </c>
      <c r="C275" s="215">
        <f>SUM(J275+K275+L275+M275+N275+S275+W275+X275+V275+AA275+AJ275+AI275+AJ275+AN275+AQ275+AM275+AT275+AU275+AV275+AW275+AP275+AS275)+1</f>
        <v>1</v>
      </c>
      <c r="D275" s="133"/>
      <c r="E275" s="134"/>
      <c r="F275" s="135"/>
      <c r="G275" s="136"/>
      <c r="H275" s="107"/>
      <c r="I275" s="96"/>
      <c r="J275" s="104"/>
      <c r="K275" s="75"/>
      <c r="L275" s="75"/>
      <c r="M275" s="75"/>
      <c r="N275" s="104"/>
      <c r="O275" s="109"/>
      <c r="P275" s="108"/>
      <c r="Q275" s="109"/>
      <c r="R275" s="109"/>
      <c r="S275" s="100"/>
      <c r="T275" s="110"/>
      <c r="U275" s="110"/>
      <c r="V275" s="100"/>
      <c r="W275" s="100"/>
      <c r="X275" s="100"/>
      <c r="Y275" s="110"/>
      <c r="Z275" s="110"/>
      <c r="AA275" s="100"/>
      <c r="AB275" s="109"/>
      <c r="AC275" s="108"/>
      <c r="AD275" s="109"/>
      <c r="AE275" s="109"/>
      <c r="AF275" s="109"/>
      <c r="AG275" s="109"/>
      <c r="AH275" s="108"/>
      <c r="AI275" s="100"/>
      <c r="AJ275" s="110"/>
      <c r="AK275" s="110"/>
      <c r="AL275" s="100"/>
      <c r="AM275" s="100"/>
      <c r="AN275" s="110"/>
      <c r="AO275" s="100"/>
      <c r="AP275" s="100"/>
      <c r="AQ275" s="110"/>
      <c r="AR275" s="100"/>
      <c r="AS275" s="111"/>
      <c r="AT275" s="111"/>
    </row>
    <row r="276" spans="1:46" ht="16.3">
      <c r="A276" s="83" t="s">
        <v>3</v>
      </c>
      <c r="B276" s="247">
        <f>SUM(J276+K276+L276+M276+N276+S276+V276+W276+X276+AA276+AI276+AJ276+AI276+AM276+AP276+AQ276+AS276+AT276+AU276+AV276)+8</f>
        <v>8</v>
      </c>
      <c r="C276" s="214">
        <f>SUM(J276+K276+L276+M276+N276+S276+W276+X276+V276+AA276+AJ276+AI276+AJ276+AN276+AQ276+AM276+AT276+AU276+AV276+AW276+AP276+AS276)+18</f>
        <v>18</v>
      </c>
      <c r="D276" s="133"/>
      <c r="E276" s="134"/>
      <c r="F276" s="135"/>
      <c r="G276" s="136"/>
      <c r="H276" s="107"/>
      <c r="I276" s="96"/>
      <c r="J276" s="104"/>
      <c r="K276" s="75"/>
      <c r="L276" s="75"/>
      <c r="M276" s="75"/>
      <c r="N276" s="104"/>
      <c r="O276" s="109"/>
      <c r="P276" s="108"/>
      <c r="Q276" s="109"/>
      <c r="R276" s="109"/>
      <c r="S276" s="100"/>
      <c r="T276" s="110"/>
      <c r="U276" s="110"/>
      <c r="V276" s="100"/>
      <c r="W276" s="100"/>
      <c r="X276" s="100"/>
      <c r="Y276" s="110"/>
      <c r="Z276" s="110"/>
      <c r="AA276" s="100"/>
      <c r="AB276" s="109"/>
      <c r="AC276" s="108"/>
      <c r="AD276" s="109"/>
      <c r="AE276" s="109"/>
      <c r="AF276" s="109"/>
      <c r="AG276" s="109"/>
      <c r="AH276" s="108"/>
      <c r="AI276" s="100"/>
      <c r="AJ276" s="110"/>
      <c r="AK276" s="110"/>
      <c r="AL276" s="100"/>
      <c r="AM276" s="100"/>
      <c r="AN276" s="110"/>
      <c r="AO276" s="100"/>
      <c r="AP276" s="100"/>
      <c r="AQ276" s="110"/>
      <c r="AR276" s="100"/>
      <c r="AS276" s="111"/>
      <c r="AT276" s="111"/>
    </row>
    <row r="277" spans="1:46" ht="17" thickBot="1">
      <c r="A277" s="85" t="s">
        <v>4</v>
      </c>
      <c r="B277" s="250">
        <f>SUM(J277+K277+L277+M277+N277+S277+V277+W277+X277+AA277+AI277+AJ277+AI277+AM277+AP277+AQ277+AS277+AT277+AU277+AV277)+40</f>
        <v>40</v>
      </c>
      <c r="C277" s="217">
        <f>SUM(J277+K277+L277+M277+N277+S277+W277+X277+V277+AA277+AJ277+AI277+AJ277+AN277+AQ277+AM277+AT277+AU277+AV277+AW277+AP277+AS277)+90</f>
        <v>90</v>
      </c>
      <c r="D277" s="144"/>
      <c r="E277" s="145"/>
      <c r="F277" s="146"/>
      <c r="G277" s="147"/>
      <c r="H277" s="130"/>
      <c r="I277" s="114"/>
      <c r="J277" s="113"/>
      <c r="K277" s="112"/>
      <c r="L277" s="112"/>
      <c r="M277" s="112"/>
      <c r="N277" s="113"/>
      <c r="O277" s="118"/>
      <c r="P277" s="117"/>
      <c r="Q277" s="118"/>
      <c r="R277" s="118"/>
      <c r="S277" s="116"/>
      <c r="T277" s="119"/>
      <c r="U277" s="120"/>
      <c r="V277" s="112"/>
      <c r="W277" s="100"/>
      <c r="X277" s="100"/>
      <c r="Y277" s="110"/>
      <c r="Z277" s="110"/>
      <c r="AA277" s="100"/>
      <c r="AB277" s="109"/>
      <c r="AC277" s="108"/>
      <c r="AD277" s="109"/>
      <c r="AE277" s="109"/>
      <c r="AF277" s="109"/>
      <c r="AG277" s="109"/>
      <c r="AH277" s="108"/>
      <c r="AI277" s="100"/>
      <c r="AJ277" s="110"/>
      <c r="AK277" s="110"/>
      <c r="AL277" s="100"/>
      <c r="AM277" s="100"/>
      <c r="AN277" s="110"/>
      <c r="AO277" s="100"/>
      <c r="AP277" s="100"/>
      <c r="AQ277" s="110"/>
      <c r="AR277" s="100"/>
      <c r="AS277" s="111"/>
      <c r="AT277" s="111"/>
    </row>
    <row r="278" spans="1:46" ht="21.1">
      <c r="A278" s="82" t="s">
        <v>165</v>
      </c>
      <c r="B278" s="247"/>
      <c r="C278" s="214"/>
      <c r="D278" s="133"/>
      <c r="E278" s="134"/>
      <c r="F278" s="135"/>
      <c r="G278" s="136"/>
      <c r="H278" s="107"/>
      <c r="I278" s="96" t="s">
        <v>339</v>
      </c>
      <c r="J278" s="104" t="s">
        <v>339</v>
      </c>
      <c r="K278" s="75" t="s">
        <v>375</v>
      </c>
      <c r="L278" s="75" t="s">
        <v>371</v>
      </c>
      <c r="M278" s="75" t="s">
        <v>371</v>
      </c>
      <c r="N278" s="104" t="s">
        <v>371</v>
      </c>
      <c r="O278" s="109"/>
      <c r="P278" s="108"/>
      <c r="Q278" s="109"/>
      <c r="R278" s="109" t="s">
        <v>375</v>
      </c>
      <c r="S278" s="100" t="s">
        <v>375</v>
      </c>
      <c r="T278" s="110" t="s">
        <v>375</v>
      </c>
      <c r="U278" s="110" t="s">
        <v>375</v>
      </c>
      <c r="V278" s="100" t="s">
        <v>375</v>
      </c>
      <c r="W278" s="102" t="s">
        <v>371</v>
      </c>
      <c r="X278" s="102" t="s">
        <v>371</v>
      </c>
      <c r="Y278" s="101" t="s">
        <v>375</v>
      </c>
      <c r="Z278" s="101" t="s">
        <v>371</v>
      </c>
      <c r="AA278" s="102" t="s">
        <v>371</v>
      </c>
      <c r="AB278" s="99"/>
      <c r="AC278" s="98"/>
      <c r="AD278" s="99"/>
      <c r="AE278" s="99" t="s">
        <v>371</v>
      </c>
      <c r="AF278" s="99" t="s">
        <v>375</v>
      </c>
      <c r="AG278" s="99"/>
      <c r="AH278" s="98"/>
      <c r="AI278" s="102"/>
      <c r="AJ278" s="101"/>
      <c r="AK278" s="101"/>
      <c r="AL278" s="102"/>
      <c r="AM278" s="102"/>
      <c r="AN278" s="101"/>
      <c r="AO278" s="102"/>
      <c r="AP278" s="102"/>
      <c r="AQ278" s="101"/>
      <c r="AR278" s="102"/>
      <c r="AS278" s="103"/>
      <c r="AT278" s="103"/>
    </row>
    <row r="279" spans="1:46" ht="16.3">
      <c r="A279" s="246" t="s">
        <v>1</v>
      </c>
      <c r="B279" s="248">
        <f>SUM(J279+K279+L279+M279+N279+S279+V279+W279+X279+AA279+AI279+AJ279+AI279+AM279+AP279+AQ279+AS279+AT279+AU279+AV279+AN279)+5</f>
        <v>11</v>
      </c>
      <c r="C279" s="215">
        <f>SUM(J279+K279+L279+M279+N279+S279+W279+X279+V279+AA279+AJ279+AI279+AJ279+AN279+AQ279+AM279+AT279+AU279+AV279+AW279+AP279+AS279)+6</f>
        <v>12</v>
      </c>
      <c r="D279" s="133"/>
      <c r="E279" s="134"/>
      <c r="F279" s="135"/>
      <c r="G279" s="136"/>
      <c r="H279" s="107"/>
      <c r="I279" s="96"/>
      <c r="J279" s="104"/>
      <c r="K279" s="75"/>
      <c r="L279" s="75">
        <v>1</v>
      </c>
      <c r="M279" s="75">
        <v>1</v>
      </c>
      <c r="N279" s="104">
        <v>1</v>
      </c>
      <c r="O279" s="109"/>
      <c r="P279" s="108"/>
      <c r="Q279" s="109"/>
      <c r="R279" s="109"/>
      <c r="S279" s="100"/>
      <c r="T279" s="110"/>
      <c r="U279" s="110"/>
      <c r="V279" s="100"/>
      <c r="W279" s="100">
        <v>1</v>
      </c>
      <c r="X279" s="100">
        <v>1</v>
      </c>
      <c r="Y279" s="110"/>
      <c r="Z279" s="110">
        <v>1</v>
      </c>
      <c r="AA279" s="100">
        <v>1</v>
      </c>
      <c r="AB279" s="109"/>
      <c r="AC279" s="108"/>
      <c r="AD279" s="109"/>
      <c r="AE279" s="109">
        <v>1</v>
      </c>
      <c r="AF279" s="109"/>
      <c r="AG279" s="109"/>
      <c r="AH279" s="108"/>
      <c r="AI279" s="100"/>
      <c r="AJ279" s="110"/>
      <c r="AK279" s="110"/>
      <c r="AL279" s="100"/>
      <c r="AM279" s="100"/>
      <c r="AN279" s="110"/>
      <c r="AO279" s="100"/>
      <c r="AP279" s="100"/>
      <c r="AQ279" s="110"/>
      <c r="AR279" s="100"/>
      <c r="AS279" s="111"/>
      <c r="AT279" s="111"/>
    </row>
    <row r="280" spans="1:46" ht="16.3">
      <c r="A280" s="246" t="s">
        <v>2</v>
      </c>
      <c r="B280" s="248">
        <f>SUM(J280+K280+L280+M280+N280+S280+V280+W280+X280+AA280+AI280+AJ280+AI280+AM280+AP280+AQ280+AS280+AT280+AU280+AV280)+19</f>
        <v>22</v>
      </c>
      <c r="C280" s="215">
        <f>SUM(J280+K280+L280+M280+N280+S280+W280+X280+V280+AA280+AJ280+AI280+AJ280+AN280+AQ280+AM280+AT280+AU280+AV280+AW280+AP280+AS280)+22</f>
        <v>25</v>
      </c>
      <c r="D280" s="133"/>
      <c r="E280" s="134"/>
      <c r="F280" s="135"/>
      <c r="G280" s="136"/>
      <c r="H280" s="107"/>
      <c r="I280" s="96"/>
      <c r="J280" s="104"/>
      <c r="K280" s="75">
        <v>1</v>
      </c>
      <c r="L280" s="75"/>
      <c r="M280" s="75"/>
      <c r="N280" s="104"/>
      <c r="O280" s="109"/>
      <c r="P280" s="108"/>
      <c r="Q280" s="109"/>
      <c r="R280" s="109">
        <v>1</v>
      </c>
      <c r="S280" s="100">
        <v>1</v>
      </c>
      <c r="T280" s="110">
        <v>1</v>
      </c>
      <c r="U280" s="110">
        <v>1</v>
      </c>
      <c r="V280" s="100">
        <v>1</v>
      </c>
      <c r="W280" s="100"/>
      <c r="X280" s="100"/>
      <c r="Y280" s="110">
        <v>1</v>
      </c>
      <c r="Z280" s="110"/>
      <c r="AA280" s="100"/>
      <c r="AB280" s="109"/>
      <c r="AC280" s="108"/>
      <c r="AD280" s="109"/>
      <c r="AE280" s="109"/>
      <c r="AF280" s="109">
        <v>1</v>
      </c>
      <c r="AG280" s="109"/>
      <c r="AH280" s="108"/>
      <c r="AI280" s="100"/>
      <c r="AJ280" s="110"/>
      <c r="AK280" s="110"/>
      <c r="AL280" s="100"/>
      <c r="AM280" s="100"/>
      <c r="AN280" s="110"/>
      <c r="AO280" s="100"/>
      <c r="AP280" s="100"/>
      <c r="AQ280" s="110"/>
      <c r="AR280" s="100"/>
      <c r="AS280" s="111"/>
      <c r="AT280" s="111"/>
    </row>
    <row r="281" spans="1:46" ht="16.3">
      <c r="A281" s="83" t="s">
        <v>363</v>
      </c>
      <c r="B281" s="247">
        <f>SUM(B279+B280)</f>
        <v>33</v>
      </c>
      <c r="C281" s="214">
        <f>SUM(C279+C280)</f>
        <v>37</v>
      </c>
      <c r="D281" s="133"/>
      <c r="E281" s="134"/>
      <c r="F281" s="135"/>
      <c r="G281" s="136"/>
      <c r="H281" s="107"/>
      <c r="I281" s="96"/>
      <c r="J281" s="104"/>
      <c r="K281" s="75"/>
      <c r="L281" s="75"/>
      <c r="M281" s="75"/>
      <c r="N281" s="104"/>
      <c r="O281" s="109"/>
      <c r="P281" s="108"/>
      <c r="Q281" s="109"/>
      <c r="R281" s="109"/>
      <c r="S281" s="100"/>
      <c r="T281" s="110"/>
      <c r="U281" s="110"/>
      <c r="V281" s="100"/>
      <c r="W281" s="100"/>
      <c r="X281" s="100"/>
      <c r="Y281" s="110"/>
      <c r="Z281" s="110"/>
      <c r="AA281" s="100"/>
      <c r="AB281" s="109"/>
      <c r="AC281" s="108"/>
      <c r="AD281" s="109"/>
      <c r="AE281" s="109"/>
      <c r="AF281" s="109"/>
      <c r="AG281" s="109"/>
      <c r="AH281" s="108"/>
      <c r="AI281" s="100"/>
      <c r="AJ281" s="110"/>
      <c r="AK281" s="110"/>
      <c r="AL281" s="100"/>
      <c r="AM281" s="100"/>
      <c r="AN281" s="110"/>
      <c r="AO281" s="100"/>
      <c r="AP281" s="100"/>
      <c r="AQ281" s="110"/>
      <c r="AR281" s="100"/>
      <c r="AS281" s="111"/>
      <c r="AT281" s="111"/>
    </row>
    <row r="282" spans="1:46" ht="16.3">
      <c r="A282" s="83" t="s">
        <v>3</v>
      </c>
      <c r="B282" s="247">
        <f>SUM(J282+K282+L282+M282+N282+S282+V282+W282+X282+AA282+AI282+AJ282+AI282+AM282+AP282+AQ282+AS282+AT282+AU282+AV282)+3</f>
        <v>4</v>
      </c>
      <c r="C282" s="214">
        <f>SUM(J282+K282+L282+M282+N282+S282+W282+X282+V282+AA282+AJ282+AI282+AJ282+AN282+AQ282+AM282+AT282+AU282+AV282+AW282+AP282+AS282)+3</f>
        <v>4</v>
      </c>
      <c r="D282" s="133"/>
      <c r="E282" s="134"/>
      <c r="F282" s="135"/>
      <c r="G282" s="136"/>
      <c r="H282" s="107"/>
      <c r="I282" s="96"/>
      <c r="J282" s="104"/>
      <c r="K282" s="75"/>
      <c r="L282" s="75"/>
      <c r="M282" s="75"/>
      <c r="N282" s="104"/>
      <c r="O282" s="109"/>
      <c r="P282" s="108"/>
      <c r="Q282" s="109"/>
      <c r="R282" s="109"/>
      <c r="S282" s="100"/>
      <c r="T282" s="110"/>
      <c r="U282" s="110"/>
      <c r="V282" s="100"/>
      <c r="W282" s="100"/>
      <c r="X282" s="100"/>
      <c r="Y282" s="110"/>
      <c r="Z282" s="110"/>
      <c r="AA282" s="100">
        <v>1</v>
      </c>
      <c r="AB282" s="109"/>
      <c r="AC282" s="108"/>
      <c r="AD282" s="109"/>
      <c r="AE282" s="109"/>
      <c r="AF282" s="109"/>
      <c r="AG282" s="109"/>
      <c r="AH282" s="108"/>
      <c r="AI282" s="100"/>
      <c r="AJ282" s="110"/>
      <c r="AK282" s="110"/>
      <c r="AL282" s="100"/>
      <c r="AM282" s="100"/>
      <c r="AN282" s="110"/>
      <c r="AO282" s="100"/>
      <c r="AP282" s="100"/>
      <c r="AQ282" s="110"/>
      <c r="AR282" s="100"/>
      <c r="AS282" s="111"/>
      <c r="AT282" s="111"/>
    </row>
    <row r="283" spans="1:46" ht="17" thickBot="1">
      <c r="A283" s="85" t="s">
        <v>4</v>
      </c>
      <c r="B283" s="250">
        <f>SUM(J283+K283+L283+M283+N283+S283+V283+W283+X283+AA283+AI283+AJ283+AI283+AM283+AP283+AQ283+AS283+AT283+AU283+AV283)+15</f>
        <v>20</v>
      </c>
      <c r="C283" s="217">
        <f>SUM(J283+K283+L283+M283+N283+S283+W283+X283+V283+AA283+AJ283+AI283+AJ283+AN283+AQ283+AM283+AT283+AU283+AV283+AW283+AP283+AS283)+15</f>
        <v>20</v>
      </c>
      <c r="D283" s="144"/>
      <c r="E283" s="145"/>
      <c r="F283" s="146"/>
      <c r="G283" s="147"/>
      <c r="H283" s="130"/>
      <c r="I283" s="114"/>
      <c r="J283" s="113"/>
      <c r="K283" s="112"/>
      <c r="L283" s="112"/>
      <c r="M283" s="112"/>
      <c r="N283" s="113"/>
      <c r="O283" s="118"/>
      <c r="P283" s="127"/>
      <c r="Q283" s="118"/>
      <c r="R283" s="118"/>
      <c r="S283" s="116"/>
      <c r="T283" s="120"/>
      <c r="U283" s="120"/>
      <c r="V283" s="116"/>
      <c r="W283" s="116"/>
      <c r="X283" s="116"/>
      <c r="Y283" s="120"/>
      <c r="Z283" s="120"/>
      <c r="AA283" s="116">
        <v>5</v>
      </c>
      <c r="AB283" s="118"/>
      <c r="AC283" s="117"/>
      <c r="AD283" s="118"/>
      <c r="AE283" s="118"/>
      <c r="AF283" s="118"/>
      <c r="AG283" s="118"/>
      <c r="AH283" s="117"/>
      <c r="AI283" s="116"/>
      <c r="AJ283" s="120"/>
      <c r="AK283" s="120"/>
      <c r="AL283" s="116"/>
      <c r="AM283" s="116"/>
      <c r="AN283" s="120"/>
      <c r="AO283" s="116"/>
      <c r="AP283" s="116"/>
      <c r="AQ283" s="120"/>
      <c r="AR283" s="116"/>
      <c r="AS283" s="121"/>
      <c r="AT283" s="121"/>
    </row>
    <row r="284" spans="1:46" ht="21.1">
      <c r="A284" s="82" t="s">
        <v>718</v>
      </c>
      <c r="B284" s="247"/>
      <c r="C284" s="214"/>
      <c r="D284" s="133"/>
      <c r="E284" s="134"/>
      <c r="F284" s="135"/>
      <c r="G284" s="136"/>
      <c r="H284" s="107"/>
      <c r="I284" s="96" t="s">
        <v>720</v>
      </c>
      <c r="J284" s="104" t="s">
        <v>344</v>
      </c>
      <c r="K284" s="75" t="s">
        <v>719</v>
      </c>
      <c r="L284" s="75"/>
      <c r="M284" s="75"/>
      <c r="N284" s="104"/>
      <c r="O284" s="109" t="s">
        <v>439</v>
      </c>
      <c r="P284" s="108"/>
      <c r="Q284" s="109" t="s">
        <v>375</v>
      </c>
      <c r="R284" s="109"/>
      <c r="S284" s="100"/>
      <c r="T284" s="110"/>
      <c r="U284" s="110"/>
      <c r="V284" s="100"/>
      <c r="W284" s="100"/>
      <c r="X284" s="100"/>
      <c r="Y284" s="110"/>
      <c r="Z284" s="110"/>
      <c r="AA284" s="100"/>
      <c r="AB284" s="109" t="s">
        <v>375</v>
      </c>
      <c r="AC284" s="108"/>
      <c r="AD284" s="109"/>
      <c r="AE284" s="109"/>
      <c r="AF284" s="109"/>
      <c r="AG284" s="109"/>
      <c r="AH284" s="108"/>
      <c r="AI284" s="100"/>
      <c r="AJ284" s="110"/>
      <c r="AK284" s="110"/>
      <c r="AL284" s="100"/>
      <c r="AM284" s="100"/>
      <c r="AN284" s="110"/>
      <c r="AO284" s="100"/>
      <c r="AP284" s="100"/>
      <c r="AQ284" s="110"/>
      <c r="AR284" s="100"/>
      <c r="AS284" s="111"/>
      <c r="AT284" s="111"/>
    </row>
    <row r="285" spans="1:46" ht="16.3">
      <c r="A285" s="246" t="s">
        <v>1</v>
      </c>
      <c r="B285" s="248">
        <f>SUM(J285+K285+L285+M285+N285+S285+V285+W285+X285+AA285+AI285+AJ285+AI285+AM285+AP285+AQ285+AS285+AT285+AU285+AV285+AN285)</f>
        <v>0</v>
      </c>
      <c r="C285" s="215">
        <f>B285</f>
        <v>0</v>
      </c>
      <c r="D285" s="133"/>
      <c r="E285" s="134"/>
      <c r="F285" s="135"/>
      <c r="G285" s="136"/>
      <c r="H285" s="107"/>
      <c r="I285" s="96"/>
      <c r="J285" s="104"/>
      <c r="K285" s="75"/>
      <c r="L285" s="75"/>
      <c r="M285" s="75"/>
      <c r="N285" s="104"/>
      <c r="O285" s="109">
        <v>1</v>
      </c>
      <c r="P285" s="108"/>
      <c r="Q285" s="109"/>
      <c r="R285" s="109"/>
      <c r="S285" s="100"/>
      <c r="T285" s="110"/>
      <c r="U285" s="110"/>
      <c r="V285" s="100"/>
      <c r="W285" s="100"/>
      <c r="X285" s="100"/>
      <c r="Y285" s="110"/>
      <c r="Z285" s="110"/>
      <c r="AA285" s="100"/>
      <c r="AB285" s="109"/>
      <c r="AC285" s="108"/>
      <c r="AD285" s="109"/>
      <c r="AE285" s="109"/>
      <c r="AF285" s="109"/>
      <c r="AG285" s="109"/>
      <c r="AH285" s="108"/>
      <c r="AI285" s="100"/>
      <c r="AJ285" s="110"/>
      <c r="AK285" s="110"/>
      <c r="AL285" s="100"/>
      <c r="AM285" s="100"/>
      <c r="AN285" s="110"/>
      <c r="AO285" s="100"/>
      <c r="AP285" s="100"/>
      <c r="AQ285" s="110"/>
      <c r="AR285" s="100"/>
      <c r="AS285" s="111"/>
      <c r="AT285" s="111"/>
    </row>
    <row r="286" spans="1:46" ht="16.3">
      <c r="A286" s="246" t="s">
        <v>2</v>
      </c>
      <c r="B286" s="248">
        <f>SUM(J286+K286+L286+M286+N286+S286+V286+W286+X286+AA286+AI286+AJ286+AI286+AM286+AP286+AQ286+AS286+AT286+AU286+AV286)</f>
        <v>0</v>
      </c>
      <c r="C286" s="215">
        <f t="shared" ref="C286:C289" si="46">B286</f>
        <v>0</v>
      </c>
      <c r="D286" s="133"/>
      <c r="E286" s="134"/>
      <c r="F286" s="135"/>
      <c r="G286" s="136"/>
      <c r="H286" s="107"/>
      <c r="I286" s="96"/>
      <c r="J286" s="104"/>
      <c r="K286" s="75"/>
      <c r="L286" s="75"/>
      <c r="M286" s="75"/>
      <c r="N286" s="104"/>
      <c r="O286" s="109"/>
      <c r="P286" s="108"/>
      <c r="Q286" s="109">
        <v>1</v>
      </c>
      <c r="R286" s="109"/>
      <c r="S286" s="100"/>
      <c r="T286" s="110"/>
      <c r="U286" s="110"/>
      <c r="V286" s="100"/>
      <c r="W286" s="100"/>
      <c r="X286" s="100"/>
      <c r="Y286" s="110"/>
      <c r="Z286" s="110"/>
      <c r="AA286" s="100"/>
      <c r="AB286" s="109">
        <v>1</v>
      </c>
      <c r="AC286" s="108"/>
      <c r="AD286" s="109"/>
      <c r="AE286" s="109"/>
      <c r="AF286" s="109"/>
      <c r="AG286" s="109"/>
      <c r="AH286" s="108"/>
      <c r="AI286" s="100"/>
      <c r="AJ286" s="110"/>
      <c r="AK286" s="110"/>
      <c r="AL286" s="100"/>
      <c r="AM286" s="100"/>
      <c r="AN286" s="110"/>
      <c r="AO286" s="100"/>
      <c r="AP286" s="100"/>
      <c r="AQ286" s="110"/>
      <c r="AR286" s="100"/>
      <c r="AS286" s="111"/>
      <c r="AT286" s="111"/>
    </row>
    <row r="287" spans="1:46" ht="16.3">
      <c r="A287" s="83" t="s">
        <v>363</v>
      </c>
      <c r="B287" s="247">
        <f>SUM(B285+B286)</f>
        <v>0</v>
      </c>
      <c r="C287" s="214">
        <f t="shared" si="46"/>
        <v>0</v>
      </c>
      <c r="D287" s="133"/>
      <c r="E287" s="134"/>
      <c r="F287" s="135"/>
      <c r="G287" s="136"/>
      <c r="H287" s="107"/>
      <c r="I287" s="96"/>
      <c r="J287" s="104"/>
      <c r="K287" s="75"/>
      <c r="L287" s="75"/>
      <c r="M287" s="75"/>
      <c r="N287" s="104"/>
      <c r="O287" s="109"/>
      <c r="P287" s="108"/>
      <c r="Q287" s="109"/>
      <c r="R287" s="109"/>
      <c r="S287" s="100"/>
      <c r="T287" s="110"/>
      <c r="U287" s="110"/>
      <c r="V287" s="100"/>
      <c r="W287" s="100"/>
      <c r="X287" s="100"/>
      <c r="Y287" s="110"/>
      <c r="Z287" s="110"/>
      <c r="AA287" s="100"/>
      <c r="AB287" s="109"/>
      <c r="AC287" s="108"/>
      <c r="AD287" s="109"/>
      <c r="AE287" s="109"/>
      <c r="AF287" s="109"/>
      <c r="AG287" s="109"/>
      <c r="AH287" s="108"/>
      <c r="AI287" s="100"/>
      <c r="AJ287" s="110"/>
      <c r="AK287" s="110"/>
      <c r="AL287" s="100"/>
      <c r="AM287" s="100"/>
      <c r="AN287" s="110"/>
      <c r="AO287" s="100"/>
      <c r="AP287" s="100"/>
      <c r="AQ287" s="110"/>
      <c r="AR287" s="100"/>
      <c r="AS287" s="111"/>
      <c r="AT287" s="111"/>
    </row>
    <row r="288" spans="1:46" ht="16.3">
      <c r="A288" s="83" t="s">
        <v>3</v>
      </c>
      <c r="B288" s="247">
        <f>SUM(J288+K288+L288+M288+N288+S288+V288+W288+X288+AA288+AI288+AJ288+AI288+AM288+AP288+AQ288+AS288+AT288+AU288+AV288)</f>
        <v>0</v>
      </c>
      <c r="C288" s="214">
        <f t="shared" si="46"/>
        <v>0</v>
      </c>
      <c r="D288" s="133"/>
      <c r="E288" s="134"/>
      <c r="F288" s="135"/>
      <c r="G288" s="136"/>
      <c r="H288" s="107"/>
      <c r="I288" s="96"/>
      <c r="J288" s="104"/>
      <c r="K288" s="75"/>
      <c r="L288" s="75"/>
      <c r="M288" s="75"/>
      <c r="N288" s="104"/>
      <c r="O288" s="109"/>
      <c r="P288" s="108"/>
      <c r="Q288" s="109"/>
      <c r="R288" s="109"/>
      <c r="S288" s="100"/>
      <c r="T288" s="110"/>
      <c r="U288" s="110"/>
      <c r="V288" s="100"/>
      <c r="W288" s="100"/>
      <c r="X288" s="100"/>
      <c r="Y288" s="110"/>
      <c r="Z288" s="110"/>
      <c r="AA288" s="100"/>
      <c r="AB288" s="109"/>
      <c r="AC288" s="108"/>
      <c r="AD288" s="109"/>
      <c r="AE288" s="109"/>
      <c r="AF288" s="109"/>
      <c r="AG288" s="109"/>
      <c r="AH288" s="108"/>
      <c r="AI288" s="100"/>
      <c r="AJ288" s="110"/>
      <c r="AK288" s="110"/>
      <c r="AL288" s="100"/>
      <c r="AM288" s="100"/>
      <c r="AN288" s="110"/>
      <c r="AO288" s="100"/>
      <c r="AP288" s="100"/>
      <c r="AQ288" s="110"/>
      <c r="AR288" s="100"/>
      <c r="AS288" s="111"/>
      <c r="AT288" s="111"/>
    </row>
    <row r="289" spans="1:46" ht="17" thickBot="1">
      <c r="A289" s="85" t="s">
        <v>4</v>
      </c>
      <c r="B289" s="250">
        <f>SUM(J289+K289+L289+M289+N289+S289+V289+W289+X289+AA289+AI289+AJ289+AI289+AM289+AP289+AQ289+AS289+AT289+AU289+AV289)</f>
        <v>0</v>
      </c>
      <c r="C289" s="217">
        <f t="shared" si="46"/>
        <v>0</v>
      </c>
      <c r="D289" s="144"/>
      <c r="E289" s="145"/>
      <c r="F289" s="146"/>
      <c r="G289" s="147"/>
      <c r="H289" s="130"/>
      <c r="I289" s="114"/>
      <c r="J289" s="113"/>
      <c r="K289" s="112"/>
      <c r="L289" s="112"/>
      <c r="M289" s="112"/>
      <c r="N289" s="113"/>
      <c r="O289" s="118"/>
      <c r="P289" s="117"/>
      <c r="Q289" s="118"/>
      <c r="R289" s="118"/>
      <c r="S289" s="116"/>
      <c r="T289" s="120"/>
      <c r="U289" s="120"/>
      <c r="V289" s="116"/>
      <c r="W289" s="116"/>
      <c r="X289" s="116"/>
      <c r="Y289" s="120"/>
      <c r="Z289" s="120"/>
      <c r="AA289" s="116"/>
      <c r="AB289" s="118"/>
      <c r="AC289" s="117"/>
      <c r="AD289" s="118"/>
      <c r="AE289" s="118"/>
      <c r="AF289" s="118"/>
      <c r="AG289" s="118"/>
      <c r="AH289" s="117"/>
      <c r="AI289" s="116"/>
      <c r="AJ289" s="120"/>
      <c r="AK289" s="120"/>
      <c r="AL289" s="116"/>
      <c r="AM289" s="116"/>
      <c r="AN289" s="120"/>
      <c r="AO289" s="116"/>
      <c r="AP289" s="116"/>
      <c r="AQ289" s="120"/>
      <c r="AR289" s="116"/>
      <c r="AS289" s="121"/>
      <c r="AT289" s="121"/>
    </row>
    <row r="290" spans="1:46" ht="21.1">
      <c r="A290" s="82" t="s">
        <v>242</v>
      </c>
      <c r="B290" s="247"/>
      <c r="C290" s="214"/>
      <c r="D290" s="133"/>
      <c r="E290" s="134"/>
      <c r="F290" s="135"/>
      <c r="G290" s="136"/>
      <c r="H290" s="107"/>
      <c r="I290" s="96" t="s">
        <v>371</v>
      </c>
      <c r="J290" s="104" t="s">
        <v>371</v>
      </c>
      <c r="K290" s="75" t="s">
        <v>339</v>
      </c>
      <c r="L290" s="75" t="s">
        <v>375</v>
      </c>
      <c r="M290" s="75" t="s">
        <v>375</v>
      </c>
      <c r="N290" s="104" t="s">
        <v>375</v>
      </c>
      <c r="O290" s="109"/>
      <c r="P290" s="108"/>
      <c r="Q290" s="109"/>
      <c r="R290" s="109">
        <v>2</v>
      </c>
      <c r="S290" s="100" t="s">
        <v>371</v>
      </c>
      <c r="T290" s="110" t="s">
        <v>371</v>
      </c>
      <c r="U290" s="110" t="s">
        <v>371</v>
      </c>
      <c r="V290" s="100" t="s">
        <v>371</v>
      </c>
      <c r="W290" s="100"/>
      <c r="X290" s="100" t="s">
        <v>375</v>
      </c>
      <c r="Y290" s="110" t="s">
        <v>371</v>
      </c>
      <c r="Z290" s="110" t="s">
        <v>375</v>
      </c>
      <c r="AA290" s="100" t="s">
        <v>375</v>
      </c>
      <c r="AB290" s="109"/>
      <c r="AC290" s="108"/>
      <c r="AD290" s="109"/>
      <c r="AE290" s="109" t="s">
        <v>375</v>
      </c>
      <c r="AF290" s="109" t="s">
        <v>371</v>
      </c>
      <c r="AG290" s="109"/>
      <c r="AH290" s="108"/>
      <c r="AI290" s="100"/>
      <c r="AJ290" s="110"/>
      <c r="AK290" s="110"/>
      <c r="AL290" s="100"/>
      <c r="AM290" s="100"/>
      <c r="AN290" s="110"/>
      <c r="AO290" s="100"/>
      <c r="AP290" s="100"/>
      <c r="AQ290" s="110"/>
      <c r="AR290" s="100"/>
      <c r="AS290" s="111"/>
      <c r="AT290" s="111"/>
    </row>
    <row r="291" spans="1:46" ht="16.3">
      <c r="A291" s="246" t="s">
        <v>1</v>
      </c>
      <c r="B291" s="248">
        <f>SUM(J291+K291+L291+M291+N291+S291+V291+W291+X291+AA291+AI291+AJ291+AI291+AM291+AP291+AQ291+AS291+AT291+AU291+AV291+AN291)+1</f>
        <v>4</v>
      </c>
      <c r="C291" s="215">
        <f>B291</f>
        <v>4</v>
      </c>
      <c r="D291" s="133"/>
      <c r="E291" s="134"/>
      <c r="F291" s="135"/>
      <c r="G291" s="136"/>
      <c r="H291" s="107"/>
      <c r="I291" s="96">
        <v>1</v>
      </c>
      <c r="J291" s="104">
        <v>1</v>
      </c>
      <c r="K291" s="75"/>
      <c r="L291" s="75"/>
      <c r="M291" s="75"/>
      <c r="N291" s="104"/>
      <c r="O291" s="109"/>
      <c r="P291" s="108"/>
      <c r="Q291" s="109"/>
      <c r="R291" s="109">
        <v>1</v>
      </c>
      <c r="S291" s="100">
        <v>1</v>
      </c>
      <c r="T291" s="110">
        <v>1</v>
      </c>
      <c r="U291" s="110">
        <v>1</v>
      </c>
      <c r="V291" s="100">
        <v>1</v>
      </c>
      <c r="W291" s="100"/>
      <c r="X291" s="100"/>
      <c r="Y291" s="110">
        <v>1</v>
      </c>
      <c r="Z291" s="110"/>
      <c r="AA291" s="100"/>
      <c r="AB291" s="109"/>
      <c r="AC291" s="108"/>
      <c r="AD291" s="109"/>
      <c r="AE291" s="109"/>
      <c r="AF291" s="109">
        <v>1</v>
      </c>
      <c r="AG291" s="109"/>
      <c r="AH291" s="108"/>
      <c r="AI291" s="100"/>
      <c r="AJ291" s="110"/>
      <c r="AK291" s="110"/>
      <c r="AL291" s="100"/>
      <c r="AM291" s="100"/>
      <c r="AN291" s="110"/>
      <c r="AO291" s="100"/>
      <c r="AP291" s="100"/>
      <c r="AQ291" s="110"/>
      <c r="AR291" s="100"/>
      <c r="AS291" s="111"/>
      <c r="AT291" s="111"/>
    </row>
    <row r="292" spans="1:46" ht="16.3">
      <c r="A292" s="246" t="s">
        <v>2</v>
      </c>
      <c r="B292" s="248">
        <f>SUM(J292+K292+L292+M292+N292+S292+V292+W292+X292+AA292+AI292+AJ292+AI292+AM292+AP292+AQ292+AS292+AT292+AU292+AV292)+4</f>
        <v>9</v>
      </c>
      <c r="C292" s="215">
        <f t="shared" ref="C292:C295" si="47">B292</f>
        <v>9</v>
      </c>
      <c r="D292" s="133"/>
      <c r="E292" s="134"/>
      <c r="F292" s="135"/>
      <c r="G292" s="136"/>
      <c r="H292" s="107"/>
      <c r="I292" s="96"/>
      <c r="J292" s="104"/>
      <c r="K292" s="75"/>
      <c r="L292" s="75">
        <v>1</v>
      </c>
      <c r="M292" s="75">
        <v>1</v>
      </c>
      <c r="N292" s="104">
        <v>1</v>
      </c>
      <c r="O292" s="109"/>
      <c r="P292" s="108"/>
      <c r="Q292" s="109"/>
      <c r="R292" s="109"/>
      <c r="S292" s="100"/>
      <c r="T292" s="110"/>
      <c r="U292" s="110"/>
      <c r="V292" s="100"/>
      <c r="W292" s="100"/>
      <c r="X292" s="100">
        <v>1</v>
      </c>
      <c r="Y292" s="110"/>
      <c r="Z292" s="110">
        <v>1</v>
      </c>
      <c r="AA292" s="100">
        <v>1</v>
      </c>
      <c r="AB292" s="109"/>
      <c r="AC292" s="108"/>
      <c r="AD292" s="109"/>
      <c r="AE292" s="109">
        <v>1</v>
      </c>
      <c r="AF292" s="109"/>
      <c r="AG292" s="109"/>
      <c r="AH292" s="108"/>
      <c r="AI292" s="100"/>
      <c r="AJ292" s="110"/>
      <c r="AK292" s="110"/>
      <c r="AL292" s="100"/>
      <c r="AM292" s="100"/>
      <c r="AN292" s="110"/>
      <c r="AO292" s="100"/>
      <c r="AP292" s="100"/>
      <c r="AQ292" s="110"/>
      <c r="AR292" s="100"/>
      <c r="AS292" s="111"/>
      <c r="AT292" s="111"/>
    </row>
    <row r="293" spans="1:46" ht="16.3">
      <c r="A293" s="83" t="s">
        <v>363</v>
      </c>
      <c r="B293" s="247">
        <f>SUM(B291+B292)</f>
        <v>13</v>
      </c>
      <c r="C293" s="214">
        <f t="shared" si="47"/>
        <v>13</v>
      </c>
      <c r="D293" s="133"/>
      <c r="E293" s="134"/>
      <c r="F293" s="135"/>
      <c r="G293" s="136"/>
      <c r="H293" s="107"/>
      <c r="I293" s="96"/>
      <c r="J293" s="104"/>
      <c r="K293" s="75"/>
      <c r="L293" s="75"/>
      <c r="M293" s="75"/>
      <c r="N293" s="104"/>
      <c r="O293" s="109"/>
      <c r="P293" s="108"/>
      <c r="Q293" s="109"/>
      <c r="R293" s="109"/>
      <c r="S293" s="100"/>
      <c r="T293" s="110"/>
      <c r="U293" s="110"/>
      <c r="V293" s="100"/>
      <c r="W293" s="100"/>
      <c r="X293" s="100"/>
      <c r="Y293" s="110"/>
      <c r="Z293" s="110"/>
      <c r="AA293" s="100"/>
      <c r="AB293" s="109"/>
      <c r="AC293" s="108"/>
      <c r="AD293" s="109"/>
      <c r="AE293" s="109"/>
      <c r="AF293" s="109"/>
      <c r="AG293" s="109"/>
      <c r="AH293" s="108"/>
      <c r="AI293" s="100"/>
      <c r="AJ293" s="110"/>
      <c r="AK293" s="110"/>
      <c r="AL293" s="100"/>
      <c r="AM293" s="100"/>
      <c r="AN293" s="110"/>
      <c r="AO293" s="100"/>
      <c r="AP293" s="100"/>
      <c r="AQ293" s="110"/>
      <c r="AR293" s="100"/>
      <c r="AS293" s="111"/>
      <c r="AT293" s="111"/>
    </row>
    <row r="294" spans="1:46" ht="16.3">
      <c r="A294" s="83" t="s">
        <v>3</v>
      </c>
      <c r="B294" s="247">
        <f>SUM(J294+K294+L294+M294+N294+S294+V294+W294+X294+AA294+AI294+AJ294+AI294+AM294+AP294+AQ294+AS294+AT294+AU294+AV294)+1</f>
        <v>1</v>
      </c>
      <c r="C294" s="214">
        <f t="shared" si="47"/>
        <v>1</v>
      </c>
      <c r="D294" s="133"/>
      <c r="E294" s="134"/>
      <c r="F294" s="135"/>
      <c r="G294" s="136"/>
      <c r="H294" s="107"/>
      <c r="I294" s="96">
        <v>1</v>
      </c>
      <c r="J294" s="104"/>
      <c r="K294" s="75"/>
      <c r="L294" s="75"/>
      <c r="M294" s="75"/>
      <c r="N294" s="104"/>
      <c r="O294" s="109"/>
      <c r="P294" s="108"/>
      <c r="Q294" s="109"/>
      <c r="R294" s="109"/>
      <c r="S294" s="100"/>
      <c r="T294" s="110"/>
      <c r="U294" s="110"/>
      <c r="V294" s="100"/>
      <c r="W294" s="100"/>
      <c r="X294" s="100"/>
      <c r="Y294" s="110"/>
      <c r="Z294" s="110">
        <v>1</v>
      </c>
      <c r="AA294" s="100"/>
      <c r="AB294" s="109"/>
      <c r="AC294" s="108"/>
      <c r="AD294" s="109"/>
      <c r="AE294" s="109"/>
      <c r="AF294" s="109"/>
      <c r="AG294" s="109"/>
      <c r="AH294" s="108"/>
      <c r="AI294" s="100"/>
      <c r="AJ294" s="110"/>
      <c r="AK294" s="110"/>
      <c r="AL294" s="100"/>
      <c r="AM294" s="100"/>
      <c r="AN294" s="110"/>
      <c r="AO294" s="100"/>
      <c r="AP294" s="100"/>
      <c r="AQ294" s="110"/>
      <c r="AR294" s="100"/>
      <c r="AS294" s="111"/>
      <c r="AT294" s="111"/>
    </row>
    <row r="295" spans="1:46" ht="17" thickBot="1">
      <c r="A295" s="85" t="s">
        <v>4</v>
      </c>
      <c r="B295" s="250">
        <f>SUM(J295+K295+L295+M295+N295+S295+V295+W295+X295+AA295+AI295+AJ295+AI295+AM295+AP295+AQ295+AS295+AT295+AU295+AV295)+5</f>
        <v>5</v>
      </c>
      <c r="C295" s="217">
        <f t="shared" si="47"/>
        <v>5</v>
      </c>
      <c r="D295" s="144"/>
      <c r="E295" s="145"/>
      <c r="F295" s="146"/>
      <c r="G295" s="147"/>
      <c r="H295" s="130"/>
      <c r="I295" s="114">
        <v>5</v>
      </c>
      <c r="J295" s="113"/>
      <c r="K295" s="112"/>
      <c r="L295" s="112"/>
      <c r="M295" s="112"/>
      <c r="N295" s="113"/>
      <c r="O295" s="118"/>
      <c r="P295" s="117"/>
      <c r="Q295" s="118"/>
      <c r="R295" s="118"/>
      <c r="S295" s="116"/>
      <c r="T295" s="120"/>
      <c r="U295" s="120"/>
      <c r="V295" s="116"/>
      <c r="W295" s="116"/>
      <c r="X295" s="112"/>
      <c r="Y295" s="120"/>
      <c r="Z295" s="120">
        <v>5</v>
      </c>
      <c r="AA295" s="116"/>
      <c r="AB295" s="118"/>
      <c r="AC295" s="117"/>
      <c r="AD295" s="118"/>
      <c r="AE295" s="118"/>
      <c r="AF295" s="118"/>
      <c r="AG295" s="118"/>
      <c r="AH295" s="117"/>
      <c r="AI295" s="116"/>
      <c r="AJ295" s="120"/>
      <c r="AK295" s="120"/>
      <c r="AL295" s="116"/>
      <c r="AM295" s="116"/>
      <c r="AN295" s="120"/>
      <c r="AO295" s="116"/>
      <c r="AP295" s="116"/>
      <c r="AQ295" s="120"/>
      <c r="AR295" s="116"/>
      <c r="AS295" s="121"/>
      <c r="AT295" s="121"/>
    </row>
    <row r="296" spans="1:46" ht="21.1">
      <c r="A296" s="82" t="s">
        <v>457</v>
      </c>
      <c r="B296" s="247"/>
      <c r="C296" s="214"/>
      <c r="D296" s="133"/>
      <c r="E296" s="134"/>
      <c r="F296" s="135"/>
      <c r="G296" s="136"/>
      <c r="H296" s="107"/>
      <c r="I296" s="96" t="s">
        <v>375</v>
      </c>
      <c r="J296" s="104" t="s">
        <v>375</v>
      </c>
      <c r="K296" s="75" t="s">
        <v>371</v>
      </c>
      <c r="L296" s="75"/>
      <c r="M296" s="75"/>
      <c r="N296" s="104"/>
      <c r="O296" s="109" t="s">
        <v>375</v>
      </c>
      <c r="P296" s="108"/>
      <c r="Q296" s="109" t="s">
        <v>371</v>
      </c>
      <c r="R296" s="109"/>
      <c r="S296" s="100"/>
      <c r="T296" s="110"/>
      <c r="U296" s="110"/>
      <c r="V296" s="100"/>
      <c r="W296" s="100" t="s">
        <v>375</v>
      </c>
      <c r="X296" s="100"/>
      <c r="Y296" s="110"/>
      <c r="Z296" s="110"/>
      <c r="AA296" s="100"/>
      <c r="AB296" s="109" t="s">
        <v>371</v>
      </c>
      <c r="AC296" s="108"/>
      <c r="AD296" s="109" t="s">
        <v>371</v>
      </c>
      <c r="AE296" s="109"/>
      <c r="AF296" s="109"/>
      <c r="AG296" s="109" t="s">
        <v>371</v>
      </c>
      <c r="AH296" s="108"/>
      <c r="AI296" s="100"/>
      <c r="AJ296" s="110"/>
      <c r="AK296" s="110"/>
      <c r="AL296" s="100"/>
      <c r="AM296" s="100"/>
      <c r="AN296" s="110"/>
      <c r="AO296" s="100"/>
      <c r="AP296" s="100"/>
      <c r="AQ296" s="110"/>
      <c r="AR296" s="100"/>
      <c r="AS296" s="111"/>
      <c r="AT296" s="111"/>
    </row>
    <row r="297" spans="1:46" ht="16.3">
      <c r="A297" s="246" t="s">
        <v>1</v>
      </c>
      <c r="B297" s="248">
        <f>SUM(J297+K297+L297+M297+N297+S297+V297+W297+X297+AA297+AI297+AJ297+AI297+AM297+AP297+AQ297+AS297+AT297+AU297+AV297+AN297)+4</f>
        <v>5</v>
      </c>
      <c r="C297" s="215">
        <f>SUM(J297+K297+L297+M297+N297+S297+W297+X297+V297+AA297+AJ297+AI297+AJ297+AN297+AQ297+AM297+AT297+AU297+AV297+AW297+AP297+AS297)+12</f>
        <v>13</v>
      </c>
      <c r="D297" s="133"/>
      <c r="E297" s="134"/>
      <c r="F297" s="135"/>
      <c r="G297" s="136"/>
      <c r="H297" s="107"/>
      <c r="I297" s="96"/>
      <c r="J297" s="104"/>
      <c r="K297" s="75">
        <v>1</v>
      </c>
      <c r="L297" s="75"/>
      <c r="M297" s="75"/>
      <c r="N297" s="104"/>
      <c r="O297" s="109"/>
      <c r="P297" s="108"/>
      <c r="Q297" s="109">
        <v>1</v>
      </c>
      <c r="R297" s="109"/>
      <c r="S297" s="100"/>
      <c r="T297" s="110"/>
      <c r="U297" s="110"/>
      <c r="V297" s="100"/>
      <c r="W297" s="100"/>
      <c r="X297" s="100"/>
      <c r="Y297" s="110"/>
      <c r="Z297" s="110"/>
      <c r="AA297" s="100"/>
      <c r="AB297" s="109">
        <v>1</v>
      </c>
      <c r="AC297" s="108"/>
      <c r="AD297" s="109">
        <v>1</v>
      </c>
      <c r="AE297" s="109"/>
      <c r="AF297" s="109"/>
      <c r="AG297" s="109">
        <v>1</v>
      </c>
      <c r="AH297" s="108"/>
      <c r="AI297" s="100"/>
      <c r="AJ297" s="110"/>
      <c r="AK297" s="110"/>
      <c r="AL297" s="100"/>
      <c r="AM297" s="100"/>
      <c r="AN297" s="110"/>
      <c r="AO297" s="100"/>
      <c r="AP297" s="100"/>
      <c r="AQ297" s="110"/>
      <c r="AR297" s="100"/>
      <c r="AS297" s="111"/>
      <c r="AT297" s="111"/>
    </row>
    <row r="298" spans="1:46" ht="16.3">
      <c r="A298" s="246" t="s">
        <v>2</v>
      </c>
      <c r="B298" s="248">
        <f>SUM(J298+K298+L298+M298+N298+S298+V298+W298+X298+AA298+AI298+AJ298+AI298+AM298+AP298+AQ298+AS298+AT298+AU298+AV298)+3</f>
        <v>5</v>
      </c>
      <c r="C298" s="215">
        <f>SUM(J298+K298+L298+M298+N298+S298+W298+X298+V298+AA298+AJ298+AI298+AJ298+AN298+AQ298+AM298+AT298+AU298+AV298+AW298+AP298+AS298)+26</f>
        <v>28</v>
      </c>
      <c r="D298" s="133"/>
      <c r="E298" s="134"/>
      <c r="F298" s="135"/>
      <c r="G298" s="136"/>
      <c r="H298" s="107"/>
      <c r="I298" s="96">
        <v>1</v>
      </c>
      <c r="J298" s="104">
        <v>1</v>
      </c>
      <c r="K298" s="75"/>
      <c r="L298" s="75"/>
      <c r="M298" s="75"/>
      <c r="N298" s="104"/>
      <c r="O298" s="109">
        <v>1</v>
      </c>
      <c r="P298" s="108"/>
      <c r="Q298" s="109"/>
      <c r="R298" s="109"/>
      <c r="S298" s="100"/>
      <c r="T298" s="110"/>
      <c r="U298" s="110"/>
      <c r="V298" s="100"/>
      <c r="W298" s="100">
        <v>1</v>
      </c>
      <c r="X298" s="100"/>
      <c r="Y298" s="110"/>
      <c r="Z298" s="110"/>
      <c r="AA298" s="100"/>
      <c r="AB298" s="109"/>
      <c r="AC298" s="108"/>
      <c r="AD298" s="109"/>
      <c r="AE298" s="109"/>
      <c r="AF298" s="109"/>
      <c r="AG298" s="109"/>
      <c r="AH298" s="108"/>
      <c r="AI298" s="100"/>
      <c r="AJ298" s="110"/>
      <c r="AK298" s="110"/>
      <c r="AL298" s="100"/>
      <c r="AM298" s="100"/>
      <c r="AN298" s="110"/>
      <c r="AO298" s="100"/>
      <c r="AP298" s="100"/>
      <c r="AQ298" s="110"/>
      <c r="AR298" s="100"/>
      <c r="AS298" s="111"/>
      <c r="AT298" s="111"/>
    </row>
    <row r="299" spans="1:46" ht="16.3">
      <c r="A299" s="83" t="s">
        <v>363</v>
      </c>
      <c r="B299" s="247">
        <f>SUM(B297+B298)</f>
        <v>10</v>
      </c>
      <c r="C299" s="214">
        <f>SUM(C297+C298)</f>
        <v>41</v>
      </c>
      <c r="D299" s="133"/>
      <c r="E299" s="134"/>
      <c r="F299" s="135"/>
      <c r="G299" s="136"/>
      <c r="H299" s="107"/>
      <c r="I299" s="96"/>
      <c r="J299" s="104"/>
      <c r="K299" s="75"/>
      <c r="L299" s="75"/>
      <c r="M299" s="75"/>
      <c r="N299" s="104"/>
      <c r="O299" s="109"/>
      <c r="P299" s="108"/>
      <c r="Q299" s="109"/>
      <c r="R299" s="109"/>
      <c r="S299" s="100"/>
      <c r="T299" s="110"/>
      <c r="U299" s="110"/>
      <c r="V299" s="100"/>
      <c r="W299" s="100"/>
      <c r="X299" s="100"/>
      <c r="Y299" s="110"/>
      <c r="Z299" s="110"/>
      <c r="AA299" s="100"/>
      <c r="AB299" s="109"/>
      <c r="AC299" s="108"/>
      <c r="AD299" s="109"/>
      <c r="AE299" s="109"/>
      <c r="AF299" s="109"/>
      <c r="AG299" s="109"/>
      <c r="AH299" s="108"/>
      <c r="AI299" s="100"/>
      <c r="AJ299" s="110"/>
      <c r="AK299" s="110"/>
      <c r="AL299" s="100"/>
      <c r="AM299" s="100"/>
      <c r="AN299" s="110"/>
      <c r="AO299" s="100"/>
      <c r="AP299" s="100"/>
      <c r="AQ299" s="110"/>
      <c r="AR299" s="100"/>
      <c r="AS299" s="111"/>
      <c r="AT299" s="111"/>
    </row>
    <row r="300" spans="1:46" ht="16.3">
      <c r="A300" s="83" t="s">
        <v>3</v>
      </c>
      <c r="B300" s="247">
        <f>SUM(J300+K300+L300+M300+N300+S300+V300+W300+X300+AA300+AI300+AJ300+AI300+AM300+AP300+AQ300+AS300+AT300+AU300+AV300)</f>
        <v>0</v>
      </c>
      <c r="C300" s="214">
        <f>SUM(J300+K300+L300+M300+N300+S300+W300+X300+V300+AA300+AJ300+AI300+AJ300+AN300+AQ300+AM300+AT300+AU300+AV300+AW300+AP300+AS300)+3</f>
        <v>3</v>
      </c>
      <c r="D300" s="133"/>
      <c r="E300" s="134"/>
      <c r="F300" s="135"/>
      <c r="G300" s="136"/>
      <c r="H300" s="107"/>
      <c r="I300" s="96"/>
      <c r="J300" s="104"/>
      <c r="K300" s="75"/>
      <c r="L300" s="75"/>
      <c r="M300" s="75"/>
      <c r="N300" s="104"/>
      <c r="O300" s="109"/>
      <c r="P300" s="108"/>
      <c r="Q300" s="109"/>
      <c r="R300" s="109"/>
      <c r="S300" s="100"/>
      <c r="T300" s="110"/>
      <c r="U300" s="110"/>
      <c r="V300" s="100"/>
      <c r="W300" s="100"/>
      <c r="X300" s="100"/>
      <c r="Y300" s="110"/>
      <c r="Z300" s="110"/>
      <c r="AA300" s="100"/>
      <c r="AB300" s="109">
        <v>1</v>
      </c>
      <c r="AC300" s="108"/>
      <c r="AD300" s="109"/>
      <c r="AE300" s="109"/>
      <c r="AF300" s="109"/>
      <c r="AG300" s="109"/>
      <c r="AH300" s="108"/>
      <c r="AI300" s="100"/>
      <c r="AJ300" s="110"/>
      <c r="AK300" s="110"/>
      <c r="AL300" s="100"/>
      <c r="AM300" s="100"/>
      <c r="AN300" s="110"/>
      <c r="AO300" s="100"/>
      <c r="AP300" s="100"/>
      <c r="AQ300" s="110"/>
      <c r="AR300" s="100"/>
      <c r="AS300" s="111"/>
      <c r="AT300" s="111"/>
    </row>
    <row r="301" spans="1:46" ht="17" thickBot="1">
      <c r="A301" s="85" t="s">
        <v>4</v>
      </c>
      <c r="B301" s="250">
        <f>SUM(J301+K301+L301+M301+N301+S301+V301+W301+X301+AA301+AI301+AJ301+AI301+AM301+AP301+AQ301+AS301+AT301+AU301+AV301)</f>
        <v>0</v>
      </c>
      <c r="C301" s="217">
        <f>SUM(J301+K301+L301+M301+N301+S301+W301+X301+V301+AA301+AJ301+AI301+AJ301+AN301+AQ301+AM301+AT301+AU301+AV301+AW301+AP301+AS301)+15</f>
        <v>15</v>
      </c>
      <c r="D301" s="144"/>
      <c r="E301" s="145"/>
      <c r="F301" s="146"/>
      <c r="G301" s="147"/>
      <c r="H301" s="130"/>
      <c r="I301" s="114"/>
      <c r="J301" s="113"/>
      <c r="K301" s="112"/>
      <c r="L301" s="112"/>
      <c r="M301" s="112"/>
      <c r="N301" s="113"/>
      <c r="O301" s="118"/>
      <c r="P301" s="117"/>
      <c r="Q301" s="118"/>
      <c r="R301" s="118"/>
      <c r="S301" s="116"/>
      <c r="T301" s="120"/>
      <c r="U301" s="120"/>
      <c r="V301" s="116"/>
      <c r="W301" s="116"/>
      <c r="X301" s="116"/>
      <c r="Y301" s="120"/>
      <c r="Z301" s="120"/>
      <c r="AA301" s="116"/>
      <c r="AB301" s="118">
        <v>5</v>
      </c>
      <c r="AC301" s="117"/>
      <c r="AD301" s="118"/>
      <c r="AE301" s="118"/>
      <c r="AF301" s="118"/>
      <c r="AG301" s="118"/>
      <c r="AH301" s="117"/>
      <c r="AI301" s="116"/>
      <c r="AJ301" s="120"/>
      <c r="AK301" s="120"/>
      <c r="AL301" s="116"/>
      <c r="AM301" s="116"/>
      <c r="AN301" s="120"/>
      <c r="AO301" s="116"/>
      <c r="AP301" s="116"/>
      <c r="AQ301" s="120"/>
      <c r="AR301" s="116"/>
      <c r="AS301" s="121"/>
      <c r="AT301" s="121"/>
    </row>
    <row r="302" spans="1:46" ht="21.1">
      <c r="A302" s="82" t="s">
        <v>1025</v>
      </c>
      <c r="B302" s="247"/>
      <c r="C302" s="214"/>
      <c r="D302" s="133"/>
      <c r="E302" s="134"/>
      <c r="F302" s="135"/>
      <c r="G302" s="136"/>
      <c r="H302" s="107"/>
      <c r="I302" s="96" t="s">
        <v>1026</v>
      </c>
      <c r="J302" s="104" t="s">
        <v>344</v>
      </c>
      <c r="K302" s="75" t="s">
        <v>344</v>
      </c>
      <c r="L302" s="75" t="s">
        <v>344</v>
      </c>
      <c r="M302" s="75" t="s">
        <v>344</v>
      </c>
      <c r="N302" s="104" t="s">
        <v>344</v>
      </c>
      <c r="O302" s="109" t="s">
        <v>344</v>
      </c>
      <c r="P302" s="108"/>
      <c r="Q302" s="109" t="s">
        <v>344</v>
      </c>
      <c r="R302" s="109" t="s">
        <v>344</v>
      </c>
      <c r="S302" s="100" t="s">
        <v>344</v>
      </c>
      <c r="T302" s="110" t="s">
        <v>344</v>
      </c>
      <c r="U302" s="110" t="s">
        <v>344</v>
      </c>
      <c r="V302" s="100" t="s">
        <v>344</v>
      </c>
      <c r="W302" s="100" t="s">
        <v>344</v>
      </c>
      <c r="X302" s="100" t="s">
        <v>344</v>
      </c>
      <c r="Y302" s="110" t="s">
        <v>344</v>
      </c>
      <c r="Z302" s="110" t="s">
        <v>344</v>
      </c>
      <c r="AA302" s="100" t="s">
        <v>344</v>
      </c>
      <c r="AB302" s="109" t="s">
        <v>344</v>
      </c>
      <c r="AC302" s="108" t="s">
        <v>1027</v>
      </c>
      <c r="AD302" s="109" t="s">
        <v>432</v>
      </c>
      <c r="AE302" s="109"/>
      <c r="AF302" s="109"/>
      <c r="AG302" s="109"/>
      <c r="AH302" s="108"/>
      <c r="AI302" s="100"/>
      <c r="AJ302" s="110"/>
      <c r="AK302" s="110"/>
      <c r="AL302" s="100"/>
      <c r="AM302" s="100"/>
      <c r="AN302" s="110"/>
      <c r="AO302" s="100"/>
      <c r="AP302" s="100"/>
      <c r="AQ302" s="110"/>
      <c r="AR302" s="100"/>
      <c r="AS302" s="111"/>
      <c r="AT302" s="111"/>
    </row>
    <row r="303" spans="1:46" ht="16.3">
      <c r="A303" s="246" t="s">
        <v>1</v>
      </c>
      <c r="B303" s="248">
        <f>SUM(J303+K303+L303+M303+N303+S303+V303+W303+X303+AA303+AI303+AJ303+AI303+AM303+AP303+AQ303+AS303+AT303+AU303+AV303+AN303)</f>
        <v>0</v>
      </c>
      <c r="C303" s="215">
        <f>B303</f>
        <v>0</v>
      </c>
      <c r="D303" s="133"/>
      <c r="E303" s="134"/>
      <c r="F303" s="135"/>
      <c r="G303" s="136"/>
      <c r="H303" s="107"/>
      <c r="I303" s="96"/>
      <c r="J303" s="104"/>
      <c r="K303" s="75"/>
      <c r="L303" s="75"/>
      <c r="M303" s="75"/>
      <c r="N303" s="104"/>
      <c r="O303" s="109"/>
      <c r="P303" s="108"/>
      <c r="Q303" s="109"/>
      <c r="R303" s="109"/>
      <c r="S303" s="100"/>
      <c r="T303" s="110"/>
      <c r="U303" s="110"/>
      <c r="V303" s="100"/>
      <c r="W303" s="100"/>
      <c r="X303" s="100"/>
      <c r="Y303" s="110"/>
      <c r="Z303" s="110"/>
      <c r="AA303" s="100"/>
      <c r="AB303" s="109"/>
      <c r="AC303" s="108"/>
      <c r="AD303" s="109"/>
      <c r="AE303" s="109"/>
      <c r="AF303" s="109"/>
      <c r="AG303" s="109"/>
      <c r="AH303" s="108"/>
      <c r="AI303" s="100"/>
      <c r="AJ303" s="110"/>
      <c r="AK303" s="110"/>
      <c r="AL303" s="100"/>
      <c r="AM303" s="100"/>
      <c r="AN303" s="110"/>
      <c r="AO303" s="100"/>
      <c r="AP303" s="100"/>
      <c r="AQ303" s="110"/>
      <c r="AR303" s="100"/>
      <c r="AS303" s="111"/>
      <c r="AT303" s="111"/>
    </row>
    <row r="304" spans="1:46" ht="16.3">
      <c r="A304" s="246" t="s">
        <v>2</v>
      </c>
      <c r="B304" s="248">
        <f>SUM(J304+K304+L304+M304+N304+S304+V304+W304+X304+AA304+AI304+AJ304+AI304+AM304+AP304+AQ304+AS304+AT304+AU304+AV304)</f>
        <v>0</v>
      </c>
      <c r="C304" s="215">
        <f t="shared" ref="C304:C307" si="48">B304</f>
        <v>0</v>
      </c>
      <c r="D304" s="133"/>
      <c r="E304" s="134"/>
      <c r="F304" s="135"/>
      <c r="G304" s="136"/>
      <c r="H304" s="107"/>
      <c r="I304" s="96"/>
      <c r="J304" s="104"/>
      <c r="K304" s="75"/>
      <c r="L304" s="75"/>
      <c r="M304" s="75"/>
      <c r="N304" s="104"/>
      <c r="O304" s="109"/>
      <c r="P304" s="108"/>
      <c r="Q304" s="109"/>
      <c r="R304" s="109"/>
      <c r="S304" s="100"/>
      <c r="T304" s="110"/>
      <c r="U304" s="110"/>
      <c r="V304" s="100"/>
      <c r="W304" s="100"/>
      <c r="X304" s="100"/>
      <c r="Y304" s="110"/>
      <c r="Z304" s="110"/>
      <c r="AA304" s="100"/>
      <c r="AB304" s="109"/>
      <c r="AC304" s="108"/>
      <c r="AD304" s="109">
        <v>1</v>
      </c>
      <c r="AE304" s="109"/>
      <c r="AF304" s="109"/>
      <c r="AG304" s="109"/>
      <c r="AH304" s="108"/>
      <c r="AI304" s="100"/>
      <c r="AJ304" s="110"/>
      <c r="AK304" s="110"/>
      <c r="AL304" s="100"/>
      <c r="AM304" s="100"/>
      <c r="AN304" s="110"/>
      <c r="AO304" s="100"/>
      <c r="AP304" s="100"/>
      <c r="AQ304" s="110"/>
      <c r="AR304" s="100"/>
      <c r="AS304" s="111"/>
      <c r="AT304" s="111"/>
    </row>
    <row r="305" spans="1:46" ht="16.3">
      <c r="A305" s="83" t="s">
        <v>363</v>
      </c>
      <c r="B305" s="247">
        <f>SUM(B303+B304)</f>
        <v>0</v>
      </c>
      <c r="C305" s="214">
        <f t="shared" si="48"/>
        <v>0</v>
      </c>
      <c r="D305" s="133"/>
      <c r="E305" s="134"/>
      <c r="F305" s="135"/>
      <c r="G305" s="136"/>
      <c r="H305" s="107"/>
      <c r="I305" s="96"/>
      <c r="J305" s="104"/>
      <c r="K305" s="75"/>
      <c r="L305" s="75"/>
      <c r="M305" s="75"/>
      <c r="N305" s="104"/>
      <c r="O305" s="109"/>
      <c r="P305" s="108"/>
      <c r="Q305" s="109"/>
      <c r="R305" s="109"/>
      <c r="S305" s="100"/>
      <c r="T305" s="110"/>
      <c r="U305" s="110"/>
      <c r="V305" s="100"/>
      <c r="W305" s="100"/>
      <c r="X305" s="100"/>
      <c r="Y305" s="110"/>
      <c r="Z305" s="110"/>
      <c r="AA305" s="100"/>
      <c r="AB305" s="109"/>
      <c r="AC305" s="108"/>
      <c r="AD305" s="109"/>
      <c r="AE305" s="109"/>
      <c r="AF305" s="109"/>
      <c r="AG305" s="109"/>
      <c r="AH305" s="108"/>
      <c r="AI305" s="100"/>
      <c r="AJ305" s="110"/>
      <c r="AK305" s="110"/>
      <c r="AL305" s="100"/>
      <c r="AM305" s="100"/>
      <c r="AN305" s="110"/>
      <c r="AO305" s="100"/>
      <c r="AP305" s="100"/>
      <c r="AQ305" s="110"/>
      <c r="AR305" s="100"/>
      <c r="AS305" s="111"/>
      <c r="AT305" s="111"/>
    </row>
    <row r="306" spans="1:46" ht="16.3">
      <c r="A306" s="83" t="s">
        <v>3</v>
      </c>
      <c r="B306" s="247">
        <f>SUM(J306+K306+L306+M306+N306+S306+V306+W306+X306+AA306+AI306+AJ306+AI306+AM306+AP306+AQ306+AS306+AT306+AU306+AV306)</f>
        <v>0</v>
      </c>
      <c r="C306" s="214">
        <f t="shared" si="48"/>
        <v>0</v>
      </c>
      <c r="D306" s="133"/>
      <c r="E306" s="134"/>
      <c r="F306" s="135"/>
      <c r="G306" s="136"/>
      <c r="H306" s="107"/>
      <c r="I306" s="96"/>
      <c r="J306" s="104"/>
      <c r="K306" s="75"/>
      <c r="L306" s="75"/>
      <c r="M306" s="75"/>
      <c r="N306" s="104"/>
      <c r="O306" s="109"/>
      <c r="P306" s="108"/>
      <c r="Q306" s="109"/>
      <c r="R306" s="109"/>
      <c r="S306" s="100"/>
      <c r="T306" s="110"/>
      <c r="U306" s="110"/>
      <c r="V306" s="100"/>
      <c r="W306" s="100"/>
      <c r="X306" s="100"/>
      <c r="Y306" s="110"/>
      <c r="Z306" s="110"/>
      <c r="AA306" s="100"/>
      <c r="AB306" s="109"/>
      <c r="AC306" s="108"/>
      <c r="AD306" s="109"/>
      <c r="AE306" s="109"/>
      <c r="AF306" s="109"/>
      <c r="AG306" s="109"/>
      <c r="AH306" s="108"/>
      <c r="AI306" s="100"/>
      <c r="AJ306" s="110"/>
      <c r="AK306" s="110"/>
      <c r="AL306" s="100"/>
      <c r="AM306" s="100"/>
      <c r="AN306" s="110"/>
      <c r="AO306" s="100"/>
      <c r="AP306" s="100"/>
      <c r="AQ306" s="110"/>
      <c r="AR306" s="100"/>
      <c r="AS306" s="111"/>
      <c r="AT306" s="111"/>
    </row>
    <row r="307" spans="1:46" ht="17" thickBot="1">
      <c r="A307" s="85" t="s">
        <v>4</v>
      </c>
      <c r="B307" s="250">
        <f>SUM(J307+K307+L307+M307+N307+S307+V307+W307+X307+AA307+AI307+AJ307+AI307+AM307+AP307+AQ307+AS307+AT307+AU307+AV307)</f>
        <v>0</v>
      </c>
      <c r="C307" s="217">
        <f t="shared" si="48"/>
        <v>0</v>
      </c>
      <c r="D307" s="144"/>
      <c r="E307" s="145"/>
      <c r="F307" s="146"/>
      <c r="G307" s="147"/>
      <c r="H307" s="130"/>
      <c r="I307" s="114"/>
      <c r="J307" s="113"/>
      <c r="K307" s="112"/>
      <c r="L307" s="112"/>
      <c r="M307" s="112"/>
      <c r="N307" s="113"/>
      <c r="O307" s="118"/>
      <c r="P307" s="117"/>
      <c r="Q307" s="118"/>
      <c r="R307" s="118"/>
      <c r="S307" s="116"/>
      <c r="T307" s="120"/>
      <c r="U307" s="120"/>
      <c r="V307" s="116"/>
      <c r="W307" s="116"/>
      <c r="X307" s="116"/>
      <c r="Y307" s="120"/>
      <c r="Z307" s="120"/>
      <c r="AA307" s="116"/>
      <c r="AB307" s="118"/>
      <c r="AC307" s="117"/>
      <c r="AD307" s="118"/>
      <c r="AE307" s="118"/>
      <c r="AF307" s="118"/>
      <c r="AG307" s="118"/>
      <c r="AH307" s="117"/>
      <c r="AI307" s="116"/>
      <c r="AJ307" s="120"/>
      <c r="AK307" s="120"/>
      <c r="AL307" s="116"/>
      <c r="AM307" s="116"/>
      <c r="AN307" s="120"/>
      <c r="AO307" s="116"/>
      <c r="AP307" s="116"/>
      <c r="AQ307" s="120"/>
      <c r="AR307" s="116"/>
      <c r="AS307" s="121"/>
      <c r="AT307" s="121"/>
    </row>
    <row r="308" spans="1:46" ht="21.1">
      <c r="A308" s="82" t="s">
        <v>83</v>
      </c>
      <c r="B308" s="247"/>
      <c r="C308" s="214"/>
      <c r="D308" s="133"/>
      <c r="E308" s="134"/>
      <c r="F308" s="135"/>
      <c r="G308" s="136"/>
      <c r="H308" s="107"/>
      <c r="I308" s="96"/>
      <c r="J308" s="104">
        <v>4</v>
      </c>
      <c r="K308" s="75">
        <v>4</v>
      </c>
      <c r="L308" s="75">
        <v>6</v>
      </c>
      <c r="M308" s="75" t="s">
        <v>894</v>
      </c>
      <c r="N308" s="104">
        <v>6</v>
      </c>
      <c r="O308" s="109" t="s">
        <v>775</v>
      </c>
      <c r="P308" s="108"/>
      <c r="Q308" s="109" t="s">
        <v>775</v>
      </c>
      <c r="R308" s="109" t="s">
        <v>775</v>
      </c>
      <c r="S308" s="100"/>
      <c r="T308" s="110">
        <v>4</v>
      </c>
      <c r="U308" s="110" t="s">
        <v>372</v>
      </c>
      <c r="V308" s="100">
        <v>4</v>
      </c>
      <c r="W308" s="100"/>
      <c r="X308" s="100" t="s">
        <v>894</v>
      </c>
      <c r="Y308" s="110" t="s">
        <v>372</v>
      </c>
      <c r="Z308" s="110"/>
      <c r="AA308" s="100">
        <v>4</v>
      </c>
      <c r="AB308" s="109" t="s">
        <v>775</v>
      </c>
      <c r="AC308" s="108"/>
      <c r="AD308" s="109" t="s">
        <v>775</v>
      </c>
      <c r="AE308" s="109" t="s">
        <v>775</v>
      </c>
      <c r="AF308" s="109" t="s">
        <v>775</v>
      </c>
      <c r="AG308" s="109" t="s">
        <v>775</v>
      </c>
      <c r="AH308" s="108"/>
      <c r="AI308" s="100"/>
      <c r="AJ308" s="110"/>
      <c r="AK308" s="110"/>
      <c r="AL308" s="100"/>
      <c r="AM308" s="100"/>
      <c r="AN308" s="110"/>
      <c r="AO308" s="100"/>
      <c r="AP308" s="100"/>
      <c r="AQ308" s="110"/>
      <c r="AR308" s="100"/>
      <c r="AS308" s="111"/>
      <c r="AT308" s="111"/>
    </row>
    <row r="309" spans="1:46" ht="16.3">
      <c r="A309" s="246" t="s">
        <v>1</v>
      </c>
      <c r="B309" s="248">
        <f>SUM(J309+K309+L309+M309+N309+S309+V309+W309+X309+AA309+AI309+AJ309+AI309+AM309+AP309+AQ309+AS309+AT309+AU309+AV309+AN309)+61</f>
        <v>69</v>
      </c>
      <c r="C309" s="215">
        <f>B309</f>
        <v>69</v>
      </c>
      <c r="D309" s="133"/>
      <c r="E309" s="134"/>
      <c r="F309" s="135"/>
      <c r="G309" s="136"/>
      <c r="H309" s="107"/>
      <c r="I309" s="96"/>
      <c r="J309" s="104">
        <v>1</v>
      </c>
      <c r="K309" s="75">
        <v>1</v>
      </c>
      <c r="L309" s="75">
        <v>1</v>
      </c>
      <c r="M309" s="75">
        <v>1</v>
      </c>
      <c r="N309" s="104">
        <v>1</v>
      </c>
      <c r="O309" s="109"/>
      <c r="P309" s="108"/>
      <c r="Q309" s="109"/>
      <c r="R309" s="109"/>
      <c r="S309" s="100"/>
      <c r="T309" s="110">
        <v>1</v>
      </c>
      <c r="U309" s="110">
        <v>1</v>
      </c>
      <c r="V309" s="100">
        <v>1</v>
      </c>
      <c r="W309" s="100"/>
      <c r="X309" s="100">
        <v>1</v>
      </c>
      <c r="Y309" s="110">
        <v>1</v>
      </c>
      <c r="Z309" s="110"/>
      <c r="AA309" s="100">
        <v>1</v>
      </c>
      <c r="AB309" s="109"/>
      <c r="AC309" s="108"/>
      <c r="AD309" s="109"/>
      <c r="AE309" s="109"/>
      <c r="AF309" s="109"/>
      <c r="AG309" s="109"/>
      <c r="AH309" s="108"/>
      <c r="AI309" s="100"/>
      <c r="AJ309" s="110"/>
      <c r="AK309" s="110"/>
      <c r="AL309" s="100"/>
      <c r="AM309" s="100"/>
      <c r="AN309" s="110"/>
      <c r="AO309" s="100"/>
      <c r="AP309" s="100"/>
      <c r="AQ309" s="110"/>
      <c r="AR309" s="100"/>
      <c r="AS309" s="111"/>
      <c r="AT309" s="111"/>
    </row>
    <row r="310" spans="1:46" ht="16.3">
      <c r="A310" s="246" t="s">
        <v>2</v>
      </c>
      <c r="B310" s="248">
        <f>SUM(J310+K310+L310+M310+N310+S310+V310+W310+X310+AA310+AI310+AJ310+AI310+AM310+AP310+AQ310+AS310+AT310+AU310+AV310)+34</f>
        <v>34</v>
      </c>
      <c r="C310" s="215">
        <f t="shared" ref="C310:C316" si="49">B310</f>
        <v>34</v>
      </c>
      <c r="D310" s="133"/>
      <c r="E310" s="134"/>
      <c r="F310" s="135"/>
      <c r="G310" s="136"/>
      <c r="H310" s="107"/>
      <c r="I310" s="96"/>
      <c r="J310" s="104"/>
      <c r="K310" s="75"/>
      <c r="L310" s="75"/>
      <c r="M310" s="75"/>
      <c r="N310" s="104"/>
      <c r="O310" s="109"/>
      <c r="P310" s="108"/>
      <c r="Q310" s="109"/>
      <c r="R310" s="109"/>
      <c r="S310" s="100"/>
      <c r="T310" s="110"/>
      <c r="U310" s="110"/>
      <c r="V310" s="100"/>
      <c r="W310" s="100"/>
      <c r="X310" s="100"/>
      <c r="Y310" s="110"/>
      <c r="Z310" s="110"/>
      <c r="AA310" s="100"/>
      <c r="AB310" s="109"/>
      <c r="AC310" s="108"/>
      <c r="AD310" s="109"/>
      <c r="AE310" s="109"/>
      <c r="AF310" s="109"/>
      <c r="AG310" s="109"/>
      <c r="AH310" s="108"/>
      <c r="AI310" s="100"/>
      <c r="AJ310" s="110"/>
      <c r="AK310" s="110"/>
      <c r="AL310" s="100"/>
      <c r="AM310" s="100"/>
      <c r="AN310" s="110"/>
      <c r="AO310" s="100"/>
      <c r="AP310" s="100"/>
      <c r="AQ310" s="110"/>
      <c r="AR310" s="100"/>
      <c r="AS310" s="111"/>
      <c r="AT310" s="111"/>
    </row>
    <row r="311" spans="1:46" ht="16.3">
      <c r="A311" s="83" t="s">
        <v>363</v>
      </c>
      <c r="B311" s="247">
        <f>SUM(B309+B310)</f>
        <v>103</v>
      </c>
      <c r="C311" s="214">
        <f t="shared" si="49"/>
        <v>103</v>
      </c>
      <c r="D311" s="133"/>
      <c r="E311" s="134"/>
      <c r="F311" s="135"/>
      <c r="G311" s="136"/>
      <c r="H311" s="107"/>
      <c r="I311" s="96"/>
      <c r="J311" s="104"/>
      <c r="K311" s="75"/>
      <c r="L311" s="75"/>
      <c r="M311" s="75"/>
      <c r="N311" s="104"/>
      <c r="O311" s="109"/>
      <c r="P311" s="108"/>
      <c r="Q311" s="109"/>
      <c r="R311" s="109"/>
      <c r="S311" s="100"/>
      <c r="T311" s="110"/>
      <c r="U311" s="110"/>
      <c r="V311" s="100"/>
      <c r="W311" s="100"/>
      <c r="X311" s="100"/>
      <c r="Y311" s="110"/>
      <c r="Z311" s="110"/>
      <c r="AA311" s="100"/>
      <c r="AB311" s="109"/>
      <c r="AC311" s="108"/>
      <c r="AD311" s="109"/>
      <c r="AE311" s="109"/>
      <c r="AF311" s="109"/>
      <c r="AG311" s="109"/>
      <c r="AH311" s="108"/>
      <c r="AI311" s="100"/>
      <c r="AJ311" s="110"/>
      <c r="AK311" s="110"/>
      <c r="AL311" s="100"/>
      <c r="AM311" s="100"/>
      <c r="AN311" s="110"/>
      <c r="AO311" s="100"/>
      <c r="AP311" s="100"/>
      <c r="AQ311" s="110"/>
      <c r="AR311" s="100"/>
      <c r="AS311" s="111"/>
      <c r="AT311" s="111"/>
    </row>
    <row r="312" spans="1:46" ht="16.3">
      <c r="A312" s="246" t="s">
        <v>366</v>
      </c>
      <c r="B312" s="248">
        <f>SUM(J312+K312+L312+M312+N312+S312+V312+W312+X312+AA312+AI312+AJ312+AI312+AM312+AP312+AQ312+AS312+AT312+AU312+AV312)+2</f>
        <v>2</v>
      </c>
      <c r="C312" s="215">
        <f t="shared" si="49"/>
        <v>2</v>
      </c>
      <c r="D312" s="133"/>
      <c r="E312" s="134"/>
      <c r="F312" s="135"/>
      <c r="G312" s="136"/>
      <c r="H312" s="107"/>
      <c r="I312" s="96"/>
      <c r="J312" s="104"/>
      <c r="K312" s="75"/>
      <c r="L312" s="75"/>
      <c r="M312" s="75"/>
      <c r="N312" s="104"/>
      <c r="O312" s="109"/>
      <c r="P312" s="108"/>
      <c r="Q312" s="109"/>
      <c r="R312" s="109"/>
      <c r="S312" s="100"/>
      <c r="T312" s="110"/>
      <c r="U312" s="110"/>
      <c r="V312" s="100"/>
      <c r="W312" s="100"/>
      <c r="X312" s="100"/>
      <c r="Y312" s="110"/>
      <c r="Z312" s="110"/>
      <c r="AA312" s="100"/>
      <c r="AB312" s="109"/>
      <c r="AC312" s="108"/>
      <c r="AD312" s="109"/>
      <c r="AE312" s="109"/>
      <c r="AF312" s="109"/>
      <c r="AG312" s="109"/>
      <c r="AH312" s="108"/>
      <c r="AI312" s="100"/>
      <c r="AJ312" s="110"/>
      <c r="AK312" s="110"/>
      <c r="AL312" s="100"/>
      <c r="AM312" s="100"/>
      <c r="AN312" s="110"/>
      <c r="AO312" s="100"/>
      <c r="AP312" s="100"/>
      <c r="AQ312" s="110"/>
      <c r="AR312" s="100"/>
      <c r="AS312" s="111"/>
      <c r="AT312" s="111"/>
    </row>
    <row r="313" spans="1:46" ht="16.3">
      <c r="A313" s="246" t="s">
        <v>362</v>
      </c>
      <c r="B313" s="248">
        <f>SUM(J313+K313+L313+M313+N313+S313+V313+W313+X313+AA313+AI313+AJ313+AI313+AM313+AP313+AQ313+AS313+AT313+AU313+AV313)+2</f>
        <v>2</v>
      </c>
      <c r="C313" s="215">
        <f t="shared" si="49"/>
        <v>2</v>
      </c>
      <c r="D313" s="133"/>
      <c r="E313" s="134"/>
      <c r="F313" s="135"/>
      <c r="G313" s="136"/>
      <c r="H313" s="107"/>
      <c r="I313" s="96"/>
      <c r="J313" s="104"/>
      <c r="K313" s="75"/>
      <c r="L313" s="75"/>
      <c r="M313" s="75"/>
      <c r="N313" s="104"/>
      <c r="O313" s="109"/>
      <c r="P313" s="108"/>
      <c r="Q313" s="109"/>
      <c r="R313" s="109"/>
      <c r="S313" s="100"/>
      <c r="T313" s="110"/>
      <c r="U313" s="110"/>
      <c r="V313" s="100"/>
      <c r="W313" s="100"/>
      <c r="X313" s="100"/>
      <c r="Y313" s="110"/>
      <c r="Z313" s="110"/>
      <c r="AA313" s="100"/>
      <c r="AB313" s="109"/>
      <c r="AC313" s="108"/>
      <c r="AD313" s="109"/>
      <c r="AE313" s="109"/>
      <c r="AF313" s="109"/>
      <c r="AG313" s="109"/>
      <c r="AH313" s="108"/>
      <c r="AI313" s="100"/>
      <c r="AJ313" s="110"/>
      <c r="AK313" s="110"/>
      <c r="AL313" s="100"/>
      <c r="AM313" s="100"/>
      <c r="AN313" s="110"/>
      <c r="AO313" s="100"/>
      <c r="AP313" s="100"/>
      <c r="AQ313" s="110"/>
      <c r="AR313" s="100"/>
      <c r="AS313" s="111"/>
      <c r="AT313" s="111"/>
    </row>
    <row r="314" spans="1:46" ht="16.3">
      <c r="A314" s="246" t="s">
        <v>746</v>
      </c>
      <c r="B314" s="248">
        <f>SUM(J314+K314+L314+M314+N314+S314+V314+W314+X314+AA314+AI314+AJ314+AI314+AM314+AP314+AQ314+AS314+AT314+AU314+AV314)</f>
        <v>1</v>
      </c>
      <c r="C314" s="793">
        <f t="shared" ref="C314" si="50">B314</f>
        <v>1</v>
      </c>
      <c r="D314" s="133"/>
      <c r="E314" s="134"/>
      <c r="F314" s="135"/>
      <c r="G314" s="136"/>
      <c r="H314" s="107"/>
      <c r="I314" s="96"/>
      <c r="J314" s="104"/>
      <c r="K314" s="75"/>
      <c r="L314" s="75"/>
      <c r="M314" s="75"/>
      <c r="N314" s="104"/>
      <c r="O314" s="109"/>
      <c r="P314" s="108"/>
      <c r="Q314" s="109"/>
      <c r="R314" s="109"/>
      <c r="S314" s="100"/>
      <c r="T314" s="110"/>
      <c r="U314" s="110"/>
      <c r="V314" s="100"/>
      <c r="W314" s="100"/>
      <c r="X314" s="100">
        <v>1</v>
      </c>
      <c r="Y314" s="110"/>
      <c r="Z314" s="110"/>
      <c r="AA314" s="100"/>
      <c r="AB314" s="109"/>
      <c r="AC314" s="108"/>
      <c r="AD314" s="109"/>
      <c r="AE314" s="109"/>
      <c r="AF314" s="109"/>
      <c r="AG314" s="109"/>
      <c r="AH314" s="108"/>
      <c r="AI314" s="100"/>
      <c r="AJ314" s="110"/>
      <c r="AK314" s="110"/>
      <c r="AL314" s="100"/>
      <c r="AM314" s="100"/>
      <c r="AN314" s="110"/>
      <c r="AO314" s="100"/>
      <c r="AP314" s="100"/>
      <c r="AQ314" s="110"/>
      <c r="AR314" s="100"/>
      <c r="AS314" s="111"/>
      <c r="AT314" s="111"/>
    </row>
    <row r="315" spans="1:46" ht="16.3">
      <c r="A315" s="83" t="s">
        <v>3</v>
      </c>
      <c r="B315" s="247">
        <f>SUM(J315+K315+L315+M315+N315+S315+V315+W315+X315+AA315+AI315+AJ315+AI315+AM315+AP315+AQ315+AS315+AT315+AU315+AV315)+11</f>
        <v>17</v>
      </c>
      <c r="C315" s="247">
        <f t="shared" si="49"/>
        <v>17</v>
      </c>
      <c r="D315" s="133"/>
      <c r="E315" s="134"/>
      <c r="F315" s="135"/>
      <c r="G315" s="136"/>
      <c r="H315" s="107"/>
      <c r="I315" s="96"/>
      <c r="J315" s="104">
        <v>1</v>
      </c>
      <c r="K315" s="75"/>
      <c r="L315" s="75"/>
      <c r="M315" s="75">
        <v>1</v>
      </c>
      <c r="N315" s="104"/>
      <c r="O315" s="109"/>
      <c r="P315" s="108"/>
      <c r="Q315" s="109"/>
      <c r="R315" s="109"/>
      <c r="S315" s="100"/>
      <c r="T315" s="110"/>
      <c r="U315" s="110">
        <v>1</v>
      </c>
      <c r="V315" s="100"/>
      <c r="W315" s="100"/>
      <c r="X315" s="150">
        <v>3</v>
      </c>
      <c r="Y315" s="110"/>
      <c r="Z315" s="110"/>
      <c r="AA315" s="100">
        <v>1</v>
      </c>
      <c r="AB315" s="109"/>
      <c r="AC315" s="108"/>
      <c r="AD315" s="109"/>
      <c r="AE315" s="109"/>
      <c r="AF315" s="109"/>
      <c r="AG315" s="109"/>
      <c r="AH315" s="108"/>
      <c r="AI315" s="100"/>
      <c r="AJ315" s="110"/>
      <c r="AK315" s="110"/>
      <c r="AL315" s="100"/>
      <c r="AM315" s="100"/>
      <c r="AN315" s="110"/>
      <c r="AO315" s="100"/>
      <c r="AP315" s="100"/>
      <c r="AQ315" s="110"/>
      <c r="AR315" s="100"/>
      <c r="AS315" s="111"/>
      <c r="AT315" s="111"/>
    </row>
    <row r="316" spans="1:46" ht="17" thickBot="1">
      <c r="A316" s="85" t="s">
        <v>4</v>
      </c>
      <c r="B316" s="581">
        <f>SUM(J316+K316+L316+M316+N316+S316+V316+W316+X316+AA316+AI316+AJ316+AI316+AM316+AP316+AQ316+AS316+AT316+AU316+AV316)+55</f>
        <v>85</v>
      </c>
      <c r="C316" s="214">
        <f t="shared" si="49"/>
        <v>85</v>
      </c>
      <c r="D316" s="144"/>
      <c r="E316" s="145"/>
      <c r="F316" s="146"/>
      <c r="G316" s="147"/>
      <c r="H316" s="130"/>
      <c r="I316" s="114"/>
      <c r="J316" s="113">
        <v>5</v>
      </c>
      <c r="K316" s="112"/>
      <c r="L316" s="112"/>
      <c r="M316" s="112">
        <v>5</v>
      </c>
      <c r="N316" s="113"/>
      <c r="O316" s="118"/>
      <c r="P316" s="127"/>
      <c r="Q316" s="118"/>
      <c r="R316" s="118"/>
      <c r="S316" s="116"/>
      <c r="T316" s="120"/>
      <c r="U316" s="120">
        <v>5</v>
      </c>
      <c r="V316" s="112"/>
      <c r="W316" s="100"/>
      <c r="X316" s="100">
        <v>15</v>
      </c>
      <c r="Y316" s="110"/>
      <c r="Z316" s="110"/>
      <c r="AA316" s="100">
        <v>5</v>
      </c>
      <c r="AB316" s="109"/>
      <c r="AC316" s="108"/>
      <c r="AD316" s="109"/>
      <c r="AE316" s="109"/>
      <c r="AF316" s="109"/>
      <c r="AG316" s="109"/>
      <c r="AH316" s="108"/>
      <c r="AI316" s="100"/>
      <c r="AJ316" s="110"/>
      <c r="AK316" s="110"/>
      <c r="AL316" s="100"/>
      <c r="AM316" s="100"/>
      <c r="AN316" s="110"/>
      <c r="AO316" s="100"/>
      <c r="AP316" s="100"/>
      <c r="AQ316" s="110"/>
      <c r="AR316" s="100"/>
      <c r="AS316" s="111"/>
      <c r="AT316" s="111"/>
    </row>
    <row r="317" spans="1:46" ht="21.1">
      <c r="A317" s="82" t="s">
        <v>646</v>
      </c>
      <c r="B317" s="247"/>
      <c r="C317" s="214"/>
      <c r="D317" s="133"/>
      <c r="E317" s="134"/>
      <c r="F317" s="135"/>
      <c r="G317" s="136"/>
      <c r="H317" s="107"/>
      <c r="I317" s="96" t="s">
        <v>387</v>
      </c>
      <c r="J317" s="104" t="s">
        <v>375</v>
      </c>
      <c r="K317" s="75" t="s">
        <v>387</v>
      </c>
      <c r="L317" s="75" t="s">
        <v>387</v>
      </c>
      <c r="M317" s="75" t="s">
        <v>756</v>
      </c>
      <c r="N317" s="104" t="s">
        <v>387</v>
      </c>
      <c r="O317" s="109"/>
      <c r="P317" s="108"/>
      <c r="Q317" s="109"/>
      <c r="R317" s="109" t="s">
        <v>387</v>
      </c>
      <c r="S317" s="100" t="s">
        <v>387</v>
      </c>
      <c r="T317" s="110" t="s">
        <v>387</v>
      </c>
      <c r="U317" s="110" t="s">
        <v>387</v>
      </c>
      <c r="V317" s="100" t="s">
        <v>387</v>
      </c>
      <c r="W317" s="102"/>
      <c r="X317" s="102" t="s">
        <v>387</v>
      </c>
      <c r="Y317" s="101" t="s">
        <v>387</v>
      </c>
      <c r="Z317" s="101" t="s">
        <v>387</v>
      </c>
      <c r="AA317" s="102" t="s">
        <v>387</v>
      </c>
      <c r="AB317" s="99"/>
      <c r="AC317" s="98"/>
      <c r="AD317" s="99"/>
      <c r="AE317" s="99"/>
      <c r="AF317" s="99" t="s">
        <v>387</v>
      </c>
      <c r="AG317" s="99" t="s">
        <v>387</v>
      </c>
      <c r="AH317" s="98"/>
      <c r="AI317" s="102"/>
      <c r="AJ317" s="101"/>
      <c r="AK317" s="101"/>
      <c r="AL317" s="102"/>
      <c r="AM317" s="102"/>
      <c r="AN317" s="101"/>
      <c r="AO317" s="102"/>
      <c r="AP317" s="102"/>
      <c r="AQ317" s="101"/>
      <c r="AR317" s="102"/>
      <c r="AS317" s="103"/>
      <c r="AT317" s="103"/>
    </row>
    <row r="318" spans="1:46" ht="16.3">
      <c r="A318" s="246" t="s">
        <v>1</v>
      </c>
      <c r="B318" s="248">
        <f>SUM(J318+K318+L318+M318+N318+S318+V318+W318+X318+AA318+AI318+AJ318+AI318+AM318+AP318+AQ318+AS318+AT318+AU318+AV318+AN318)</f>
        <v>8</v>
      </c>
      <c r="C318" s="215">
        <f>B318</f>
        <v>8</v>
      </c>
      <c r="D318" s="133"/>
      <c r="E318" s="134"/>
      <c r="F318" s="135"/>
      <c r="G318" s="136"/>
      <c r="H318" s="107"/>
      <c r="I318" s="96">
        <v>1</v>
      </c>
      <c r="J318" s="104"/>
      <c r="K318" s="75">
        <v>1</v>
      </c>
      <c r="L318" s="75">
        <v>1</v>
      </c>
      <c r="M318" s="75">
        <v>1</v>
      </c>
      <c r="N318" s="104">
        <v>1</v>
      </c>
      <c r="O318" s="109"/>
      <c r="P318" s="108"/>
      <c r="Q318" s="109"/>
      <c r="R318" s="109">
        <v>1</v>
      </c>
      <c r="S318" s="100">
        <v>1</v>
      </c>
      <c r="T318" s="110">
        <v>1</v>
      </c>
      <c r="U318" s="110">
        <v>1</v>
      </c>
      <c r="V318" s="100">
        <v>1</v>
      </c>
      <c r="W318" s="100"/>
      <c r="X318" s="100">
        <v>1</v>
      </c>
      <c r="Y318" s="110">
        <v>1</v>
      </c>
      <c r="Z318" s="110">
        <v>1</v>
      </c>
      <c r="AA318" s="100">
        <v>1</v>
      </c>
      <c r="AB318" s="109"/>
      <c r="AC318" s="108"/>
      <c r="AD318" s="109"/>
      <c r="AE318" s="109"/>
      <c r="AF318" s="109">
        <v>1</v>
      </c>
      <c r="AG318" s="109">
        <v>1</v>
      </c>
      <c r="AH318" s="108"/>
      <c r="AI318" s="100"/>
      <c r="AJ318" s="110"/>
      <c r="AK318" s="110"/>
      <c r="AL318" s="100"/>
      <c r="AM318" s="100"/>
      <c r="AN318" s="110"/>
      <c r="AO318" s="100"/>
      <c r="AP318" s="100"/>
      <c r="AQ318" s="110"/>
      <c r="AR318" s="100"/>
      <c r="AS318" s="111"/>
      <c r="AT318" s="111"/>
    </row>
    <row r="319" spans="1:46" ht="16.3">
      <c r="A319" s="246" t="s">
        <v>2</v>
      </c>
      <c r="B319" s="248">
        <f>SUM(J319+K319+L319+M319+N319+S319+V319+W319+X319+AA319+AI319+AJ319+AI319+AM319+AP319+AQ319+AS319+AT319+AU319+AV319)</f>
        <v>1</v>
      </c>
      <c r="C319" s="215">
        <f t="shared" ref="C319:C324" si="51">B319</f>
        <v>1</v>
      </c>
      <c r="D319" s="133"/>
      <c r="E319" s="134"/>
      <c r="F319" s="135"/>
      <c r="G319" s="136"/>
      <c r="H319" s="107"/>
      <c r="I319" s="96"/>
      <c r="J319" s="104">
        <v>1</v>
      </c>
      <c r="K319" s="75"/>
      <c r="L319" s="75"/>
      <c r="M319" s="75"/>
      <c r="N319" s="75"/>
      <c r="O319" s="96"/>
      <c r="P319" s="105"/>
      <c r="Q319" s="96"/>
      <c r="R319" s="96"/>
      <c r="S319" s="75"/>
      <c r="T319" s="106"/>
      <c r="U319" s="106"/>
      <c r="V319" s="75"/>
      <c r="W319" s="75"/>
      <c r="X319" s="75"/>
      <c r="Y319" s="106"/>
      <c r="Z319" s="106"/>
      <c r="AA319" s="75"/>
      <c r="AB319" s="96"/>
      <c r="AC319" s="105"/>
      <c r="AD319" s="96"/>
      <c r="AE319" s="96"/>
      <c r="AF319" s="96"/>
      <c r="AG319" s="96"/>
      <c r="AH319" s="105"/>
      <c r="AI319" s="75"/>
      <c r="AJ319" s="106"/>
      <c r="AK319" s="106"/>
      <c r="AL319" s="75"/>
      <c r="AM319" s="75"/>
      <c r="AN319" s="106"/>
      <c r="AO319" s="75"/>
      <c r="AP319" s="75"/>
      <c r="AQ319" s="106"/>
      <c r="AR319" s="75"/>
      <c r="AS319" s="107"/>
      <c r="AT319" s="107"/>
    </row>
    <row r="320" spans="1:46" ht="16.3">
      <c r="A320" s="83" t="s">
        <v>363</v>
      </c>
      <c r="B320" s="247">
        <f>SUM(B318+B319)</f>
        <v>9</v>
      </c>
      <c r="C320" s="214">
        <f t="shared" si="51"/>
        <v>9</v>
      </c>
      <c r="D320" s="133"/>
      <c r="E320" s="134"/>
      <c r="F320" s="135"/>
      <c r="G320" s="136"/>
      <c r="H320" s="107"/>
      <c r="I320" s="96"/>
      <c r="J320" s="104"/>
      <c r="K320" s="75"/>
      <c r="L320" s="75"/>
      <c r="M320" s="75"/>
      <c r="N320" s="104"/>
      <c r="O320" s="109"/>
      <c r="P320" s="108"/>
      <c r="Q320" s="109"/>
      <c r="R320" s="109"/>
      <c r="S320" s="100"/>
      <c r="T320" s="110"/>
      <c r="U320" s="110"/>
      <c r="V320" s="100"/>
      <c r="W320" s="100"/>
      <c r="X320" s="100"/>
      <c r="Y320" s="110"/>
      <c r="Z320" s="110"/>
      <c r="AA320" s="100"/>
      <c r="AB320" s="109"/>
      <c r="AC320" s="108"/>
      <c r="AD320" s="109"/>
      <c r="AE320" s="109"/>
      <c r="AF320" s="109"/>
      <c r="AG320" s="109"/>
      <c r="AH320" s="108"/>
      <c r="AI320" s="100"/>
      <c r="AJ320" s="110"/>
      <c r="AK320" s="110"/>
      <c r="AL320" s="100"/>
      <c r="AM320" s="100"/>
      <c r="AN320" s="110"/>
      <c r="AO320" s="100"/>
      <c r="AP320" s="100"/>
      <c r="AQ320" s="110"/>
      <c r="AR320" s="100"/>
      <c r="AS320" s="111"/>
      <c r="AT320" s="111"/>
    </row>
    <row r="321" spans="1:46" ht="16.3">
      <c r="A321" s="246" t="s">
        <v>362</v>
      </c>
      <c r="B321" s="248">
        <f t="shared" ref="B321:B322" si="52">SUM(J321+K321+L321+M321+N321+S321+V321+W321+X321+AA321+AI321+AJ321+AI321+AM321+AP321+AQ321+AS321+AT321+AU321+AV321)</f>
        <v>1</v>
      </c>
      <c r="C321" s="215">
        <f t="shared" ref="C321:C322" si="53">B321</f>
        <v>1</v>
      </c>
      <c r="D321" s="133"/>
      <c r="E321" s="134"/>
      <c r="F321" s="135"/>
      <c r="G321" s="136"/>
      <c r="H321" s="107"/>
      <c r="I321" s="96"/>
      <c r="J321" s="104"/>
      <c r="K321" s="75"/>
      <c r="L321" s="75"/>
      <c r="M321" s="75">
        <v>1</v>
      </c>
      <c r="N321" s="104"/>
      <c r="O321" s="109"/>
      <c r="P321" s="108"/>
      <c r="Q321" s="109"/>
      <c r="R321" s="109"/>
      <c r="S321" s="100"/>
      <c r="T321" s="110"/>
      <c r="U321" s="110"/>
      <c r="V321" s="100"/>
      <c r="W321" s="100"/>
      <c r="X321" s="100"/>
      <c r="Y321" s="110"/>
      <c r="Z321" s="110"/>
      <c r="AA321" s="100"/>
      <c r="AB321" s="109"/>
      <c r="AC321" s="108"/>
      <c r="AD321" s="109"/>
      <c r="AE321" s="109"/>
      <c r="AF321" s="109"/>
      <c r="AG321" s="109"/>
      <c r="AH321" s="108"/>
      <c r="AI321" s="100"/>
      <c r="AJ321" s="110"/>
      <c r="AK321" s="110"/>
      <c r="AL321" s="100"/>
      <c r="AM321" s="100"/>
      <c r="AN321" s="110"/>
      <c r="AO321" s="100"/>
      <c r="AP321" s="100"/>
      <c r="AQ321" s="110"/>
      <c r="AR321" s="100"/>
      <c r="AS321" s="111"/>
      <c r="AT321" s="111"/>
    </row>
    <row r="322" spans="1:46" ht="16.3">
      <c r="A322" s="246" t="s">
        <v>364</v>
      </c>
      <c r="B322" s="248">
        <f t="shared" si="52"/>
        <v>1</v>
      </c>
      <c r="C322" s="215">
        <f t="shared" si="53"/>
        <v>1</v>
      </c>
      <c r="D322" s="133"/>
      <c r="E322" s="134"/>
      <c r="F322" s="135"/>
      <c r="G322" s="136"/>
      <c r="H322" s="107"/>
      <c r="I322" s="96"/>
      <c r="J322" s="104"/>
      <c r="K322" s="75"/>
      <c r="L322" s="75"/>
      <c r="M322" s="75">
        <v>1</v>
      </c>
      <c r="N322" s="104"/>
      <c r="O322" s="109"/>
      <c r="P322" s="108"/>
      <c r="Q322" s="109"/>
      <c r="R322" s="109"/>
      <c r="S322" s="100"/>
      <c r="T322" s="110"/>
      <c r="U322" s="110"/>
      <c r="V322" s="100"/>
      <c r="W322" s="100"/>
      <c r="X322" s="100"/>
      <c r="Y322" s="110"/>
      <c r="Z322" s="110"/>
      <c r="AA322" s="100"/>
      <c r="AB322" s="109"/>
      <c r="AC322" s="108"/>
      <c r="AD322" s="109"/>
      <c r="AE322" s="109"/>
      <c r="AF322" s="109"/>
      <c r="AG322" s="109"/>
      <c r="AH322" s="108"/>
      <c r="AI322" s="100"/>
      <c r="AJ322" s="110"/>
      <c r="AK322" s="110"/>
      <c r="AL322" s="100"/>
      <c r="AM322" s="100"/>
      <c r="AN322" s="110"/>
      <c r="AO322" s="100"/>
      <c r="AP322" s="100"/>
      <c r="AQ322" s="110"/>
      <c r="AR322" s="100"/>
      <c r="AS322" s="111"/>
      <c r="AT322" s="111"/>
    </row>
    <row r="323" spans="1:46" ht="16.3">
      <c r="A323" s="83" t="s">
        <v>3</v>
      </c>
      <c r="B323" s="247">
        <f>SUM(J323+K323+L323+M323+N323+S323+V323+W323+X323+AA323+AI323+AJ323+AI323+AM323+AP323+AQ323+AS323+AT323+AU323+AV323)</f>
        <v>2</v>
      </c>
      <c r="C323" s="214">
        <f t="shared" si="51"/>
        <v>2</v>
      </c>
      <c r="D323" s="133"/>
      <c r="E323" s="134"/>
      <c r="F323" s="135"/>
      <c r="G323" s="136"/>
      <c r="H323" s="107"/>
      <c r="I323" s="96">
        <v>1</v>
      </c>
      <c r="J323" s="104"/>
      <c r="K323" s="75"/>
      <c r="L323" s="75"/>
      <c r="M323" s="75">
        <v>1</v>
      </c>
      <c r="N323" s="104"/>
      <c r="O323" s="109"/>
      <c r="P323" s="108"/>
      <c r="Q323" s="109"/>
      <c r="R323" s="109">
        <v>2</v>
      </c>
      <c r="S323" s="100">
        <v>1</v>
      </c>
      <c r="T323" s="110"/>
      <c r="U323" s="110"/>
      <c r="V323" s="100"/>
      <c r="W323" s="100"/>
      <c r="X323" s="100"/>
      <c r="Y323" s="110"/>
      <c r="Z323" s="110"/>
      <c r="AA323" s="100"/>
      <c r="AB323" s="109"/>
      <c r="AC323" s="108"/>
      <c r="AD323" s="109"/>
      <c r="AE323" s="109"/>
      <c r="AF323" s="109"/>
      <c r="AG323" s="109"/>
      <c r="AH323" s="108"/>
      <c r="AI323" s="100"/>
      <c r="AJ323" s="110"/>
      <c r="AK323" s="110"/>
      <c r="AL323" s="100"/>
      <c r="AM323" s="100"/>
      <c r="AN323" s="110"/>
      <c r="AO323" s="100"/>
      <c r="AP323" s="100"/>
      <c r="AQ323" s="110"/>
      <c r="AR323" s="100"/>
      <c r="AS323" s="111"/>
      <c r="AT323" s="111"/>
    </row>
    <row r="324" spans="1:46" ht="17" thickBot="1">
      <c r="A324" s="85" t="s">
        <v>4</v>
      </c>
      <c r="B324" s="250">
        <f>SUM(J324+K324+L324+M324+N324+S324+V324+W324+X324+AA324+AI324+AJ324+AI324+AM324+AP324+AQ324+AS324+AT324+AU324+AV324)</f>
        <v>10</v>
      </c>
      <c r="C324" s="217">
        <f t="shared" si="51"/>
        <v>10</v>
      </c>
      <c r="D324" s="144"/>
      <c r="E324" s="145"/>
      <c r="F324" s="146"/>
      <c r="G324" s="147"/>
      <c r="H324" s="130"/>
      <c r="I324" s="114">
        <v>5</v>
      </c>
      <c r="J324" s="113"/>
      <c r="K324" s="112"/>
      <c r="L324" s="112"/>
      <c r="M324" s="112">
        <v>5</v>
      </c>
      <c r="N324" s="113"/>
      <c r="O324" s="118"/>
      <c r="P324" s="127"/>
      <c r="Q324" s="118"/>
      <c r="R324" s="118">
        <v>10</v>
      </c>
      <c r="S324" s="116">
        <v>5</v>
      </c>
      <c r="T324" s="120"/>
      <c r="U324" s="120"/>
      <c r="V324" s="116"/>
      <c r="W324" s="116"/>
      <c r="X324" s="116"/>
      <c r="Y324" s="120"/>
      <c r="Z324" s="120"/>
      <c r="AA324" s="116"/>
      <c r="AB324" s="118"/>
      <c r="AC324" s="117"/>
      <c r="AD324" s="118"/>
      <c r="AE324" s="118"/>
      <c r="AF324" s="118"/>
      <c r="AG324" s="118"/>
      <c r="AH324" s="117"/>
      <c r="AI324" s="116"/>
      <c r="AJ324" s="120"/>
      <c r="AK324" s="120"/>
      <c r="AL324" s="116"/>
      <c r="AM324" s="116"/>
      <c r="AN324" s="120"/>
      <c r="AO324" s="116"/>
      <c r="AP324" s="116"/>
      <c r="AQ324" s="120"/>
      <c r="AR324" s="116"/>
      <c r="AS324" s="121"/>
      <c r="AT324" s="121"/>
    </row>
    <row r="325" spans="1:46" ht="21.1">
      <c r="A325" s="82" t="s">
        <v>264</v>
      </c>
      <c r="B325" s="247"/>
      <c r="C325" s="214"/>
      <c r="D325" s="133"/>
      <c r="E325" s="134"/>
      <c r="F325" s="135"/>
      <c r="G325" s="136"/>
      <c r="H325" s="107"/>
      <c r="I325" s="96" t="s">
        <v>339</v>
      </c>
      <c r="J325" s="104" t="s">
        <v>339</v>
      </c>
      <c r="K325" s="75" t="s">
        <v>339</v>
      </c>
      <c r="L325" s="75" t="s">
        <v>339</v>
      </c>
      <c r="M325" s="75" t="s">
        <v>339</v>
      </c>
      <c r="N325" s="104" t="s">
        <v>339</v>
      </c>
      <c r="O325" s="109" t="s">
        <v>785</v>
      </c>
      <c r="P325" s="108"/>
      <c r="Q325" s="97" t="s">
        <v>440</v>
      </c>
      <c r="R325" s="109" t="s">
        <v>372</v>
      </c>
      <c r="S325" s="100" t="s">
        <v>339</v>
      </c>
      <c r="T325" s="110" t="s">
        <v>339</v>
      </c>
      <c r="U325" s="110" t="s">
        <v>375</v>
      </c>
      <c r="V325" s="100" t="s">
        <v>375</v>
      </c>
      <c r="W325" s="100">
        <v>5</v>
      </c>
      <c r="X325" s="100"/>
      <c r="Y325" s="110" t="s">
        <v>375</v>
      </c>
      <c r="Z325" s="110">
        <v>4</v>
      </c>
      <c r="AA325" s="100"/>
      <c r="AB325" s="109" t="s">
        <v>375</v>
      </c>
      <c r="AC325" s="108"/>
      <c r="AD325" s="109">
        <v>5</v>
      </c>
      <c r="AE325" s="109" t="s">
        <v>443</v>
      </c>
      <c r="AF325" s="109">
        <v>4</v>
      </c>
      <c r="AG325" s="109" t="s">
        <v>375</v>
      </c>
      <c r="AH325" s="108"/>
      <c r="AI325" s="100"/>
      <c r="AJ325" s="110"/>
      <c r="AK325" s="110"/>
      <c r="AL325" s="100"/>
      <c r="AM325" s="100"/>
      <c r="AN325" s="110"/>
      <c r="AO325" s="100"/>
      <c r="AP325" s="100"/>
      <c r="AQ325" s="110"/>
      <c r="AR325" s="100"/>
      <c r="AS325" s="111"/>
      <c r="AT325" s="111"/>
    </row>
    <row r="326" spans="1:46" ht="16.3">
      <c r="A326" s="246" t="s">
        <v>1</v>
      </c>
      <c r="B326" s="248">
        <f>SUM(J326+K326+L326+M326+N326+S326+V326+W326+X326+AA326+AI326+AJ326+AI326+AM326+AP326+AQ326+AS326+AT326+AU326+AV326+AN326)+20</f>
        <v>21</v>
      </c>
      <c r="C326" s="215">
        <f>SUM(J326+K326+L326+M326+N326+S326+W326+X326+V326+AA326+AJ326+AI326+AJ326+AN326+AQ326+AM326+AT326+AU326+AV326+AW326+AP326+AS326)+36</f>
        <v>37</v>
      </c>
      <c r="D326" s="139"/>
      <c r="E326" s="134"/>
      <c r="F326" s="135"/>
      <c r="G326" s="136"/>
      <c r="H326" s="107"/>
      <c r="I326" s="96"/>
      <c r="J326" s="104"/>
      <c r="K326" s="75"/>
      <c r="L326" s="75"/>
      <c r="M326" s="75"/>
      <c r="N326" s="104"/>
      <c r="O326" s="109">
        <v>1</v>
      </c>
      <c r="P326" s="108"/>
      <c r="Q326" s="97">
        <v>1</v>
      </c>
      <c r="R326" s="109">
        <v>1</v>
      </c>
      <c r="S326" s="100"/>
      <c r="T326" s="110"/>
      <c r="U326" s="110"/>
      <c r="V326" s="100"/>
      <c r="W326" s="100">
        <v>1</v>
      </c>
      <c r="X326" s="100"/>
      <c r="Y326" s="110"/>
      <c r="Z326" s="110">
        <v>1</v>
      </c>
      <c r="AA326" s="100"/>
      <c r="AB326" s="109"/>
      <c r="AC326" s="108"/>
      <c r="AD326" s="109">
        <v>1</v>
      </c>
      <c r="AE326" s="109">
        <v>1</v>
      </c>
      <c r="AF326" s="109">
        <v>1</v>
      </c>
      <c r="AG326" s="109"/>
      <c r="AH326" s="108"/>
      <c r="AI326" s="100"/>
      <c r="AJ326" s="110"/>
      <c r="AK326" s="110"/>
      <c r="AL326" s="100"/>
      <c r="AM326" s="100"/>
      <c r="AN326" s="110"/>
      <c r="AO326" s="100"/>
      <c r="AP326" s="100"/>
      <c r="AQ326" s="110"/>
      <c r="AR326" s="100"/>
      <c r="AS326" s="111"/>
      <c r="AT326" s="111"/>
    </row>
    <row r="327" spans="1:46" ht="16.3">
      <c r="A327" s="246" t="s">
        <v>2</v>
      </c>
      <c r="B327" s="248">
        <f>SUM(J327+K327+L327+M327+N327+S327+V327+W327+X327+AA327+AI327+AJ327+AI327+AM327+AP327+AQ327+AS327+AT327+AU327+AV327)+7</f>
        <v>8</v>
      </c>
      <c r="C327" s="215">
        <f>SUM(J327+K327+L327+M327+N327+S327+W327+X327+V327+AA327+AJ327+AI327+AJ327+AN327+AQ327+AM327+AT327+AU327+AV327+AW327+AP327+AS327)+24</f>
        <v>25</v>
      </c>
      <c r="D327" s="139"/>
      <c r="E327" s="134"/>
      <c r="F327" s="135"/>
      <c r="G327" s="136"/>
      <c r="H327" s="107"/>
      <c r="I327" s="96"/>
      <c r="J327" s="104"/>
      <c r="K327" s="75"/>
      <c r="L327" s="75"/>
      <c r="M327" s="75"/>
      <c r="N327" s="104"/>
      <c r="O327" s="109"/>
      <c r="P327" s="108"/>
      <c r="Q327" s="109"/>
      <c r="R327" s="109"/>
      <c r="S327" s="100"/>
      <c r="T327" s="110"/>
      <c r="U327" s="110">
        <v>1</v>
      </c>
      <c r="V327" s="100">
        <v>1</v>
      </c>
      <c r="W327" s="100"/>
      <c r="X327" s="100"/>
      <c r="Y327" s="110">
        <v>1</v>
      </c>
      <c r="Z327" s="110"/>
      <c r="AA327" s="100"/>
      <c r="AB327" s="109">
        <v>1</v>
      </c>
      <c r="AC327" s="108"/>
      <c r="AD327" s="109"/>
      <c r="AE327" s="109"/>
      <c r="AF327" s="109"/>
      <c r="AG327" s="109">
        <v>1</v>
      </c>
      <c r="AH327" s="108"/>
      <c r="AI327" s="100"/>
      <c r="AJ327" s="110"/>
      <c r="AK327" s="110"/>
      <c r="AL327" s="100"/>
      <c r="AM327" s="100"/>
      <c r="AN327" s="110"/>
      <c r="AO327" s="100"/>
      <c r="AP327" s="100"/>
      <c r="AQ327" s="110"/>
      <c r="AR327" s="100"/>
      <c r="AS327" s="111"/>
      <c r="AT327" s="111"/>
    </row>
    <row r="328" spans="1:46" ht="16.3">
      <c r="A328" s="83" t="s">
        <v>363</v>
      </c>
      <c r="B328" s="247">
        <f>SUM(B326+B327)</f>
        <v>29</v>
      </c>
      <c r="C328" s="214">
        <f>SUM(C326+C327)</f>
        <v>62</v>
      </c>
      <c r="D328" s="133"/>
      <c r="E328" s="134"/>
      <c r="F328" s="135"/>
      <c r="G328" s="136"/>
      <c r="H328" s="107"/>
      <c r="I328" s="96"/>
      <c r="J328" s="104"/>
      <c r="K328" s="75"/>
      <c r="L328" s="75"/>
      <c r="M328" s="75"/>
      <c r="N328" s="104"/>
      <c r="O328" s="109"/>
      <c r="P328" s="108"/>
      <c r="Q328" s="109"/>
      <c r="R328" s="109"/>
      <c r="S328" s="100"/>
      <c r="T328" s="110"/>
      <c r="U328" s="110"/>
      <c r="V328" s="100"/>
      <c r="W328" s="100"/>
      <c r="X328" s="100"/>
      <c r="Y328" s="110"/>
      <c r="Z328" s="110"/>
      <c r="AA328" s="100"/>
      <c r="AB328" s="109"/>
      <c r="AC328" s="108"/>
      <c r="AD328" s="109"/>
      <c r="AE328" s="109"/>
      <c r="AF328" s="109"/>
      <c r="AG328" s="109"/>
      <c r="AH328" s="108"/>
      <c r="AI328" s="100"/>
      <c r="AJ328" s="110"/>
      <c r="AK328" s="110"/>
      <c r="AL328" s="100"/>
      <c r="AM328" s="100"/>
      <c r="AN328" s="110"/>
      <c r="AO328" s="100"/>
      <c r="AP328" s="100"/>
      <c r="AQ328" s="110"/>
      <c r="AR328" s="100"/>
      <c r="AS328" s="111"/>
      <c r="AT328" s="111"/>
    </row>
    <row r="329" spans="1:46" ht="16.3">
      <c r="A329" s="246" t="s">
        <v>366</v>
      </c>
      <c r="B329" s="248">
        <f>SUM(J329+K329+L329+M329+N329+S329+V329+W329+X329+AA329+AI329+AJ329+AI329+AM329+AP329+AQ329+AS329+AT329+AU329+AV329)</f>
        <v>0</v>
      </c>
      <c r="C329" s="215">
        <f>SUM(J329+K329+L329+M329+N329+S329+W329+X329+V329+AA329+AJ329+AI329+AJ329+AN329+AQ329+AM329+AT329+AU329+AV329+AW329+AP329+AS329)</f>
        <v>0</v>
      </c>
      <c r="D329" s="133"/>
      <c r="E329" s="134"/>
      <c r="F329" s="135"/>
      <c r="G329" s="136"/>
      <c r="H329" s="107"/>
      <c r="I329" s="96"/>
      <c r="J329" s="104"/>
      <c r="K329" s="75"/>
      <c r="L329" s="75"/>
      <c r="M329" s="75"/>
      <c r="N329" s="104"/>
      <c r="O329" s="109"/>
      <c r="P329" s="108"/>
      <c r="Q329" s="109">
        <v>1</v>
      </c>
      <c r="R329" s="109"/>
      <c r="S329" s="100"/>
      <c r="T329" s="110"/>
      <c r="U329" s="110"/>
      <c r="V329" s="100"/>
      <c r="W329" s="100"/>
      <c r="X329" s="100"/>
      <c r="Y329" s="110"/>
      <c r="Z329" s="110"/>
      <c r="AA329" s="100"/>
      <c r="AB329" s="109"/>
      <c r="AC329" s="108"/>
      <c r="AD329" s="109"/>
      <c r="AE329" s="109">
        <v>1</v>
      </c>
      <c r="AF329" s="109"/>
      <c r="AG329" s="109"/>
      <c r="AH329" s="108"/>
      <c r="AI329" s="100"/>
      <c r="AJ329" s="110"/>
      <c r="AK329" s="110"/>
      <c r="AL329" s="100"/>
      <c r="AM329" s="100"/>
      <c r="AN329" s="110"/>
      <c r="AO329" s="100"/>
      <c r="AP329" s="100"/>
      <c r="AQ329" s="110"/>
      <c r="AR329" s="100"/>
      <c r="AS329" s="111"/>
      <c r="AT329" s="111"/>
    </row>
    <row r="330" spans="1:46" ht="16.3">
      <c r="A330" s="246" t="s">
        <v>362</v>
      </c>
      <c r="B330" s="248">
        <f>SUM(J330+K330+L330+M330+N330+S330+V330+W330+X330+AA330+AI330+AJ330+AI330+AM330+AP330+AQ330+AS330+AT330+AU330+AV330)</f>
        <v>0</v>
      </c>
      <c r="C330" s="215">
        <f>SUM(J330+K330+L330+M330+N330+S330+W330+X330+V330+AA330+AJ330+AI330+AJ330+AN330+AQ330+AM330+AT330+AU330+AV330+AW330+AP330+AS330)</f>
        <v>0</v>
      </c>
      <c r="D330" s="133"/>
      <c r="E330" s="134"/>
      <c r="F330" s="135"/>
      <c r="G330" s="136"/>
      <c r="H330" s="107"/>
      <c r="I330" s="96"/>
      <c r="J330" s="104"/>
      <c r="K330" s="75"/>
      <c r="L330" s="75"/>
      <c r="M330" s="75"/>
      <c r="N330" s="104"/>
      <c r="O330" s="109">
        <v>1</v>
      </c>
      <c r="P330" s="108"/>
      <c r="Q330" s="109"/>
      <c r="R330" s="109"/>
      <c r="S330" s="100"/>
      <c r="T330" s="110"/>
      <c r="U330" s="110"/>
      <c r="V330" s="100"/>
      <c r="W330" s="100"/>
      <c r="X330" s="100"/>
      <c r="Y330" s="110"/>
      <c r="Z330" s="110"/>
      <c r="AA330" s="100"/>
      <c r="AB330" s="109"/>
      <c r="AC330" s="108"/>
      <c r="AD330" s="109"/>
      <c r="AE330" s="109"/>
      <c r="AF330" s="109"/>
      <c r="AG330" s="109"/>
      <c r="AH330" s="108"/>
      <c r="AI330" s="100"/>
      <c r="AJ330" s="110"/>
      <c r="AK330" s="110"/>
      <c r="AL330" s="100"/>
      <c r="AM330" s="100"/>
      <c r="AN330" s="110"/>
      <c r="AO330" s="100"/>
      <c r="AP330" s="100"/>
      <c r="AQ330" s="110"/>
      <c r="AR330" s="100"/>
      <c r="AS330" s="111"/>
      <c r="AT330" s="111"/>
    </row>
    <row r="331" spans="1:46" ht="16.3">
      <c r="A331" s="83" t="s">
        <v>3</v>
      </c>
      <c r="B331" s="247">
        <f>SUM(J331+K331+L331+M331+N331+S331+V331+W331+X331+AA331+AI331+AJ331+AI331+AM331+AP331+AQ331+AS331+AT331+AU331+AV331)+1</f>
        <v>1</v>
      </c>
      <c r="C331" s="214">
        <f>SUM(J331+K331+L331+M331+N331+S331+W331+X331+V331+AA331+AJ331+AI331+AJ331+AN331+AQ331+AM331+AT331+AU331+AV331+AW331+AP331+AS331)+2</f>
        <v>2</v>
      </c>
      <c r="D331" s="133"/>
      <c r="E331" s="134"/>
      <c r="F331" s="135"/>
      <c r="G331" s="136"/>
      <c r="H331" s="107"/>
      <c r="I331" s="96"/>
      <c r="J331" s="104"/>
      <c r="K331" s="75"/>
      <c r="L331" s="75"/>
      <c r="M331" s="75"/>
      <c r="N331" s="104"/>
      <c r="O331" s="109"/>
      <c r="P331" s="108"/>
      <c r="Q331" s="109"/>
      <c r="R331" s="109"/>
      <c r="S331" s="100"/>
      <c r="T331" s="110"/>
      <c r="U331" s="110"/>
      <c r="V331" s="100"/>
      <c r="W331" s="100"/>
      <c r="X331" s="100"/>
      <c r="Y331" s="110"/>
      <c r="Z331" s="110"/>
      <c r="AA331" s="100"/>
      <c r="AB331" s="109"/>
      <c r="AC331" s="108"/>
      <c r="AD331" s="109"/>
      <c r="AE331" s="109"/>
      <c r="AF331" s="109">
        <v>1</v>
      </c>
      <c r="AG331" s="109"/>
      <c r="AH331" s="108"/>
      <c r="AI331" s="100"/>
      <c r="AJ331" s="110"/>
      <c r="AK331" s="110"/>
      <c r="AL331" s="100"/>
      <c r="AM331" s="100"/>
      <c r="AN331" s="110"/>
      <c r="AO331" s="100"/>
      <c r="AP331" s="100"/>
      <c r="AQ331" s="110"/>
      <c r="AR331" s="100"/>
      <c r="AS331" s="111"/>
      <c r="AT331" s="111"/>
    </row>
    <row r="332" spans="1:46" ht="17" thickBot="1">
      <c r="A332" s="85" t="s">
        <v>4</v>
      </c>
      <c r="B332" s="250">
        <f>SUM(J332+K332+L332+M332+N332+S332+V332+W332+X332+AA332+AI332+AJ332+AI332+AM332+AP332+AQ332+AS332+AT332+AU332+AV332)+5</f>
        <v>5</v>
      </c>
      <c r="C332" s="217">
        <f>SUM(J332+K332+L332+M332+N332+S332+W332+X332+V332+AA332+AJ332+AI332+AJ332+AN332+AQ332+AM332+AT332+AU332+AV332+AW332+AP332+AS332)+10</f>
        <v>10</v>
      </c>
      <c r="D332" s="144"/>
      <c r="E332" s="145"/>
      <c r="F332" s="146"/>
      <c r="G332" s="147"/>
      <c r="H332" s="130"/>
      <c r="I332" s="114"/>
      <c r="J332" s="113"/>
      <c r="K332" s="112"/>
      <c r="L332" s="112"/>
      <c r="M332" s="112"/>
      <c r="N332" s="113"/>
      <c r="O332" s="118"/>
      <c r="P332" s="117"/>
      <c r="Q332" s="118"/>
      <c r="R332" s="118"/>
      <c r="S332" s="116"/>
      <c r="T332" s="120"/>
      <c r="U332" s="120"/>
      <c r="V332" s="112"/>
      <c r="W332" s="116"/>
      <c r="X332" s="116"/>
      <c r="Y332" s="120"/>
      <c r="Z332" s="120"/>
      <c r="AA332" s="116"/>
      <c r="AB332" s="118"/>
      <c r="AC332" s="117"/>
      <c r="AD332" s="118"/>
      <c r="AE332" s="118"/>
      <c r="AF332" s="118">
        <v>5</v>
      </c>
      <c r="AG332" s="118"/>
      <c r="AH332" s="117"/>
      <c r="AI332" s="116"/>
      <c r="AJ332" s="120"/>
      <c r="AK332" s="120"/>
      <c r="AL332" s="116"/>
      <c r="AM332" s="116"/>
      <c r="AN332" s="120"/>
      <c r="AO332" s="116"/>
      <c r="AP332" s="116"/>
      <c r="AQ332" s="120"/>
      <c r="AR332" s="116"/>
      <c r="AS332" s="121"/>
      <c r="AT332" s="121"/>
    </row>
    <row r="333" spans="1:46" ht="21.1">
      <c r="A333" s="82" t="s">
        <v>212</v>
      </c>
      <c r="B333" s="247"/>
      <c r="C333" s="214"/>
      <c r="D333" s="133"/>
      <c r="E333" s="134"/>
      <c r="F333" s="135"/>
      <c r="G333" s="136"/>
      <c r="H333" s="107"/>
      <c r="I333" s="96"/>
      <c r="J333" s="75"/>
      <c r="K333" s="75" t="s">
        <v>441</v>
      </c>
      <c r="L333" s="75">
        <v>4</v>
      </c>
      <c r="M333" s="75" t="s">
        <v>375</v>
      </c>
      <c r="N333" s="122">
        <v>4</v>
      </c>
      <c r="O333" s="124"/>
      <c r="P333" s="180"/>
      <c r="Q333" s="124" t="s">
        <v>775</v>
      </c>
      <c r="R333" s="124" t="s">
        <v>339</v>
      </c>
      <c r="S333" s="122" t="s">
        <v>339</v>
      </c>
      <c r="T333" s="110" t="s">
        <v>339</v>
      </c>
      <c r="U333" s="110" t="s">
        <v>339</v>
      </c>
      <c r="V333" s="100" t="s">
        <v>339</v>
      </c>
      <c r="W333" s="100" t="s">
        <v>339</v>
      </c>
      <c r="X333" s="100" t="s">
        <v>339</v>
      </c>
      <c r="Y333" s="110" t="s">
        <v>339</v>
      </c>
      <c r="Z333" s="110" t="s">
        <v>375</v>
      </c>
      <c r="AA333" s="100" t="s">
        <v>375</v>
      </c>
      <c r="AB333" s="109" t="s">
        <v>387</v>
      </c>
      <c r="AC333" s="108"/>
      <c r="AD333" s="109" t="s">
        <v>681</v>
      </c>
      <c r="AE333" s="109"/>
      <c r="AF333" s="109">
        <v>6</v>
      </c>
      <c r="AG333" s="109">
        <v>4</v>
      </c>
      <c r="AH333" s="108"/>
      <c r="AI333" s="100"/>
      <c r="AJ333" s="110"/>
      <c r="AK333" s="110"/>
      <c r="AL333" s="100"/>
      <c r="AM333" s="100"/>
      <c r="AN333" s="110"/>
      <c r="AO333" s="100"/>
      <c r="AP333" s="100"/>
      <c r="AQ333" s="110"/>
      <c r="AR333" s="100"/>
      <c r="AS333" s="111"/>
      <c r="AT333" s="111"/>
    </row>
    <row r="334" spans="1:46" ht="16.3">
      <c r="A334" s="246" t="s">
        <v>1</v>
      </c>
      <c r="B334" s="248">
        <f>SUM(J334+K334+L334+M334+N334+S334+V334+W334+X334+AA334+AI334+AJ334+AI334+AM334+AP334+AQ334+AS334+AT334+AU334+AV334+AN334)+8</f>
        <v>10</v>
      </c>
      <c r="C334" s="215">
        <f>B334</f>
        <v>10</v>
      </c>
      <c r="D334" s="133"/>
      <c r="E334" s="134"/>
      <c r="F334" s="135"/>
      <c r="G334" s="136"/>
      <c r="H334" s="107"/>
      <c r="I334" s="96"/>
      <c r="J334" s="104"/>
      <c r="K334" s="75"/>
      <c r="L334" s="75">
        <v>1</v>
      </c>
      <c r="M334" s="75"/>
      <c r="N334" s="104">
        <v>1</v>
      </c>
      <c r="O334" s="109"/>
      <c r="P334" s="108"/>
      <c r="Q334" s="109"/>
      <c r="R334" s="109"/>
      <c r="S334" s="100"/>
      <c r="T334" s="110"/>
      <c r="U334" s="110"/>
      <c r="V334" s="100"/>
      <c r="W334" s="100"/>
      <c r="X334" s="100"/>
      <c r="Y334" s="110"/>
      <c r="Z334" s="110"/>
      <c r="AA334" s="100"/>
      <c r="AB334" s="109">
        <v>1</v>
      </c>
      <c r="AC334" s="108"/>
      <c r="AD334" s="109">
        <v>1</v>
      </c>
      <c r="AE334" s="109"/>
      <c r="AF334" s="109">
        <v>1</v>
      </c>
      <c r="AG334" s="109">
        <v>1</v>
      </c>
      <c r="AH334" s="108"/>
      <c r="AI334" s="100"/>
      <c r="AJ334" s="110"/>
      <c r="AK334" s="110"/>
      <c r="AL334" s="100"/>
      <c r="AM334" s="100"/>
      <c r="AN334" s="110"/>
      <c r="AO334" s="100"/>
      <c r="AP334" s="100"/>
      <c r="AQ334" s="110"/>
      <c r="AR334" s="100"/>
      <c r="AS334" s="111"/>
      <c r="AT334" s="111"/>
    </row>
    <row r="335" spans="1:46" ht="16.3">
      <c r="A335" s="246" t="s">
        <v>2</v>
      </c>
      <c r="B335" s="248">
        <f>SUM(J335+K335+L335+M335+N335+S335+V335+W335+X335+AA335+AI335+AJ335+AI335+AM335+AP335+AQ335+AS335+AT335+AU335+AV335)+10</f>
        <v>13</v>
      </c>
      <c r="C335" s="215">
        <f t="shared" ref="C335:C338" si="54">B335</f>
        <v>13</v>
      </c>
      <c r="D335" s="133"/>
      <c r="E335" s="134"/>
      <c r="F335" s="135"/>
      <c r="G335" s="136"/>
      <c r="H335" s="107"/>
      <c r="I335" s="96"/>
      <c r="J335" s="104"/>
      <c r="K335" s="75">
        <v>1</v>
      </c>
      <c r="L335" s="75"/>
      <c r="M335" s="75">
        <v>1</v>
      </c>
      <c r="N335" s="104"/>
      <c r="O335" s="109"/>
      <c r="P335" s="108"/>
      <c r="Q335" s="109"/>
      <c r="R335" s="109"/>
      <c r="S335" s="100"/>
      <c r="T335" s="110"/>
      <c r="U335" s="110"/>
      <c r="V335" s="100"/>
      <c r="W335" s="100"/>
      <c r="X335" s="100"/>
      <c r="Y335" s="110"/>
      <c r="Z335" s="110">
        <v>1</v>
      </c>
      <c r="AA335" s="100">
        <v>1</v>
      </c>
      <c r="AB335" s="109"/>
      <c r="AC335" s="108"/>
      <c r="AD335" s="109"/>
      <c r="AE335" s="109"/>
      <c r="AF335" s="109"/>
      <c r="AG335" s="109"/>
      <c r="AH335" s="108"/>
      <c r="AI335" s="100"/>
      <c r="AJ335" s="110"/>
      <c r="AK335" s="110"/>
      <c r="AL335" s="100"/>
      <c r="AM335" s="100"/>
      <c r="AN335" s="110"/>
      <c r="AO335" s="100"/>
      <c r="AP335" s="100"/>
      <c r="AQ335" s="110"/>
      <c r="AR335" s="100"/>
      <c r="AS335" s="111"/>
      <c r="AT335" s="111"/>
    </row>
    <row r="336" spans="1:46" ht="16.3">
      <c r="A336" s="83" t="s">
        <v>363</v>
      </c>
      <c r="B336" s="247">
        <f>SUM(B334+B335)</f>
        <v>23</v>
      </c>
      <c r="C336" s="214">
        <f t="shared" si="54"/>
        <v>23</v>
      </c>
      <c r="D336" s="133"/>
      <c r="E336" s="134"/>
      <c r="F336" s="135"/>
      <c r="G336" s="136"/>
      <c r="H336" s="107"/>
      <c r="I336" s="96"/>
      <c r="J336" s="104"/>
      <c r="K336" s="75"/>
      <c r="L336" s="75"/>
      <c r="M336" s="75"/>
      <c r="N336" s="104"/>
      <c r="O336" s="109"/>
      <c r="P336" s="108"/>
      <c r="Q336" s="109"/>
      <c r="R336" s="109"/>
      <c r="S336" s="100"/>
      <c r="T336" s="110"/>
      <c r="U336" s="110"/>
      <c r="V336" s="100"/>
      <c r="W336" s="100"/>
      <c r="X336" s="100"/>
      <c r="Y336" s="110"/>
      <c r="Z336" s="110"/>
      <c r="AA336" s="100"/>
      <c r="AB336" s="109"/>
      <c r="AC336" s="108"/>
      <c r="AD336" s="109"/>
      <c r="AE336" s="109"/>
      <c r="AF336" s="109"/>
      <c r="AG336" s="109"/>
      <c r="AH336" s="108"/>
      <c r="AI336" s="100"/>
      <c r="AJ336" s="110"/>
      <c r="AK336" s="110"/>
      <c r="AL336" s="100"/>
      <c r="AM336" s="100"/>
      <c r="AN336" s="110"/>
      <c r="AO336" s="100"/>
      <c r="AP336" s="100"/>
      <c r="AQ336" s="110"/>
      <c r="AR336" s="100"/>
      <c r="AS336" s="111"/>
      <c r="AT336" s="111"/>
    </row>
    <row r="337" spans="1:46" ht="16.3">
      <c r="A337" s="246" t="s">
        <v>366</v>
      </c>
      <c r="B337" s="248">
        <f>SUM(J337+K337+L337+M337+N337+S337+V337+W337+X337+AA337+AI337+AJ337+AI337+AM337+AP337+AQ337+AS337+AT337+AU337+AV337)+1</f>
        <v>1</v>
      </c>
      <c r="C337" s="215">
        <f t="shared" si="54"/>
        <v>1</v>
      </c>
      <c r="D337" s="133"/>
      <c r="E337" s="134"/>
      <c r="F337" s="135"/>
      <c r="G337" s="136"/>
      <c r="H337" s="107"/>
      <c r="I337" s="96"/>
      <c r="J337" s="104"/>
      <c r="K337" s="75"/>
      <c r="L337" s="75"/>
      <c r="M337" s="75"/>
      <c r="N337" s="104"/>
      <c r="O337" s="109"/>
      <c r="P337" s="108"/>
      <c r="Q337" s="109"/>
      <c r="R337" s="109"/>
      <c r="S337" s="100"/>
      <c r="T337" s="110"/>
      <c r="U337" s="110"/>
      <c r="V337" s="100"/>
      <c r="W337" s="100"/>
      <c r="X337" s="100"/>
      <c r="Y337" s="110"/>
      <c r="Z337" s="110"/>
      <c r="AA337" s="100"/>
      <c r="AB337" s="109"/>
      <c r="AC337" s="108"/>
      <c r="AD337" s="109">
        <v>1</v>
      </c>
      <c r="AE337" s="109"/>
      <c r="AF337" s="109"/>
      <c r="AG337" s="109"/>
      <c r="AH337" s="108"/>
      <c r="AI337" s="100"/>
      <c r="AJ337" s="110"/>
      <c r="AK337" s="110"/>
      <c r="AL337" s="100"/>
      <c r="AM337" s="100"/>
      <c r="AN337" s="110"/>
      <c r="AO337" s="100"/>
      <c r="AP337" s="100"/>
      <c r="AQ337" s="110"/>
      <c r="AR337" s="100"/>
      <c r="AS337" s="111"/>
      <c r="AT337" s="111"/>
    </row>
    <row r="338" spans="1:46" ht="16.3">
      <c r="A338" s="246" t="s">
        <v>362</v>
      </c>
      <c r="B338" s="248">
        <f>SUM(J338+K338+L338+M338+N338+S338+V338+W338+X338+AA338+AI338+AJ338+AI338+AM338+AP338+AQ338+AS338+AT338+AU338+AV338)</f>
        <v>1</v>
      </c>
      <c r="C338" s="215">
        <f t="shared" si="54"/>
        <v>1</v>
      </c>
      <c r="D338" s="133"/>
      <c r="E338" s="134"/>
      <c r="F338" s="135"/>
      <c r="G338" s="136"/>
      <c r="H338" s="107"/>
      <c r="I338" s="96"/>
      <c r="J338" s="104"/>
      <c r="K338" s="75">
        <v>1</v>
      </c>
      <c r="L338" s="75"/>
      <c r="M338" s="75"/>
      <c r="N338" s="104"/>
      <c r="O338" s="109"/>
      <c r="P338" s="108"/>
      <c r="Q338" s="109"/>
      <c r="R338" s="109"/>
      <c r="S338" s="100"/>
      <c r="T338" s="110"/>
      <c r="U338" s="110"/>
      <c r="V338" s="100"/>
      <c r="W338" s="100"/>
      <c r="X338" s="100"/>
      <c r="Y338" s="110"/>
      <c r="Z338" s="110"/>
      <c r="AA338" s="100"/>
      <c r="AB338" s="109"/>
      <c r="AC338" s="108"/>
      <c r="AD338" s="109"/>
      <c r="AE338" s="109"/>
      <c r="AF338" s="109"/>
      <c r="AG338" s="109"/>
      <c r="AH338" s="108"/>
      <c r="AI338" s="100"/>
      <c r="AJ338" s="110"/>
      <c r="AK338" s="110"/>
      <c r="AL338" s="100"/>
      <c r="AM338" s="100"/>
      <c r="AN338" s="110"/>
      <c r="AO338" s="100"/>
      <c r="AP338" s="100"/>
      <c r="AQ338" s="110"/>
      <c r="AR338" s="100"/>
      <c r="AS338" s="111"/>
      <c r="AT338" s="111"/>
    </row>
    <row r="339" spans="1:46" ht="16.3">
      <c r="A339" s="83" t="s">
        <v>3</v>
      </c>
      <c r="B339" s="247">
        <f>SUM(J339+K339+L339+M339+N339+S339+V339+W339+X339+AA339+AI339+AJ339+AI339+AM339+AP339+AQ339+AS339+AT339+AU339+AV339)+1</f>
        <v>1</v>
      </c>
      <c r="C339" s="214">
        <f t="shared" ref="C339:C340" si="55">B339</f>
        <v>1</v>
      </c>
      <c r="D339" s="133"/>
      <c r="E339" s="134"/>
      <c r="F339" s="135"/>
      <c r="G339" s="136"/>
      <c r="H339" s="107"/>
      <c r="I339" s="96"/>
      <c r="J339" s="104"/>
      <c r="K339" s="75"/>
      <c r="L339" s="75"/>
      <c r="M339" s="75"/>
      <c r="N339" s="104"/>
      <c r="O339" s="109"/>
      <c r="P339" s="108"/>
      <c r="Q339" s="109"/>
      <c r="R339" s="109"/>
      <c r="S339" s="100"/>
      <c r="T339" s="110"/>
      <c r="U339" s="110"/>
      <c r="V339" s="100"/>
      <c r="W339" s="100"/>
      <c r="X339" s="100"/>
      <c r="Y339" s="110"/>
      <c r="Z339" s="110"/>
      <c r="AA339" s="100"/>
      <c r="AB339" s="109"/>
      <c r="AC339" s="108"/>
      <c r="AD339" s="109"/>
      <c r="AE339" s="109"/>
      <c r="AF339" s="109"/>
      <c r="AG339" s="109"/>
      <c r="AH339" s="108"/>
      <c r="AI339" s="100"/>
      <c r="AJ339" s="110"/>
      <c r="AK339" s="110"/>
      <c r="AL339" s="100"/>
      <c r="AM339" s="100"/>
      <c r="AN339" s="110"/>
      <c r="AO339" s="100"/>
      <c r="AP339" s="100"/>
      <c r="AQ339" s="110"/>
      <c r="AR339" s="100"/>
      <c r="AS339" s="111"/>
      <c r="AT339" s="111"/>
    </row>
    <row r="340" spans="1:46" ht="17" thickBot="1">
      <c r="A340" s="85" t="s">
        <v>4</v>
      </c>
      <c r="B340" s="250">
        <f>SUM(J340+K340+L340+M340+N340+S340+V340+W340+X340+AA340+AI340+AJ340+AI340+AM340+AP340+AQ340+AS340+AT340+AU340+AV340)+5</f>
        <v>5</v>
      </c>
      <c r="C340" s="217">
        <f t="shared" si="55"/>
        <v>5</v>
      </c>
      <c r="D340" s="144"/>
      <c r="E340" s="145"/>
      <c r="F340" s="146"/>
      <c r="G340" s="147"/>
      <c r="H340" s="130"/>
      <c r="I340" s="114"/>
      <c r="J340" s="113"/>
      <c r="K340" s="112"/>
      <c r="L340" s="112"/>
      <c r="M340" s="112"/>
      <c r="N340" s="113"/>
      <c r="O340" s="118"/>
      <c r="P340" s="117"/>
      <c r="Q340" s="118"/>
      <c r="R340" s="118"/>
      <c r="S340" s="116"/>
      <c r="T340" s="120"/>
      <c r="U340" s="119"/>
      <c r="V340" s="116"/>
      <c r="W340" s="116"/>
      <c r="X340" s="112"/>
      <c r="Y340" s="120"/>
      <c r="Z340" s="120"/>
      <c r="AA340" s="116"/>
      <c r="AB340" s="118"/>
      <c r="AC340" s="117"/>
      <c r="AD340" s="118"/>
      <c r="AE340" s="118"/>
      <c r="AF340" s="118"/>
      <c r="AG340" s="118"/>
      <c r="AH340" s="117"/>
      <c r="AI340" s="116"/>
      <c r="AJ340" s="120"/>
      <c r="AK340" s="120"/>
      <c r="AL340" s="116"/>
      <c r="AM340" s="116"/>
      <c r="AN340" s="120"/>
      <c r="AO340" s="116"/>
      <c r="AP340" s="116"/>
      <c r="AQ340" s="120"/>
      <c r="AR340" s="116"/>
      <c r="AS340" s="121"/>
      <c r="AT340" s="121"/>
    </row>
    <row r="341" spans="1:46" ht="21.1">
      <c r="A341" s="82" t="s">
        <v>217</v>
      </c>
      <c r="B341" s="247"/>
      <c r="C341" s="214"/>
      <c r="D341" s="133"/>
      <c r="E341" s="134"/>
      <c r="F341" s="135"/>
      <c r="G341" s="136"/>
      <c r="H341" s="107"/>
      <c r="I341" s="96">
        <v>4</v>
      </c>
      <c r="J341" s="104" t="s">
        <v>387</v>
      </c>
      <c r="K341" s="75"/>
      <c r="L341" s="75"/>
      <c r="M341" s="75" t="s">
        <v>375</v>
      </c>
      <c r="N341" s="104" t="s">
        <v>375</v>
      </c>
      <c r="O341" s="109" t="s">
        <v>387</v>
      </c>
      <c r="P341" s="108"/>
      <c r="Q341" s="109" t="s">
        <v>372</v>
      </c>
      <c r="R341" s="109" t="s">
        <v>375</v>
      </c>
      <c r="S341" s="100">
        <v>4</v>
      </c>
      <c r="T341" s="110" t="s">
        <v>375</v>
      </c>
      <c r="U341" s="110" t="s">
        <v>375</v>
      </c>
      <c r="V341" s="100"/>
      <c r="W341" s="100" t="s">
        <v>688</v>
      </c>
      <c r="X341" s="100" t="s">
        <v>375</v>
      </c>
      <c r="Y341" s="110" t="s">
        <v>375</v>
      </c>
      <c r="Z341" s="110"/>
      <c r="AA341" s="100" t="s">
        <v>375</v>
      </c>
      <c r="AB341" s="109">
        <v>4</v>
      </c>
      <c r="AC341" s="108"/>
      <c r="AD341" s="109"/>
      <c r="AE341" s="109" t="s">
        <v>372</v>
      </c>
      <c r="AF341" s="109"/>
      <c r="AG341" s="109"/>
      <c r="AH341" s="108"/>
      <c r="AI341" s="100"/>
      <c r="AJ341" s="110"/>
      <c r="AK341" s="110"/>
      <c r="AL341" s="100"/>
      <c r="AM341" s="100"/>
      <c r="AN341" s="110"/>
      <c r="AO341" s="100"/>
      <c r="AP341" s="100"/>
      <c r="AQ341" s="110"/>
      <c r="AR341" s="100"/>
      <c r="AS341" s="111"/>
      <c r="AT341" s="111"/>
    </row>
    <row r="342" spans="1:46" ht="16.3">
      <c r="A342" s="246" t="s">
        <v>1</v>
      </c>
      <c r="B342" s="248">
        <f>SUM(J342+K342+L342+M342+N342+S342+V342+W342+X342+AA342+AI342+AJ342+AI342+AM342+AP342+AQ342+AS342+AT342+AU342+AV342+AN342)+2</f>
        <v>5</v>
      </c>
      <c r="C342" s="215">
        <f>B342</f>
        <v>5</v>
      </c>
      <c r="D342" s="133"/>
      <c r="E342" s="134"/>
      <c r="F342" s="135"/>
      <c r="G342" s="136"/>
      <c r="H342" s="107"/>
      <c r="I342" s="96">
        <v>1</v>
      </c>
      <c r="J342" s="104">
        <v>1</v>
      </c>
      <c r="K342" s="75"/>
      <c r="L342" s="75"/>
      <c r="M342" s="75"/>
      <c r="N342" s="104"/>
      <c r="O342" s="109">
        <v>1</v>
      </c>
      <c r="P342" s="108"/>
      <c r="Q342" s="109">
        <v>1</v>
      </c>
      <c r="R342" s="109"/>
      <c r="S342" s="100">
        <v>1</v>
      </c>
      <c r="T342" s="110"/>
      <c r="U342" s="110"/>
      <c r="V342" s="100"/>
      <c r="W342" s="100">
        <v>1</v>
      </c>
      <c r="X342" s="100"/>
      <c r="Y342" s="110"/>
      <c r="Z342" s="110"/>
      <c r="AA342" s="100"/>
      <c r="AB342" s="109">
        <v>1</v>
      </c>
      <c r="AC342" s="108"/>
      <c r="AD342" s="109"/>
      <c r="AE342" s="109">
        <v>1</v>
      </c>
      <c r="AF342" s="109"/>
      <c r="AG342" s="109"/>
      <c r="AH342" s="108"/>
      <c r="AI342" s="100"/>
      <c r="AJ342" s="110"/>
      <c r="AK342" s="110"/>
      <c r="AL342" s="100"/>
      <c r="AM342" s="100"/>
      <c r="AN342" s="110"/>
      <c r="AO342" s="100"/>
      <c r="AP342" s="100"/>
      <c r="AQ342" s="110"/>
      <c r="AR342" s="100"/>
      <c r="AS342" s="111"/>
      <c r="AT342" s="111"/>
    </row>
    <row r="343" spans="1:46" ht="16.3">
      <c r="A343" s="246" t="s">
        <v>2</v>
      </c>
      <c r="B343" s="248">
        <f>SUM(J343+K343+L343+M343+N343+S343+V343+W343+X343+AA343+AI343+AJ343+AI343+AM343+AP343+AQ343+AS343+AT343+AU343+AV343)+5</f>
        <v>9</v>
      </c>
      <c r="C343" s="215">
        <f t="shared" ref="C343:C347" si="56">B343</f>
        <v>9</v>
      </c>
      <c r="D343" s="133"/>
      <c r="E343" s="134"/>
      <c r="F343" s="135"/>
      <c r="G343" s="136"/>
      <c r="H343" s="107"/>
      <c r="I343" s="96"/>
      <c r="J343" s="104"/>
      <c r="K343" s="75"/>
      <c r="L343" s="75"/>
      <c r="M343" s="75">
        <v>1</v>
      </c>
      <c r="N343" s="104">
        <v>1</v>
      </c>
      <c r="O343" s="109"/>
      <c r="P343" s="108"/>
      <c r="Q343" s="109"/>
      <c r="R343" s="109">
        <v>1</v>
      </c>
      <c r="S343" s="100"/>
      <c r="T343" s="110">
        <v>1</v>
      </c>
      <c r="U343" s="110">
        <v>1</v>
      </c>
      <c r="V343" s="100"/>
      <c r="W343" s="100"/>
      <c r="X343" s="100">
        <v>1</v>
      </c>
      <c r="Y343" s="110">
        <v>1</v>
      </c>
      <c r="Z343" s="110"/>
      <c r="AA343" s="100">
        <v>1</v>
      </c>
      <c r="AB343" s="109"/>
      <c r="AC343" s="108"/>
      <c r="AD343" s="109"/>
      <c r="AE343" s="109"/>
      <c r="AF343" s="109"/>
      <c r="AG343" s="109"/>
      <c r="AH343" s="108"/>
      <c r="AI343" s="100"/>
      <c r="AJ343" s="110"/>
      <c r="AK343" s="110"/>
      <c r="AL343" s="100"/>
      <c r="AM343" s="100"/>
      <c r="AN343" s="110"/>
      <c r="AO343" s="100"/>
      <c r="AP343" s="100"/>
      <c r="AQ343" s="110"/>
      <c r="AR343" s="100"/>
      <c r="AS343" s="111"/>
      <c r="AT343" s="111"/>
    </row>
    <row r="344" spans="1:46" ht="16.3">
      <c r="A344" s="83" t="s">
        <v>363</v>
      </c>
      <c r="B344" s="247">
        <f>SUM(B342+B343)</f>
        <v>14</v>
      </c>
      <c r="C344" s="214">
        <f t="shared" si="56"/>
        <v>14</v>
      </c>
      <c r="D344" s="133"/>
      <c r="E344" s="134"/>
      <c r="F344" s="135"/>
      <c r="G344" s="136"/>
      <c r="H344" s="107"/>
      <c r="I344" s="96"/>
      <c r="J344" s="104"/>
      <c r="K344" s="75"/>
      <c r="L344" s="75"/>
      <c r="M344" s="75"/>
      <c r="N344" s="104"/>
      <c r="O344" s="109"/>
      <c r="P344" s="108"/>
      <c r="Q344" s="109"/>
      <c r="R344" s="109"/>
      <c r="S344" s="100"/>
      <c r="T344" s="110"/>
      <c r="U344" s="110"/>
      <c r="V344" s="100"/>
      <c r="W344" s="100"/>
      <c r="X344" s="100"/>
      <c r="Y344" s="110"/>
      <c r="Z344" s="110"/>
      <c r="AA344" s="100"/>
      <c r="AB344" s="109"/>
      <c r="AC344" s="108"/>
      <c r="AD344" s="109"/>
      <c r="AE344" s="109"/>
      <c r="AF344" s="109"/>
      <c r="AG344" s="109"/>
      <c r="AH344" s="108"/>
      <c r="AI344" s="100"/>
      <c r="AJ344" s="110"/>
      <c r="AK344" s="110"/>
      <c r="AL344" s="100"/>
      <c r="AM344" s="100"/>
      <c r="AN344" s="110"/>
      <c r="AO344" s="100"/>
      <c r="AP344" s="100"/>
      <c r="AQ344" s="110"/>
      <c r="AR344" s="100"/>
      <c r="AS344" s="111"/>
      <c r="AT344" s="111"/>
    </row>
    <row r="345" spans="1:46" ht="16.3">
      <c r="A345" s="246" t="s">
        <v>366</v>
      </c>
      <c r="B345" s="248">
        <f>SUM(J345+K345+L345+M345+N345+S345+V345+W345+X345+AA345+AI345+AJ345+AI345+AM345+AP345+AQ345+AS345+AT345+AU345+AV345)+1</f>
        <v>1</v>
      </c>
      <c r="C345" s="215">
        <f t="shared" si="56"/>
        <v>1</v>
      </c>
      <c r="D345" s="133"/>
      <c r="E345" s="134"/>
      <c r="F345" s="135"/>
      <c r="G345" s="136"/>
      <c r="H345" s="107"/>
      <c r="I345" s="96"/>
      <c r="J345" s="104"/>
      <c r="K345" s="75"/>
      <c r="L345" s="75"/>
      <c r="M345" s="75"/>
      <c r="N345" s="104"/>
      <c r="O345" s="109"/>
      <c r="P345" s="108"/>
      <c r="Q345" s="109"/>
      <c r="R345" s="109"/>
      <c r="S345" s="100"/>
      <c r="T345" s="110"/>
      <c r="U345" s="110"/>
      <c r="V345" s="100"/>
      <c r="W345" s="100"/>
      <c r="X345" s="100"/>
      <c r="Y345" s="110"/>
      <c r="Z345" s="110"/>
      <c r="AA345" s="100"/>
      <c r="AB345" s="109"/>
      <c r="AC345" s="108"/>
      <c r="AD345" s="109"/>
      <c r="AE345" s="109"/>
      <c r="AF345" s="109"/>
      <c r="AG345" s="109"/>
      <c r="AH345" s="108"/>
      <c r="AI345" s="100"/>
      <c r="AJ345" s="110"/>
      <c r="AK345" s="110"/>
      <c r="AL345" s="100"/>
      <c r="AM345" s="100"/>
      <c r="AN345" s="110"/>
      <c r="AO345" s="100"/>
      <c r="AP345" s="100"/>
      <c r="AQ345" s="110"/>
      <c r="AR345" s="100"/>
      <c r="AS345" s="111"/>
      <c r="AT345" s="111"/>
    </row>
    <row r="346" spans="1:46" ht="16.3">
      <c r="A346" s="246" t="s">
        <v>362</v>
      </c>
      <c r="B346" s="248">
        <f>SUM(J346+K346+L346+M346+N346+S346+V346+W346+X346+AA346+AI346+AJ346+AI346+AM346+AP346+AQ346+AS346+AT346+AU346+AV346)</f>
        <v>1</v>
      </c>
      <c r="C346" s="215">
        <f t="shared" ref="C346" si="57">B346</f>
        <v>1</v>
      </c>
      <c r="D346" s="133"/>
      <c r="E346" s="134"/>
      <c r="F346" s="135"/>
      <c r="G346" s="136"/>
      <c r="H346" s="107"/>
      <c r="I346" s="96"/>
      <c r="J346" s="104"/>
      <c r="K346" s="75"/>
      <c r="L346" s="75"/>
      <c r="M346" s="75"/>
      <c r="N346" s="104"/>
      <c r="O346" s="109"/>
      <c r="P346" s="108"/>
      <c r="Q346" s="109"/>
      <c r="R346" s="109"/>
      <c r="S346" s="100"/>
      <c r="T346" s="110"/>
      <c r="U346" s="110"/>
      <c r="V346" s="100"/>
      <c r="W346" s="100">
        <v>1</v>
      </c>
      <c r="X346" s="100"/>
      <c r="Y346" s="110"/>
      <c r="Z346" s="110"/>
      <c r="AA346" s="100"/>
      <c r="AB346" s="109"/>
      <c r="AC346" s="108"/>
      <c r="AD346" s="109"/>
      <c r="AE346" s="109"/>
      <c r="AF346" s="109"/>
      <c r="AG346" s="109"/>
      <c r="AH346" s="108"/>
      <c r="AI346" s="100"/>
      <c r="AJ346" s="110"/>
      <c r="AK346" s="110"/>
      <c r="AL346" s="100"/>
      <c r="AM346" s="100"/>
      <c r="AN346" s="110"/>
      <c r="AO346" s="100"/>
      <c r="AP346" s="100"/>
      <c r="AQ346" s="110"/>
      <c r="AR346" s="100"/>
      <c r="AS346" s="111"/>
      <c r="AT346" s="111"/>
    </row>
    <row r="347" spans="1:46" ht="16.3">
      <c r="A347" s="83" t="s">
        <v>3</v>
      </c>
      <c r="B347" s="247">
        <f>SUM(J347+K347+L347+M347+N347+S347+V347+W347+X347+AA347+AI347+AJ347+AI347+AM347+AP347+AQ347+AS347+AT347+AU347+AV347)</f>
        <v>0</v>
      </c>
      <c r="C347" s="214">
        <f t="shared" si="56"/>
        <v>0</v>
      </c>
      <c r="D347" s="133"/>
      <c r="E347" s="134"/>
      <c r="F347" s="135"/>
      <c r="G347" s="136"/>
      <c r="H347" s="107"/>
      <c r="I347" s="96"/>
      <c r="J347" s="104"/>
      <c r="K347" s="75"/>
      <c r="L347" s="75"/>
      <c r="M347" s="75"/>
      <c r="N347" s="104"/>
      <c r="O347" s="109"/>
      <c r="P347" s="108"/>
      <c r="Q347" s="109"/>
      <c r="R347" s="109"/>
      <c r="S347" s="100"/>
      <c r="T347" s="110"/>
      <c r="U347" s="110"/>
      <c r="V347" s="100"/>
      <c r="W347" s="100"/>
      <c r="X347" s="100"/>
      <c r="Y347" s="110"/>
      <c r="Z347" s="110"/>
      <c r="AA347" s="100"/>
      <c r="AB347" s="109"/>
      <c r="AC347" s="108"/>
      <c r="AD347" s="109"/>
      <c r="AE347" s="109"/>
      <c r="AF347" s="109"/>
      <c r="AG347" s="109"/>
      <c r="AH347" s="108"/>
      <c r="AI347" s="100"/>
      <c r="AJ347" s="110"/>
      <c r="AK347" s="110"/>
      <c r="AL347" s="100"/>
      <c r="AM347" s="100"/>
      <c r="AN347" s="110"/>
      <c r="AO347" s="100"/>
      <c r="AP347" s="100"/>
      <c r="AQ347" s="110"/>
      <c r="AR347" s="100"/>
      <c r="AS347" s="111"/>
      <c r="AT347" s="111"/>
    </row>
    <row r="348" spans="1:46" ht="17" thickBot="1">
      <c r="A348" s="85" t="s">
        <v>4</v>
      </c>
      <c r="B348" s="250">
        <f>SUM(J348+K348+L348+M348+N348+S348+V348+W348+X348+AA348+AI348+AJ348+AI348+AM348+AP348+AQ348+AS348+AT348+AU348+AV348)</f>
        <v>0</v>
      </c>
      <c r="C348" s="217">
        <f t="shared" ref="C348" si="58">B348</f>
        <v>0</v>
      </c>
      <c r="D348" s="144"/>
      <c r="E348" s="145"/>
      <c r="F348" s="146"/>
      <c r="G348" s="147"/>
      <c r="H348" s="130"/>
      <c r="I348" s="114"/>
      <c r="J348" s="113"/>
      <c r="K348" s="112"/>
      <c r="L348" s="112"/>
      <c r="M348" s="112"/>
      <c r="N348" s="113"/>
      <c r="O348" s="118"/>
      <c r="P348" s="127"/>
      <c r="Q348" s="118"/>
      <c r="R348" s="118"/>
      <c r="S348" s="116"/>
      <c r="T348" s="120"/>
      <c r="U348" s="120"/>
      <c r="V348" s="116"/>
      <c r="W348" s="116"/>
      <c r="X348" s="116"/>
      <c r="Y348" s="120"/>
      <c r="Z348" s="120"/>
      <c r="AA348" s="116"/>
      <c r="AB348" s="118"/>
      <c r="AC348" s="117"/>
      <c r="AD348" s="118"/>
      <c r="AE348" s="118"/>
      <c r="AF348" s="118"/>
      <c r="AG348" s="118"/>
      <c r="AH348" s="117"/>
      <c r="AI348" s="116"/>
      <c r="AJ348" s="120"/>
      <c r="AK348" s="120"/>
      <c r="AL348" s="116"/>
      <c r="AM348" s="116"/>
      <c r="AN348" s="120"/>
      <c r="AO348" s="116"/>
      <c r="AP348" s="116"/>
      <c r="AQ348" s="120"/>
      <c r="AR348" s="116"/>
      <c r="AS348" s="121"/>
      <c r="AT348" s="121"/>
    </row>
    <row r="349" spans="1:46" ht="21.1">
      <c r="A349" s="82" t="s">
        <v>788</v>
      </c>
      <c r="B349" s="247"/>
      <c r="C349" s="214"/>
      <c r="D349" s="133"/>
      <c r="E349" s="134"/>
      <c r="F349" s="135"/>
      <c r="G349" s="136"/>
      <c r="H349" s="107"/>
      <c r="I349" s="96"/>
      <c r="J349" s="104"/>
      <c r="K349" s="75"/>
      <c r="L349" s="75"/>
      <c r="M349" s="75"/>
      <c r="N349" s="104"/>
      <c r="O349" s="109" t="s">
        <v>432</v>
      </c>
      <c r="P349" s="108"/>
      <c r="Q349" s="109">
        <v>5</v>
      </c>
      <c r="R349" s="109"/>
      <c r="S349" s="100"/>
      <c r="T349" s="110"/>
      <c r="U349" s="110"/>
      <c r="V349" s="100"/>
      <c r="W349" s="100"/>
      <c r="X349" s="100"/>
      <c r="Y349" s="110"/>
      <c r="Z349" s="110"/>
      <c r="AA349" s="100"/>
      <c r="AB349" s="109"/>
      <c r="AC349" s="108"/>
      <c r="AD349" s="109"/>
      <c r="AE349" s="109" t="s">
        <v>375</v>
      </c>
      <c r="AF349" s="109" t="s">
        <v>375</v>
      </c>
      <c r="AG349" s="109"/>
      <c r="AH349" s="108"/>
      <c r="AI349" s="100"/>
      <c r="AJ349" s="110"/>
      <c r="AK349" s="110"/>
      <c r="AL349" s="100"/>
      <c r="AM349" s="100"/>
      <c r="AN349" s="110"/>
      <c r="AO349" s="100"/>
      <c r="AP349" s="100"/>
      <c r="AQ349" s="110"/>
      <c r="AR349" s="100"/>
      <c r="AS349" s="111"/>
      <c r="AT349" s="111"/>
    </row>
    <row r="350" spans="1:46" ht="16.3">
      <c r="A350" s="246" t="s">
        <v>1</v>
      </c>
      <c r="B350" s="248">
        <f>SUM(J350+K350+L350+M350+N350+S350+V350+W350+X350+AA350+AI350+AJ350+AI350+AM350+AP350+AQ350+AS350+AT350+AU350+AV350+AN350)</f>
        <v>0</v>
      </c>
      <c r="C350" s="215">
        <f>B350</f>
        <v>0</v>
      </c>
      <c r="D350" s="133"/>
      <c r="E350" s="134"/>
      <c r="F350" s="135"/>
      <c r="G350" s="136"/>
      <c r="H350" s="107"/>
      <c r="I350" s="96"/>
      <c r="J350" s="104"/>
      <c r="K350" s="75"/>
      <c r="L350" s="75"/>
      <c r="M350" s="75"/>
      <c r="N350" s="104"/>
      <c r="O350" s="109"/>
      <c r="P350" s="108"/>
      <c r="Q350" s="109">
        <v>1</v>
      </c>
      <c r="R350" s="109"/>
      <c r="S350" s="100"/>
      <c r="T350" s="110"/>
      <c r="U350" s="110"/>
      <c r="V350" s="100"/>
      <c r="W350" s="100"/>
      <c r="X350" s="100"/>
      <c r="Y350" s="110"/>
      <c r="Z350" s="110"/>
      <c r="AA350" s="100"/>
      <c r="AB350" s="109"/>
      <c r="AC350" s="108"/>
      <c r="AD350" s="109"/>
      <c r="AE350" s="109"/>
      <c r="AF350" s="109"/>
      <c r="AG350" s="109"/>
      <c r="AH350" s="108"/>
      <c r="AI350" s="100"/>
      <c r="AJ350" s="110"/>
      <c r="AK350" s="110"/>
      <c r="AL350" s="100"/>
      <c r="AM350" s="100"/>
      <c r="AN350" s="110"/>
      <c r="AO350" s="100"/>
      <c r="AP350" s="100"/>
      <c r="AQ350" s="110"/>
      <c r="AR350" s="100"/>
      <c r="AS350" s="111"/>
      <c r="AT350" s="111"/>
    </row>
    <row r="351" spans="1:46" ht="16.3">
      <c r="A351" s="246" t="s">
        <v>2</v>
      </c>
      <c r="B351" s="248">
        <f>SUM(J351+K351+L351+M351+N351+S351+V351+W351+X351+AA351+AI351+AJ351+AI351+AM351+AP351+AQ351+AS351+AT351+AU351+AV351)</f>
        <v>0</v>
      </c>
      <c r="C351" s="215">
        <f t="shared" ref="C351:C354" si="59">B351</f>
        <v>0</v>
      </c>
      <c r="D351" s="133"/>
      <c r="E351" s="134"/>
      <c r="F351" s="135"/>
      <c r="G351" s="136"/>
      <c r="H351" s="107"/>
      <c r="I351" s="96"/>
      <c r="J351" s="104"/>
      <c r="K351" s="75"/>
      <c r="L351" s="75"/>
      <c r="M351" s="75"/>
      <c r="N351" s="104"/>
      <c r="O351" s="109">
        <v>1</v>
      </c>
      <c r="P351" s="108"/>
      <c r="Q351" s="109"/>
      <c r="R351" s="109"/>
      <c r="S351" s="100"/>
      <c r="T351" s="110"/>
      <c r="U351" s="110"/>
      <c r="V351" s="100"/>
      <c r="W351" s="100"/>
      <c r="X351" s="100"/>
      <c r="Y351" s="110"/>
      <c r="Z351" s="110"/>
      <c r="AA351" s="100"/>
      <c r="AB351" s="109"/>
      <c r="AC351" s="108"/>
      <c r="AD351" s="109"/>
      <c r="AE351" s="109">
        <v>1</v>
      </c>
      <c r="AF351" s="109">
        <v>1</v>
      </c>
      <c r="AG351" s="109"/>
      <c r="AH351" s="108"/>
      <c r="AI351" s="100"/>
      <c r="AJ351" s="110"/>
      <c r="AK351" s="110"/>
      <c r="AL351" s="100"/>
      <c r="AM351" s="100"/>
      <c r="AN351" s="110"/>
      <c r="AO351" s="100"/>
      <c r="AP351" s="100"/>
      <c r="AQ351" s="110"/>
      <c r="AR351" s="100"/>
      <c r="AS351" s="111"/>
      <c r="AT351" s="111"/>
    </row>
    <row r="352" spans="1:46" ht="16.3">
      <c r="A352" s="83" t="s">
        <v>363</v>
      </c>
      <c r="B352" s="247">
        <f>SUM(B350+B351)</f>
        <v>0</v>
      </c>
      <c r="C352" s="214">
        <f t="shared" si="59"/>
        <v>0</v>
      </c>
      <c r="D352" s="133"/>
      <c r="E352" s="134"/>
      <c r="F352" s="135"/>
      <c r="G352" s="136"/>
      <c r="H352" s="107"/>
      <c r="I352" s="96"/>
      <c r="J352" s="104"/>
      <c r="K352" s="75"/>
      <c r="L352" s="75"/>
      <c r="M352" s="75"/>
      <c r="N352" s="104"/>
      <c r="O352" s="109"/>
      <c r="P352" s="108"/>
      <c r="Q352" s="109"/>
      <c r="R352" s="109"/>
      <c r="S352" s="100"/>
      <c r="T352" s="110"/>
      <c r="U352" s="110"/>
      <c r="V352" s="100"/>
      <c r="W352" s="100"/>
      <c r="X352" s="100"/>
      <c r="Y352" s="110"/>
      <c r="Z352" s="110"/>
      <c r="AA352" s="100"/>
      <c r="AB352" s="109"/>
      <c r="AC352" s="108"/>
      <c r="AD352" s="109"/>
      <c r="AE352" s="109"/>
      <c r="AF352" s="109"/>
      <c r="AG352" s="109"/>
      <c r="AH352" s="108"/>
      <c r="AI352" s="100"/>
      <c r="AJ352" s="110"/>
      <c r="AK352" s="110"/>
      <c r="AL352" s="100"/>
      <c r="AM352" s="100"/>
      <c r="AN352" s="110"/>
      <c r="AO352" s="100"/>
      <c r="AP352" s="100"/>
      <c r="AQ352" s="110"/>
      <c r="AR352" s="100"/>
      <c r="AS352" s="111"/>
      <c r="AT352" s="111"/>
    </row>
    <row r="353" spans="1:46" ht="16.3">
      <c r="A353" s="83" t="s">
        <v>3</v>
      </c>
      <c r="B353" s="247">
        <f>SUM(J353+K353+L353+M353+N353+S353+V353+W353+X353+AA353+AI353+AJ353+AI353+AM353+AP353+AQ353+AS353+AT353+AU353+AV353)</f>
        <v>0</v>
      </c>
      <c r="C353" s="214">
        <f t="shared" si="59"/>
        <v>0</v>
      </c>
      <c r="D353" s="133"/>
      <c r="E353" s="134"/>
      <c r="F353" s="135"/>
      <c r="G353" s="136"/>
      <c r="H353" s="107"/>
      <c r="I353" s="96"/>
      <c r="J353" s="104"/>
      <c r="K353" s="75"/>
      <c r="L353" s="75"/>
      <c r="M353" s="75"/>
      <c r="N353" s="104"/>
      <c r="O353" s="109"/>
      <c r="P353" s="108"/>
      <c r="Q353" s="109"/>
      <c r="R353" s="109"/>
      <c r="S353" s="100"/>
      <c r="T353" s="110"/>
      <c r="U353" s="110"/>
      <c r="V353" s="100"/>
      <c r="W353" s="100"/>
      <c r="X353" s="100"/>
      <c r="Y353" s="110"/>
      <c r="Z353" s="110"/>
      <c r="AA353" s="100"/>
      <c r="AB353" s="109"/>
      <c r="AC353" s="108"/>
      <c r="AD353" s="109"/>
      <c r="AE353" s="109"/>
      <c r="AF353" s="109"/>
      <c r="AG353" s="109"/>
      <c r="AH353" s="108"/>
      <c r="AI353" s="100"/>
      <c r="AJ353" s="110"/>
      <c r="AK353" s="110"/>
      <c r="AL353" s="100"/>
      <c r="AM353" s="100"/>
      <c r="AN353" s="110"/>
      <c r="AO353" s="100"/>
      <c r="AP353" s="100"/>
      <c r="AQ353" s="110"/>
      <c r="AR353" s="100"/>
      <c r="AS353" s="111"/>
      <c r="AT353" s="111"/>
    </row>
    <row r="354" spans="1:46" ht="17" thickBot="1">
      <c r="A354" s="85" t="s">
        <v>4</v>
      </c>
      <c r="B354" s="250">
        <f>SUM(J354+K354+L354+M354+N354+S354+V354+W354+X354+AA354+AI354+AJ354+AI354+AM354+AP354+AQ354+AS354+AT354+AU354+AV354)</f>
        <v>0</v>
      </c>
      <c r="C354" s="217">
        <f t="shared" si="59"/>
        <v>0</v>
      </c>
      <c r="D354" s="144"/>
      <c r="E354" s="145"/>
      <c r="F354" s="146"/>
      <c r="G354" s="147"/>
      <c r="H354" s="130"/>
      <c r="I354" s="114"/>
      <c r="J354" s="113"/>
      <c r="K354" s="112"/>
      <c r="L354" s="112"/>
      <c r="M354" s="112"/>
      <c r="N354" s="113"/>
      <c r="O354" s="118"/>
      <c r="P354" s="117"/>
      <c r="Q354" s="118"/>
      <c r="R354" s="118"/>
      <c r="S354" s="116"/>
      <c r="T354" s="120"/>
      <c r="U354" s="120"/>
      <c r="V354" s="116"/>
      <c r="W354" s="116"/>
      <c r="X354" s="116"/>
      <c r="Y354" s="120"/>
      <c r="Z354" s="120"/>
      <c r="AA354" s="116"/>
      <c r="AB354" s="118"/>
      <c r="AC354" s="117"/>
      <c r="AD354" s="118"/>
      <c r="AE354" s="118"/>
      <c r="AF354" s="118"/>
      <c r="AG354" s="118"/>
      <c r="AH354" s="117"/>
      <c r="AI354" s="116"/>
      <c r="AJ354" s="120"/>
      <c r="AK354" s="120"/>
      <c r="AL354" s="116"/>
      <c r="AM354" s="116"/>
      <c r="AN354" s="120"/>
      <c r="AO354" s="116"/>
      <c r="AP354" s="116"/>
      <c r="AQ354" s="120"/>
      <c r="AR354" s="116"/>
      <c r="AS354" s="121"/>
      <c r="AT354" s="121"/>
    </row>
    <row r="355" spans="1:46" ht="21.1">
      <c r="A355" s="82" t="s">
        <v>1024</v>
      </c>
      <c r="B355" s="247"/>
      <c r="C355" s="214"/>
      <c r="D355" s="133"/>
      <c r="E355" s="134"/>
      <c r="F355" s="135"/>
      <c r="G355" s="136"/>
      <c r="H355" s="107"/>
      <c r="I355" s="96"/>
      <c r="J355" s="104"/>
      <c r="K355" s="75"/>
      <c r="L355" s="75"/>
      <c r="M355" s="75"/>
      <c r="N355" s="104"/>
      <c r="O355" s="109"/>
      <c r="P355" s="108"/>
      <c r="Q355" s="109"/>
      <c r="R355" s="109"/>
      <c r="S355" s="100"/>
      <c r="T355" s="110"/>
      <c r="U355" s="110"/>
      <c r="V355" s="100"/>
      <c r="W355" s="100"/>
      <c r="X355" s="100"/>
      <c r="Y355" s="110"/>
      <c r="Z355" s="110"/>
      <c r="AA355" s="100"/>
      <c r="AB355" s="109"/>
      <c r="AC355" s="108"/>
      <c r="AD355" s="109" t="s">
        <v>432</v>
      </c>
      <c r="AE355" s="109" t="s">
        <v>375</v>
      </c>
      <c r="AF355" s="109">
        <v>7</v>
      </c>
      <c r="AG355" s="109"/>
      <c r="AH355" s="108"/>
      <c r="AI355" s="100"/>
      <c r="AJ355" s="110"/>
      <c r="AK355" s="110"/>
      <c r="AL355" s="100"/>
      <c r="AM355" s="100"/>
      <c r="AN355" s="110"/>
      <c r="AO355" s="100"/>
      <c r="AP355" s="100"/>
      <c r="AQ355" s="110"/>
      <c r="AR355" s="100"/>
      <c r="AS355" s="111"/>
      <c r="AT355" s="111"/>
    </row>
    <row r="356" spans="1:46" ht="16.3">
      <c r="A356" s="246" t="s">
        <v>1</v>
      </c>
      <c r="B356" s="247">
        <f>SUM(J356+K356+L356+M356+N356+S356+V356+W356+X356+AA356+AI356+AJ356+AI356+AM356+AP356+AQ356+AS356+AT356+AU356+AV356+AN356)</f>
        <v>0</v>
      </c>
      <c r="C356" s="214">
        <f>B356</f>
        <v>0</v>
      </c>
      <c r="D356" s="133"/>
      <c r="E356" s="134"/>
      <c r="F356" s="135"/>
      <c r="G356" s="136"/>
      <c r="H356" s="107"/>
      <c r="I356" s="96"/>
      <c r="J356" s="104"/>
      <c r="K356" s="75"/>
      <c r="L356" s="75"/>
      <c r="M356" s="75"/>
      <c r="N356" s="104"/>
      <c r="O356" s="109"/>
      <c r="P356" s="108"/>
      <c r="Q356" s="109"/>
      <c r="R356" s="109"/>
      <c r="S356" s="100"/>
      <c r="T356" s="110"/>
      <c r="U356" s="110"/>
      <c r="V356" s="100"/>
      <c r="W356" s="100"/>
      <c r="X356" s="100"/>
      <c r="Y356" s="110"/>
      <c r="Z356" s="110"/>
      <c r="AA356" s="100"/>
      <c r="AB356" s="109"/>
      <c r="AC356" s="108"/>
      <c r="AD356" s="109"/>
      <c r="AE356" s="109"/>
      <c r="AF356" s="109">
        <v>1</v>
      </c>
      <c r="AG356" s="109"/>
      <c r="AH356" s="108"/>
      <c r="AI356" s="100"/>
      <c r="AJ356" s="110"/>
      <c r="AK356" s="110"/>
      <c r="AL356" s="100"/>
      <c r="AM356" s="100"/>
      <c r="AN356" s="110"/>
      <c r="AO356" s="100"/>
      <c r="AP356" s="100"/>
      <c r="AQ356" s="110"/>
      <c r="AR356" s="100"/>
      <c r="AS356" s="111"/>
      <c r="AT356" s="111"/>
    </row>
    <row r="357" spans="1:46" ht="16.3">
      <c r="A357" s="246" t="s">
        <v>2</v>
      </c>
      <c r="B357" s="247">
        <f>SUM(J357+K357+L357+M357+N357+S357+V357+W357+X357+AA357+AI357+AJ357+AI357+AM357+AP357+AQ357+AS357+AT357+AU357+AV357)</f>
        <v>0</v>
      </c>
      <c r="C357" s="214">
        <f t="shared" ref="C357:C360" si="60">B357</f>
        <v>0</v>
      </c>
      <c r="D357" s="133"/>
      <c r="E357" s="134"/>
      <c r="F357" s="135"/>
      <c r="G357" s="136"/>
      <c r="H357" s="107"/>
      <c r="I357" s="96"/>
      <c r="J357" s="104"/>
      <c r="K357" s="75"/>
      <c r="L357" s="75"/>
      <c r="M357" s="75"/>
      <c r="N357" s="104"/>
      <c r="O357" s="109"/>
      <c r="P357" s="108"/>
      <c r="Q357" s="109"/>
      <c r="R357" s="109"/>
      <c r="S357" s="100"/>
      <c r="T357" s="110"/>
      <c r="U357" s="110"/>
      <c r="V357" s="100"/>
      <c r="W357" s="100"/>
      <c r="X357" s="100"/>
      <c r="Y357" s="110"/>
      <c r="Z357" s="110"/>
      <c r="AA357" s="100"/>
      <c r="AB357" s="109"/>
      <c r="AC357" s="108"/>
      <c r="AD357" s="109">
        <v>1</v>
      </c>
      <c r="AE357" s="109">
        <v>1</v>
      </c>
      <c r="AF357" s="109"/>
      <c r="AG357" s="109"/>
      <c r="AH357" s="108"/>
      <c r="AI357" s="100"/>
      <c r="AJ357" s="110"/>
      <c r="AK357" s="110"/>
      <c r="AL357" s="100"/>
      <c r="AM357" s="100"/>
      <c r="AN357" s="110"/>
      <c r="AO357" s="100"/>
      <c r="AP357" s="100"/>
      <c r="AQ357" s="110"/>
      <c r="AR357" s="100"/>
      <c r="AS357" s="111"/>
      <c r="AT357" s="111"/>
    </row>
    <row r="358" spans="1:46" ht="16.3">
      <c r="A358" s="83" t="s">
        <v>363</v>
      </c>
      <c r="B358" s="247">
        <f>SUM(B356+B357)</f>
        <v>0</v>
      </c>
      <c r="C358" s="214">
        <f t="shared" si="60"/>
        <v>0</v>
      </c>
      <c r="D358" s="133"/>
      <c r="E358" s="134"/>
      <c r="F358" s="135"/>
      <c r="G358" s="136"/>
      <c r="H358" s="107"/>
      <c r="I358" s="96"/>
      <c r="J358" s="104"/>
      <c r="K358" s="75"/>
      <c r="L358" s="75"/>
      <c r="M358" s="75"/>
      <c r="N358" s="104"/>
      <c r="O358" s="109"/>
      <c r="P358" s="108"/>
      <c r="Q358" s="109"/>
      <c r="R358" s="109"/>
      <c r="S358" s="100"/>
      <c r="T358" s="110"/>
      <c r="U358" s="110"/>
      <c r="V358" s="100"/>
      <c r="W358" s="100"/>
      <c r="X358" s="100"/>
      <c r="Y358" s="110"/>
      <c r="Z358" s="110"/>
      <c r="AA358" s="100"/>
      <c r="AB358" s="109"/>
      <c r="AC358" s="108"/>
      <c r="AD358" s="109"/>
      <c r="AE358" s="109"/>
      <c r="AF358" s="109"/>
      <c r="AG358" s="109"/>
      <c r="AH358" s="108"/>
      <c r="AI358" s="100"/>
      <c r="AJ358" s="110"/>
      <c r="AK358" s="110"/>
      <c r="AL358" s="100"/>
      <c r="AM358" s="100"/>
      <c r="AN358" s="110"/>
      <c r="AO358" s="100"/>
      <c r="AP358" s="100"/>
      <c r="AQ358" s="110"/>
      <c r="AR358" s="100"/>
      <c r="AS358" s="111"/>
      <c r="AT358" s="111"/>
    </row>
    <row r="359" spans="1:46" ht="16.3">
      <c r="A359" s="83" t="s">
        <v>3</v>
      </c>
      <c r="B359" s="247">
        <f>SUM(J359+K359+L359+M359+N359+S359+V359+W359+X359+AA359+AI359+AJ359+AI359+AM359+AP359+AQ359+AS359+AT359+AU359+AV359)</f>
        <v>0</v>
      </c>
      <c r="C359" s="214">
        <f t="shared" si="60"/>
        <v>0</v>
      </c>
      <c r="D359" s="133"/>
      <c r="E359" s="134"/>
      <c r="F359" s="135"/>
      <c r="G359" s="136"/>
      <c r="H359" s="107"/>
      <c r="I359" s="96"/>
      <c r="J359" s="104"/>
      <c r="K359" s="75"/>
      <c r="L359" s="75"/>
      <c r="M359" s="75"/>
      <c r="N359" s="104"/>
      <c r="O359" s="109"/>
      <c r="P359" s="108"/>
      <c r="Q359" s="109"/>
      <c r="R359" s="109"/>
      <c r="S359" s="100"/>
      <c r="T359" s="110"/>
      <c r="U359" s="110"/>
      <c r="V359" s="100"/>
      <c r="W359" s="100"/>
      <c r="X359" s="100"/>
      <c r="Y359" s="110"/>
      <c r="Z359" s="110"/>
      <c r="AA359" s="100"/>
      <c r="AB359" s="109"/>
      <c r="AC359" s="108"/>
      <c r="AD359" s="109"/>
      <c r="AE359" s="109"/>
      <c r="AF359" s="109"/>
      <c r="AG359" s="109"/>
      <c r="AH359" s="108"/>
      <c r="AI359" s="100"/>
      <c r="AJ359" s="110"/>
      <c r="AK359" s="110"/>
      <c r="AL359" s="100"/>
      <c r="AM359" s="100"/>
      <c r="AN359" s="110"/>
      <c r="AO359" s="100"/>
      <c r="AP359" s="100"/>
      <c r="AQ359" s="110"/>
      <c r="AR359" s="100"/>
      <c r="AS359" s="111"/>
      <c r="AT359" s="111"/>
    </row>
    <row r="360" spans="1:46" ht="17" thickBot="1">
      <c r="A360" s="85" t="s">
        <v>4</v>
      </c>
      <c r="B360" s="250">
        <f>SUM(J360+K360+L360+M360+N360+S360+V360+W360+X360+AA360+AI360+AJ360+AI360+AM360+AP360+AQ360+AS360+AT360+AU360+AV360)</f>
        <v>0</v>
      </c>
      <c r="C360" s="217">
        <f t="shared" si="60"/>
        <v>0</v>
      </c>
      <c r="D360" s="144"/>
      <c r="E360" s="145"/>
      <c r="F360" s="146"/>
      <c r="G360" s="147"/>
      <c r="H360" s="130"/>
      <c r="I360" s="114"/>
      <c r="J360" s="113"/>
      <c r="K360" s="112"/>
      <c r="L360" s="112"/>
      <c r="M360" s="112"/>
      <c r="N360" s="113"/>
      <c r="O360" s="118"/>
      <c r="P360" s="117"/>
      <c r="Q360" s="118"/>
      <c r="R360" s="118"/>
      <c r="S360" s="116"/>
      <c r="T360" s="120"/>
      <c r="U360" s="120"/>
      <c r="V360" s="116"/>
      <c r="W360" s="116"/>
      <c r="X360" s="116"/>
      <c r="Y360" s="120"/>
      <c r="Z360" s="120"/>
      <c r="AA360" s="116"/>
      <c r="AB360" s="118"/>
      <c r="AC360" s="117"/>
      <c r="AD360" s="118"/>
      <c r="AE360" s="118"/>
      <c r="AF360" s="118"/>
      <c r="AG360" s="118"/>
      <c r="AH360" s="117"/>
      <c r="AI360" s="116"/>
      <c r="AJ360" s="120"/>
      <c r="AK360" s="120"/>
      <c r="AL360" s="116"/>
      <c r="AM360" s="116"/>
      <c r="AN360" s="120"/>
      <c r="AO360" s="116"/>
      <c r="AP360" s="116"/>
      <c r="AQ360" s="120"/>
      <c r="AR360" s="116"/>
      <c r="AS360" s="121"/>
      <c r="AT360" s="121"/>
    </row>
    <row r="361" spans="1:46" ht="21.1">
      <c r="A361" s="82" t="s">
        <v>263</v>
      </c>
      <c r="B361" s="247"/>
      <c r="C361" s="214"/>
      <c r="D361" s="133"/>
      <c r="E361" s="134"/>
      <c r="F361" s="135"/>
      <c r="G361" s="136"/>
      <c r="H361" s="107"/>
      <c r="I361" s="96">
        <v>7</v>
      </c>
      <c r="J361" s="104">
        <v>7</v>
      </c>
      <c r="K361" s="75" t="s">
        <v>623</v>
      </c>
      <c r="L361" s="75" t="s">
        <v>373</v>
      </c>
      <c r="M361" s="75"/>
      <c r="N361" s="104" t="s">
        <v>623</v>
      </c>
      <c r="O361" s="109"/>
      <c r="P361" s="108"/>
      <c r="Q361" s="109"/>
      <c r="R361" s="109"/>
      <c r="S361" s="100" t="s">
        <v>375</v>
      </c>
      <c r="T361" s="110" t="s">
        <v>373</v>
      </c>
      <c r="U361" s="110" t="s">
        <v>373</v>
      </c>
      <c r="V361" s="100">
        <v>7</v>
      </c>
      <c r="W361" s="100"/>
      <c r="X361" s="100">
        <v>7</v>
      </c>
      <c r="Y361" s="110">
        <v>7</v>
      </c>
      <c r="Z361" s="110"/>
      <c r="AA361" s="100" t="s">
        <v>373</v>
      </c>
      <c r="AB361" s="109"/>
      <c r="AC361" s="108"/>
      <c r="AD361" s="109"/>
      <c r="AE361" s="109"/>
      <c r="AF361" s="109" t="s">
        <v>375</v>
      </c>
      <c r="AG361" s="109"/>
      <c r="AH361" s="108"/>
      <c r="AI361" s="100"/>
      <c r="AJ361" s="110"/>
      <c r="AK361" s="110"/>
      <c r="AL361" s="100"/>
      <c r="AM361" s="100"/>
      <c r="AN361" s="110"/>
      <c r="AO361" s="100"/>
      <c r="AP361" s="100"/>
      <c r="AQ361" s="110"/>
      <c r="AR361" s="100"/>
      <c r="AS361" s="111"/>
      <c r="AT361" s="111"/>
    </row>
    <row r="362" spans="1:46" ht="16.3">
      <c r="A362" s="234" t="s">
        <v>1</v>
      </c>
      <c r="B362" s="248">
        <f>SUM(J362+K362+L362+M362+N362+S362+V362+W362+X362+AA362+AI362+AJ362+AI362+AM362+AP362+AQ362+AS362+AT362+AU362+AV362+AN362)+25</f>
        <v>32</v>
      </c>
      <c r="C362" s="215">
        <f>SUM(J362+K362+L362+M362+N362+S362+W362+X362+V362+AA362+AJ362+AI362+AJ362+AN362+AQ362+AM362+AT362+AU362+AV362+AW362+AP362+AS362)+51</f>
        <v>58</v>
      </c>
      <c r="D362" s="133"/>
      <c r="E362" s="134"/>
      <c r="F362" s="135"/>
      <c r="G362" s="136"/>
      <c r="H362" s="107"/>
      <c r="I362" s="96">
        <v>1</v>
      </c>
      <c r="J362" s="104">
        <v>1</v>
      </c>
      <c r="K362" s="75">
        <v>1</v>
      </c>
      <c r="L362" s="75">
        <v>1</v>
      </c>
      <c r="M362" s="75"/>
      <c r="N362" s="104">
        <v>1</v>
      </c>
      <c r="O362" s="109"/>
      <c r="P362" s="108"/>
      <c r="Q362" s="109"/>
      <c r="R362" s="109"/>
      <c r="S362" s="100"/>
      <c r="T362" s="110">
        <v>1</v>
      </c>
      <c r="U362" s="110">
        <v>1</v>
      </c>
      <c r="V362" s="100">
        <v>1</v>
      </c>
      <c r="W362" s="100"/>
      <c r="X362" s="100">
        <v>1</v>
      </c>
      <c r="Y362" s="110">
        <v>1</v>
      </c>
      <c r="Z362" s="110"/>
      <c r="AA362" s="100">
        <v>1</v>
      </c>
      <c r="AB362" s="109"/>
      <c r="AC362" s="108"/>
      <c r="AD362" s="109"/>
      <c r="AE362" s="109"/>
      <c r="AF362" s="109"/>
      <c r="AG362" s="109"/>
      <c r="AH362" s="108"/>
      <c r="AI362" s="100"/>
      <c r="AJ362" s="110"/>
      <c r="AK362" s="110"/>
      <c r="AL362" s="100"/>
      <c r="AM362" s="100"/>
      <c r="AN362" s="110"/>
      <c r="AO362" s="100"/>
      <c r="AP362" s="100"/>
      <c r="AQ362" s="110"/>
      <c r="AR362" s="100"/>
      <c r="AS362" s="111"/>
      <c r="AT362" s="111"/>
    </row>
    <row r="363" spans="1:46" ht="16.3">
      <c r="A363" s="234" t="s">
        <v>2</v>
      </c>
      <c r="B363" s="248">
        <f>SUM(J363+K363+L363+M363+N363+S363+V363+W363+X363+AA363+AI363+AJ363+AI363+AM363+AP363+AQ363+AS363+AT363+AU363+AV363)+5</f>
        <v>6</v>
      </c>
      <c r="C363" s="215">
        <f>SUM(J363+K363+L363+M363+N363+S363+W363+X363+V363+AA363+AJ363+AI363+AJ363+AN363+AQ363+AM363+AT363+AU363+AV363+AW363+AP363+AS363)+10</f>
        <v>11</v>
      </c>
      <c r="D363" s="133"/>
      <c r="E363" s="134"/>
      <c r="F363" s="135"/>
      <c r="G363" s="136"/>
      <c r="H363" s="107"/>
      <c r="I363" s="96"/>
      <c r="J363" s="104"/>
      <c r="K363" s="75"/>
      <c r="L363" s="75"/>
      <c r="M363" s="75"/>
      <c r="N363" s="104"/>
      <c r="O363" s="109"/>
      <c r="P363" s="108"/>
      <c r="Q363" s="109"/>
      <c r="R363" s="109"/>
      <c r="S363" s="100">
        <v>1</v>
      </c>
      <c r="T363" s="110"/>
      <c r="U363" s="110"/>
      <c r="V363" s="100"/>
      <c r="W363" s="100"/>
      <c r="X363" s="100"/>
      <c r="Y363" s="110"/>
      <c r="Z363" s="110"/>
      <c r="AA363" s="100"/>
      <c r="AB363" s="109"/>
      <c r="AC363" s="108"/>
      <c r="AD363" s="109"/>
      <c r="AE363" s="109"/>
      <c r="AF363" s="109">
        <v>1</v>
      </c>
      <c r="AG363" s="109"/>
      <c r="AH363" s="108"/>
      <c r="AI363" s="100"/>
      <c r="AJ363" s="110"/>
      <c r="AK363" s="110"/>
      <c r="AL363" s="100"/>
      <c r="AM363" s="100"/>
      <c r="AN363" s="110"/>
      <c r="AO363" s="100"/>
      <c r="AP363" s="100"/>
      <c r="AQ363" s="110"/>
      <c r="AR363" s="100"/>
      <c r="AS363" s="111"/>
      <c r="AT363" s="111"/>
    </row>
    <row r="364" spans="1:46" ht="16.3">
      <c r="A364" s="83" t="s">
        <v>363</v>
      </c>
      <c r="B364" s="247">
        <f>SUM(B362+B363)</f>
        <v>38</v>
      </c>
      <c r="C364" s="214">
        <f>SUM(C362+C363)</f>
        <v>69</v>
      </c>
      <c r="D364" s="133"/>
      <c r="E364" s="134"/>
      <c r="F364" s="135"/>
      <c r="G364" s="136"/>
      <c r="H364" s="107"/>
      <c r="I364" s="96"/>
      <c r="J364" s="104"/>
      <c r="K364" s="75"/>
      <c r="L364" s="75"/>
      <c r="M364" s="75"/>
      <c r="N364" s="104"/>
      <c r="O364" s="109"/>
      <c r="P364" s="108"/>
      <c r="Q364" s="109"/>
      <c r="R364" s="109"/>
      <c r="S364" s="100"/>
      <c r="T364" s="110"/>
      <c r="U364" s="110"/>
      <c r="V364" s="100"/>
      <c r="W364" s="100"/>
      <c r="X364" s="100"/>
      <c r="Y364" s="110"/>
      <c r="Z364" s="110"/>
      <c r="AA364" s="100"/>
      <c r="AB364" s="109"/>
      <c r="AC364" s="108"/>
      <c r="AD364" s="109"/>
      <c r="AE364" s="109"/>
      <c r="AF364" s="109"/>
      <c r="AG364" s="109"/>
      <c r="AH364" s="108"/>
      <c r="AI364" s="100"/>
      <c r="AJ364" s="110"/>
      <c r="AK364" s="110"/>
      <c r="AL364" s="100"/>
      <c r="AM364" s="100"/>
      <c r="AN364" s="110"/>
      <c r="AO364" s="100"/>
      <c r="AP364" s="100"/>
      <c r="AQ364" s="110"/>
      <c r="AR364" s="100"/>
      <c r="AS364" s="111"/>
      <c r="AT364" s="111"/>
    </row>
    <row r="365" spans="1:46" ht="16.3">
      <c r="A365" s="246" t="s">
        <v>362</v>
      </c>
      <c r="B365" s="248">
        <f>SUM(J365+K365+L365+M365+N365+S365+V365+W365+X365+AA365+AI365+AJ365+AI365+AM365+AP365+AQ365+AS365+AT365+AU365+AV365)+1</f>
        <v>3</v>
      </c>
      <c r="C365" s="215">
        <f>SUM(J365+K365+L365+M365+N365+S365+W365+X365+V365+AA365+AJ365+AI365+AJ365+AN365+AQ365+AM365+AT365+AU365+AV365+AW365+AP365+AS365)+1</f>
        <v>3</v>
      </c>
      <c r="D365" s="133"/>
      <c r="E365" s="134"/>
      <c r="F365" s="135"/>
      <c r="G365" s="136"/>
      <c r="H365" s="107"/>
      <c r="I365" s="96"/>
      <c r="J365" s="104"/>
      <c r="K365" s="75">
        <v>1</v>
      </c>
      <c r="L365" s="75"/>
      <c r="M365" s="75"/>
      <c r="N365" s="104">
        <v>1</v>
      </c>
      <c r="O365" s="109"/>
      <c r="P365" s="108"/>
      <c r="Q365" s="109"/>
      <c r="R365" s="109"/>
      <c r="S365" s="100"/>
      <c r="T365" s="110"/>
      <c r="U365" s="110"/>
      <c r="V365" s="100"/>
      <c r="W365" s="100"/>
      <c r="X365" s="100"/>
      <c r="Y365" s="110"/>
      <c r="Z365" s="110"/>
      <c r="AA365" s="100"/>
      <c r="AB365" s="109"/>
      <c r="AC365" s="108"/>
      <c r="AD365" s="109"/>
      <c r="AE365" s="109"/>
      <c r="AF365" s="109"/>
      <c r="AG365" s="109"/>
      <c r="AH365" s="108"/>
      <c r="AI365" s="100"/>
      <c r="AJ365" s="110"/>
      <c r="AK365" s="110"/>
      <c r="AL365" s="100"/>
      <c r="AM365" s="100"/>
      <c r="AN365" s="110"/>
      <c r="AO365" s="100"/>
      <c r="AP365" s="100"/>
      <c r="AQ365" s="110"/>
      <c r="AR365" s="100"/>
      <c r="AS365" s="111"/>
      <c r="AT365" s="111"/>
    </row>
    <row r="366" spans="1:46" ht="16.3">
      <c r="A366" s="87" t="s">
        <v>3</v>
      </c>
      <c r="B366" s="247">
        <f>SUM(J366+K366+L366+M366+N366+S366+V366+W366+X366+AA366+AI366+AJ366+AI366+AM366+AP366+AQ366+AS366+AT366+AU366+AV366)+7</f>
        <v>13</v>
      </c>
      <c r="C366" s="214">
        <f>SUM(J366+K366+L366+M366+N366+S366+W366+X366+V366+AA366+AJ366+AI366+AJ366+AN366+AQ366+AM366+AT366+AU366+AV366+AW366+AP366+AS366)+16</f>
        <v>22</v>
      </c>
      <c r="D366" s="133"/>
      <c r="E366" s="134"/>
      <c r="F366" s="135"/>
      <c r="G366" s="136"/>
      <c r="H366" s="107"/>
      <c r="I366" s="96"/>
      <c r="J366" s="104">
        <v>1</v>
      </c>
      <c r="K366" s="75">
        <v>1</v>
      </c>
      <c r="L366" s="75">
        <v>1</v>
      </c>
      <c r="M366" s="75"/>
      <c r="N366" s="104">
        <v>2</v>
      </c>
      <c r="O366" s="109"/>
      <c r="P366" s="108"/>
      <c r="Q366" s="109"/>
      <c r="R366" s="109"/>
      <c r="S366" s="100"/>
      <c r="T366" s="110"/>
      <c r="U366" s="110"/>
      <c r="V366" s="100">
        <v>1</v>
      </c>
      <c r="W366" s="100"/>
      <c r="X366" s="100"/>
      <c r="Y366" s="110"/>
      <c r="Z366" s="110"/>
      <c r="AA366" s="100"/>
      <c r="AB366" s="109"/>
      <c r="AC366" s="108"/>
      <c r="AD366" s="109"/>
      <c r="AE366" s="109"/>
      <c r="AF366" s="109"/>
      <c r="AG366" s="109"/>
      <c r="AH366" s="108"/>
      <c r="AI366" s="100"/>
      <c r="AJ366" s="110"/>
      <c r="AK366" s="110"/>
      <c r="AL366" s="100"/>
      <c r="AM366" s="100"/>
      <c r="AN366" s="110"/>
      <c r="AO366" s="100"/>
      <c r="AP366" s="100"/>
      <c r="AQ366" s="110"/>
      <c r="AR366" s="100"/>
      <c r="AS366" s="111"/>
      <c r="AT366" s="111"/>
    </row>
    <row r="367" spans="1:46" ht="17" thickBot="1">
      <c r="A367" s="88" t="s">
        <v>4</v>
      </c>
      <c r="B367" s="250">
        <f>SUM(J367+K367+L367+M367+N367+S367+V367+W367+X367+AA367+AI367+AJ367+AI367+AM367+AP367+AQ367+AS367+AT367+AU367+AV367)+35</f>
        <v>65</v>
      </c>
      <c r="C367" s="217">
        <f>SUM(J367+K367+L367+M367+N367+S367+W367+X367+V367+AA367+AJ367+AI367+AJ367+AN367+AQ367+AM367+AT367+AU367+AV367+AW367+AP367+AS367)+80</f>
        <v>110</v>
      </c>
      <c r="D367" s="144"/>
      <c r="E367" s="145"/>
      <c r="F367" s="146"/>
      <c r="G367" s="147"/>
      <c r="H367" s="130"/>
      <c r="I367" s="114"/>
      <c r="J367" s="113">
        <v>5</v>
      </c>
      <c r="K367" s="112">
        <v>5</v>
      </c>
      <c r="L367" s="112">
        <v>5</v>
      </c>
      <c r="M367" s="112"/>
      <c r="N367" s="113">
        <v>10</v>
      </c>
      <c r="O367" s="118"/>
      <c r="P367" s="117"/>
      <c r="Q367" s="118"/>
      <c r="R367" s="118"/>
      <c r="S367" s="116"/>
      <c r="T367" s="120"/>
      <c r="U367" s="120"/>
      <c r="V367" s="116">
        <v>5</v>
      </c>
      <c r="W367" s="116"/>
      <c r="X367" s="116"/>
      <c r="Y367" s="120"/>
      <c r="Z367" s="120"/>
      <c r="AA367" s="116"/>
      <c r="AB367" s="118"/>
      <c r="AC367" s="117"/>
      <c r="AD367" s="118"/>
      <c r="AE367" s="118"/>
      <c r="AF367" s="118"/>
      <c r="AG367" s="118"/>
      <c r="AH367" s="117"/>
      <c r="AI367" s="116"/>
      <c r="AJ367" s="120"/>
      <c r="AK367" s="120"/>
      <c r="AL367" s="116"/>
      <c r="AM367" s="116"/>
      <c r="AN367" s="120"/>
      <c r="AO367" s="116"/>
      <c r="AP367" s="116"/>
      <c r="AQ367" s="120"/>
      <c r="AR367" s="116"/>
      <c r="AS367" s="121"/>
      <c r="AT367" s="121"/>
    </row>
    <row r="368" spans="1:46" ht="21.1">
      <c r="A368" s="82" t="s">
        <v>325</v>
      </c>
      <c r="B368" s="247"/>
      <c r="C368" s="214"/>
      <c r="D368" s="133"/>
      <c r="E368" s="134"/>
      <c r="F368" s="135"/>
      <c r="G368" s="136"/>
      <c r="H368" s="107"/>
      <c r="I368" s="96" t="s">
        <v>339</v>
      </c>
      <c r="J368" s="104" t="s">
        <v>339</v>
      </c>
      <c r="K368" s="75" t="s">
        <v>339</v>
      </c>
      <c r="L368" s="75" t="s">
        <v>375</v>
      </c>
      <c r="M368" s="75" t="s">
        <v>382</v>
      </c>
      <c r="N368" s="104"/>
      <c r="O368" s="109"/>
      <c r="P368" s="108"/>
      <c r="Q368" s="109"/>
      <c r="R368" s="109" t="s">
        <v>382</v>
      </c>
      <c r="S368" s="100">
        <v>6</v>
      </c>
      <c r="T368" s="110">
        <v>6</v>
      </c>
      <c r="U368" s="110">
        <v>6</v>
      </c>
      <c r="V368" s="100">
        <v>6</v>
      </c>
      <c r="W368" s="100"/>
      <c r="X368" s="100" t="s">
        <v>382</v>
      </c>
      <c r="Y368" s="110"/>
      <c r="Z368" s="110">
        <v>6</v>
      </c>
      <c r="AA368" s="100" t="s">
        <v>382</v>
      </c>
      <c r="AB368" s="109"/>
      <c r="AC368" s="108"/>
      <c r="AD368" s="109"/>
      <c r="AE368" s="109"/>
      <c r="AF368" s="109"/>
      <c r="AG368" s="109" t="s">
        <v>382</v>
      </c>
      <c r="AH368" s="108"/>
      <c r="AI368" s="100"/>
      <c r="AJ368" s="110"/>
      <c r="AK368" s="110"/>
      <c r="AL368" s="100"/>
      <c r="AM368" s="100"/>
      <c r="AN368" s="110"/>
      <c r="AO368" s="100"/>
      <c r="AP368" s="100"/>
      <c r="AQ368" s="110"/>
      <c r="AR368" s="100"/>
      <c r="AS368" s="111"/>
      <c r="AT368" s="111"/>
    </row>
    <row r="369" spans="1:46" ht="16.3">
      <c r="A369" s="246" t="s">
        <v>1</v>
      </c>
      <c r="B369" s="248">
        <f>SUM(J369+K369+L369+M369+N369+S369+V369+W369+X369+AA369+AI369+AJ369+AI369+AM369+AP369+AQ369+AS369+AT369+AU369+AV369+AN369)+12</f>
        <v>17</v>
      </c>
      <c r="C369" s="215">
        <f>B369</f>
        <v>17</v>
      </c>
      <c r="D369" s="133"/>
      <c r="E369" s="134"/>
      <c r="F369" s="135"/>
      <c r="G369" s="136"/>
      <c r="H369" s="107"/>
      <c r="I369" s="96"/>
      <c r="J369" s="104"/>
      <c r="K369" s="75"/>
      <c r="L369" s="75"/>
      <c r="M369" s="75">
        <v>1</v>
      </c>
      <c r="N369" s="104"/>
      <c r="O369" s="109"/>
      <c r="P369" s="108"/>
      <c r="Q369" s="109"/>
      <c r="R369" s="109">
        <v>1</v>
      </c>
      <c r="S369" s="100">
        <v>1</v>
      </c>
      <c r="T369" s="110">
        <v>1</v>
      </c>
      <c r="U369" s="110">
        <v>1</v>
      </c>
      <c r="V369" s="100">
        <v>1</v>
      </c>
      <c r="W369" s="100"/>
      <c r="X369" s="100">
        <v>1</v>
      </c>
      <c r="Y369" s="110"/>
      <c r="Z369" s="110">
        <v>1</v>
      </c>
      <c r="AA369" s="100">
        <v>1</v>
      </c>
      <c r="AB369" s="109"/>
      <c r="AC369" s="108"/>
      <c r="AD369" s="109"/>
      <c r="AE369" s="109"/>
      <c r="AF369" s="109"/>
      <c r="AG369" s="109">
        <v>1</v>
      </c>
      <c r="AH369" s="108"/>
      <c r="AI369" s="100"/>
      <c r="AJ369" s="110"/>
      <c r="AK369" s="110"/>
      <c r="AL369" s="100"/>
      <c r="AM369" s="100"/>
      <c r="AN369" s="110"/>
      <c r="AO369" s="100"/>
      <c r="AP369" s="100"/>
      <c r="AQ369" s="110"/>
      <c r="AR369" s="100"/>
      <c r="AS369" s="111"/>
      <c r="AT369" s="111"/>
    </row>
    <row r="370" spans="1:46" ht="16.3">
      <c r="A370" s="246" t="s">
        <v>2</v>
      </c>
      <c r="B370" s="248">
        <f>SUM(J370+K370+L370+M370+N370+S370+V370+W370+X370+AA370+AI370+AJ370+AI370+AM370+AP370+AQ370+AS370+AT370+AU370+AV370)+1</f>
        <v>2</v>
      </c>
      <c r="C370" s="215">
        <f t="shared" ref="C370:C375" si="61">B370</f>
        <v>2</v>
      </c>
      <c r="D370" s="133"/>
      <c r="E370" s="134"/>
      <c r="F370" s="135"/>
      <c r="G370" s="136"/>
      <c r="H370" s="107"/>
      <c r="I370" s="96"/>
      <c r="J370" s="104"/>
      <c r="K370" s="75"/>
      <c r="L370" s="75">
        <v>1</v>
      </c>
      <c r="M370" s="75"/>
      <c r="N370" s="104"/>
      <c r="O370" s="109"/>
      <c r="P370" s="108"/>
      <c r="Q370" s="109"/>
      <c r="R370" s="109"/>
      <c r="S370" s="100"/>
      <c r="T370" s="110"/>
      <c r="U370" s="110"/>
      <c r="V370" s="100"/>
      <c r="W370" s="100"/>
      <c r="X370" s="100"/>
      <c r="Y370" s="110"/>
      <c r="Z370" s="110"/>
      <c r="AA370" s="100"/>
      <c r="AB370" s="109"/>
      <c r="AC370" s="108"/>
      <c r="AD370" s="109"/>
      <c r="AE370" s="109"/>
      <c r="AF370" s="109"/>
      <c r="AG370" s="109"/>
      <c r="AH370" s="108"/>
      <c r="AI370" s="100"/>
      <c r="AJ370" s="110"/>
      <c r="AK370" s="110"/>
      <c r="AL370" s="100"/>
      <c r="AM370" s="100"/>
      <c r="AN370" s="110"/>
      <c r="AO370" s="100"/>
      <c r="AP370" s="100"/>
      <c r="AQ370" s="110"/>
      <c r="AR370" s="100"/>
      <c r="AS370" s="111"/>
      <c r="AT370" s="111"/>
    </row>
    <row r="371" spans="1:46" ht="16.3">
      <c r="A371" s="83" t="s">
        <v>363</v>
      </c>
      <c r="B371" s="247">
        <f>SUM(B369+B370)</f>
        <v>19</v>
      </c>
      <c r="C371" s="214">
        <f t="shared" si="61"/>
        <v>19</v>
      </c>
      <c r="D371" s="133"/>
      <c r="E371" s="134"/>
      <c r="F371" s="135"/>
      <c r="G371" s="136"/>
      <c r="H371" s="107"/>
      <c r="I371" s="96"/>
      <c r="J371" s="104"/>
      <c r="K371" s="75"/>
      <c r="L371" s="75"/>
      <c r="M371" s="75"/>
      <c r="N371" s="104"/>
      <c r="O371" s="109"/>
      <c r="P371" s="108"/>
      <c r="Q371" s="109"/>
      <c r="R371" s="109"/>
      <c r="S371" s="100"/>
      <c r="T371" s="110"/>
      <c r="U371" s="110"/>
      <c r="V371" s="100"/>
      <c r="W371" s="100"/>
      <c r="X371" s="100"/>
      <c r="Y371" s="110"/>
      <c r="Z371" s="110"/>
      <c r="AA371" s="100"/>
      <c r="AB371" s="109"/>
      <c r="AC371" s="108"/>
      <c r="AD371" s="109"/>
      <c r="AE371" s="109"/>
      <c r="AF371" s="109"/>
      <c r="AG371" s="109"/>
      <c r="AH371" s="108"/>
      <c r="AI371" s="100"/>
      <c r="AJ371" s="110"/>
      <c r="AK371" s="110"/>
      <c r="AL371" s="100"/>
      <c r="AM371" s="100"/>
      <c r="AN371" s="110"/>
      <c r="AO371" s="100"/>
      <c r="AP371" s="100"/>
      <c r="AQ371" s="110"/>
      <c r="AR371" s="100"/>
      <c r="AS371" s="111"/>
      <c r="AT371" s="111"/>
    </row>
    <row r="372" spans="1:46" ht="16.3">
      <c r="A372" s="246" t="s">
        <v>362</v>
      </c>
      <c r="B372" s="248">
        <f>SUM(J372+K372+L372+M372+N372+S372+V372+W372+X372+AA372+AI372+AJ372+AI372+AM372+AP372+AQ372+AS372+AT372+AU372+AV372)+1</f>
        <v>1</v>
      </c>
      <c r="C372" s="215">
        <f t="shared" si="61"/>
        <v>1</v>
      </c>
      <c r="D372" s="133"/>
      <c r="E372" s="134"/>
      <c r="F372" s="135"/>
      <c r="G372" s="136"/>
      <c r="H372" s="107"/>
      <c r="I372" s="96"/>
      <c r="J372" s="104"/>
      <c r="K372" s="75"/>
      <c r="L372" s="75"/>
      <c r="M372" s="75"/>
      <c r="N372" s="104"/>
      <c r="O372" s="109"/>
      <c r="P372" s="108"/>
      <c r="Q372" s="109"/>
      <c r="R372" s="109"/>
      <c r="S372" s="100"/>
      <c r="T372" s="110"/>
      <c r="U372" s="110"/>
      <c r="V372" s="100"/>
      <c r="W372" s="100"/>
      <c r="X372" s="100"/>
      <c r="Y372" s="110"/>
      <c r="Z372" s="110"/>
      <c r="AA372" s="100"/>
      <c r="AB372" s="109"/>
      <c r="AC372" s="108"/>
      <c r="AD372" s="109"/>
      <c r="AE372" s="109"/>
      <c r="AF372" s="109"/>
      <c r="AG372" s="109"/>
      <c r="AH372" s="108"/>
      <c r="AI372" s="100"/>
      <c r="AJ372" s="110"/>
      <c r="AK372" s="110"/>
      <c r="AL372" s="100"/>
      <c r="AM372" s="100"/>
      <c r="AN372" s="110"/>
      <c r="AO372" s="100"/>
      <c r="AP372" s="100"/>
      <c r="AQ372" s="110"/>
      <c r="AR372" s="100"/>
      <c r="AS372" s="111"/>
      <c r="AT372" s="111"/>
    </row>
    <row r="373" spans="1:46" ht="16.3">
      <c r="A373" s="246" t="s">
        <v>366</v>
      </c>
      <c r="B373" s="248">
        <f>SUM(J373+K373+L373+M373+N373+S373+V373+W373+X373+AA373+AI373+AJ373+AI373+AM373+AP373+AQ373+AS373+AT373+AU373+AV373)+1</f>
        <v>1</v>
      </c>
      <c r="C373" s="215">
        <f t="shared" si="61"/>
        <v>1</v>
      </c>
      <c r="D373" s="133"/>
      <c r="E373" s="134"/>
      <c r="F373" s="135"/>
      <c r="G373" s="136"/>
      <c r="H373" s="107"/>
      <c r="I373" s="96"/>
      <c r="J373" s="104"/>
      <c r="K373" s="75"/>
      <c r="L373" s="75"/>
      <c r="M373" s="75"/>
      <c r="N373" s="104"/>
      <c r="O373" s="109"/>
      <c r="P373" s="108"/>
      <c r="Q373" s="109"/>
      <c r="R373" s="109"/>
      <c r="S373" s="100"/>
      <c r="T373" s="110"/>
      <c r="U373" s="110"/>
      <c r="V373" s="100"/>
      <c r="W373" s="100"/>
      <c r="X373" s="100"/>
      <c r="Y373" s="110"/>
      <c r="Z373" s="110"/>
      <c r="AA373" s="100"/>
      <c r="AB373" s="109"/>
      <c r="AC373" s="108"/>
      <c r="AD373" s="109"/>
      <c r="AE373" s="109"/>
      <c r="AF373" s="109"/>
      <c r="AG373" s="109"/>
      <c r="AH373" s="108"/>
      <c r="AI373" s="100"/>
      <c r="AJ373" s="110"/>
      <c r="AK373" s="110"/>
      <c r="AL373" s="100"/>
      <c r="AM373" s="100"/>
      <c r="AN373" s="110"/>
      <c r="AO373" s="100"/>
      <c r="AP373" s="100"/>
      <c r="AQ373" s="110"/>
      <c r="AR373" s="100"/>
      <c r="AS373" s="111"/>
      <c r="AT373" s="111"/>
    </row>
    <row r="374" spans="1:46" ht="16.3">
      <c r="A374" s="83" t="s">
        <v>3</v>
      </c>
      <c r="B374" s="247">
        <f>SUM(J374+K374+L374+M374+N374+S374+V374+W374+X374+AA374+AI374+AJ374+AI374+AM374+AP374+AQ374+AS374+AT374+AU374+AV374)+5</f>
        <v>7</v>
      </c>
      <c r="C374" s="214">
        <f t="shared" si="61"/>
        <v>7</v>
      </c>
      <c r="D374" s="133"/>
      <c r="E374" s="134"/>
      <c r="F374" s="135"/>
      <c r="G374" s="136"/>
      <c r="H374" s="107"/>
      <c r="I374" s="96"/>
      <c r="J374" s="104"/>
      <c r="K374" s="75"/>
      <c r="L374" s="75"/>
      <c r="M374" s="75"/>
      <c r="N374" s="104"/>
      <c r="O374" s="109"/>
      <c r="P374" s="108"/>
      <c r="Q374" s="109"/>
      <c r="R374" s="109"/>
      <c r="S374" s="100"/>
      <c r="T374" s="110"/>
      <c r="U374" s="110">
        <v>1</v>
      </c>
      <c r="V374" s="100">
        <v>1</v>
      </c>
      <c r="W374" s="100"/>
      <c r="X374" s="100"/>
      <c r="Y374" s="110"/>
      <c r="Z374" s="110"/>
      <c r="AA374" s="100">
        <v>1</v>
      </c>
      <c r="AB374" s="109"/>
      <c r="AC374" s="108"/>
      <c r="AD374" s="109"/>
      <c r="AE374" s="109"/>
      <c r="AF374" s="109"/>
      <c r="AG374" s="109"/>
      <c r="AH374" s="108"/>
      <c r="AI374" s="100"/>
      <c r="AJ374" s="110"/>
      <c r="AK374" s="110"/>
      <c r="AL374" s="100"/>
      <c r="AM374" s="100"/>
      <c r="AN374" s="110"/>
      <c r="AO374" s="100"/>
      <c r="AP374" s="100"/>
      <c r="AQ374" s="110"/>
      <c r="AR374" s="100"/>
      <c r="AS374" s="111"/>
      <c r="AT374" s="111"/>
    </row>
    <row r="375" spans="1:46" ht="17" thickBot="1">
      <c r="A375" s="85" t="s">
        <v>4</v>
      </c>
      <c r="B375" s="250">
        <f>SUM(J375+K375+L375+M375+N375+S375+V375+W375+X375+AA375+AI375+AJ375+AI375+AM375+AP375+AQ375+AS375+AT375+AU375+AV375)+25</f>
        <v>35</v>
      </c>
      <c r="C375" s="217">
        <f t="shared" si="61"/>
        <v>35</v>
      </c>
      <c r="D375" s="144"/>
      <c r="E375" s="145"/>
      <c r="F375" s="146"/>
      <c r="G375" s="147"/>
      <c r="H375" s="130"/>
      <c r="I375" s="114"/>
      <c r="J375" s="113"/>
      <c r="K375" s="112"/>
      <c r="L375" s="112"/>
      <c r="M375" s="112"/>
      <c r="N375" s="113"/>
      <c r="O375" s="118"/>
      <c r="P375" s="117"/>
      <c r="Q375" s="118"/>
      <c r="R375" s="118"/>
      <c r="S375" s="116"/>
      <c r="T375" s="120"/>
      <c r="U375" s="120">
        <v>5</v>
      </c>
      <c r="V375" s="116">
        <v>5</v>
      </c>
      <c r="W375" s="116"/>
      <c r="X375" s="116"/>
      <c r="Y375" s="120"/>
      <c r="Z375" s="120"/>
      <c r="AA375" s="116">
        <v>5</v>
      </c>
      <c r="AB375" s="118"/>
      <c r="AC375" s="117"/>
      <c r="AD375" s="118"/>
      <c r="AE375" s="118"/>
      <c r="AF375" s="118"/>
      <c r="AG375" s="118"/>
      <c r="AH375" s="117"/>
      <c r="AI375" s="116"/>
      <c r="AJ375" s="120"/>
      <c r="AK375" s="120"/>
      <c r="AL375" s="116"/>
      <c r="AM375" s="116"/>
      <c r="AN375" s="120"/>
      <c r="AO375" s="116"/>
      <c r="AP375" s="116"/>
      <c r="AQ375" s="120"/>
      <c r="AR375" s="116"/>
      <c r="AS375" s="121"/>
      <c r="AT375" s="121"/>
    </row>
    <row r="376" spans="1:46" ht="21.1">
      <c r="A376" s="589" t="s">
        <v>84</v>
      </c>
      <c r="B376" s="248"/>
      <c r="C376" s="215"/>
      <c r="D376" s="139"/>
      <c r="E376" s="140"/>
      <c r="F376" s="169"/>
      <c r="G376" s="170"/>
      <c r="H376" s="590"/>
      <c r="I376" s="189">
        <v>6</v>
      </c>
      <c r="J376" s="188" t="s">
        <v>382</v>
      </c>
      <c r="K376" s="187" t="s">
        <v>382</v>
      </c>
      <c r="L376" s="187"/>
      <c r="M376" s="187"/>
      <c r="N376" s="188"/>
      <c r="O376" s="195"/>
      <c r="P376" s="194" t="s">
        <v>726</v>
      </c>
      <c r="Q376" s="195" t="s">
        <v>344</v>
      </c>
      <c r="R376" s="195" t="s">
        <v>344</v>
      </c>
      <c r="S376" s="191" t="s">
        <v>344</v>
      </c>
      <c r="T376" s="192" t="s">
        <v>344</v>
      </c>
      <c r="U376" s="192" t="s">
        <v>344</v>
      </c>
      <c r="V376" s="191" t="s">
        <v>344</v>
      </c>
      <c r="W376" s="191" t="s">
        <v>344</v>
      </c>
      <c r="X376" s="191" t="s">
        <v>344</v>
      </c>
      <c r="Y376" s="192" t="s">
        <v>344</v>
      </c>
      <c r="Z376" s="192" t="s">
        <v>344</v>
      </c>
      <c r="AA376" s="191" t="s">
        <v>344</v>
      </c>
      <c r="AB376" s="195" t="s">
        <v>344</v>
      </c>
      <c r="AC376" s="194" t="s">
        <v>0</v>
      </c>
      <c r="AD376" s="195" t="s">
        <v>344</v>
      </c>
      <c r="AE376" s="195" t="s">
        <v>344</v>
      </c>
      <c r="AF376" s="195" t="s">
        <v>344</v>
      </c>
      <c r="AG376" s="195" t="s">
        <v>344</v>
      </c>
      <c r="AH376" s="194"/>
      <c r="AI376" s="191" t="s">
        <v>344</v>
      </c>
      <c r="AJ376" s="192" t="s">
        <v>344</v>
      </c>
      <c r="AK376" s="192" t="s">
        <v>344</v>
      </c>
      <c r="AL376" s="191" t="s">
        <v>344</v>
      </c>
      <c r="AM376" s="191" t="s">
        <v>344</v>
      </c>
      <c r="AN376" s="192" t="s">
        <v>344</v>
      </c>
      <c r="AO376" s="191" t="s">
        <v>344</v>
      </c>
      <c r="AP376" s="191" t="s">
        <v>344</v>
      </c>
      <c r="AQ376" s="192" t="s">
        <v>344</v>
      </c>
      <c r="AR376" s="191" t="s">
        <v>344</v>
      </c>
      <c r="AS376" s="193"/>
      <c r="AT376" s="193"/>
    </row>
    <row r="377" spans="1:46" ht="16.3">
      <c r="A377" s="246" t="s">
        <v>1</v>
      </c>
      <c r="B377" s="248">
        <f>SUM(J377+K377+L377+M377+N377+S377+V377+W377+X377+AA377+AI377+AJ377+AI377+AM377+AP377+AQ377+AS377+AT377+AU377+AV377+AN377)+27</f>
        <v>29</v>
      </c>
      <c r="C377" s="215">
        <f>B377</f>
        <v>29</v>
      </c>
      <c r="D377" s="139"/>
      <c r="E377" s="140"/>
      <c r="F377" s="169"/>
      <c r="G377" s="170"/>
      <c r="H377" s="590"/>
      <c r="I377" s="189">
        <v>1</v>
      </c>
      <c r="J377" s="188">
        <v>1</v>
      </c>
      <c r="K377" s="187">
        <v>1</v>
      </c>
      <c r="L377" s="187"/>
      <c r="M377" s="187"/>
      <c r="N377" s="188"/>
      <c r="O377" s="195"/>
      <c r="P377" s="194"/>
      <c r="Q377" s="195"/>
      <c r="R377" s="195"/>
      <c r="S377" s="191"/>
      <c r="T377" s="192"/>
      <c r="U377" s="192"/>
      <c r="V377" s="191"/>
      <c r="W377" s="191"/>
      <c r="X377" s="191"/>
      <c r="Y377" s="192"/>
      <c r="Z377" s="192"/>
      <c r="AA377" s="191"/>
      <c r="AB377" s="195"/>
      <c r="AC377" s="194"/>
      <c r="AD377" s="195"/>
      <c r="AE377" s="195"/>
      <c r="AF377" s="195"/>
      <c r="AG377" s="195"/>
      <c r="AH377" s="194"/>
      <c r="AI377" s="191"/>
      <c r="AJ377" s="192"/>
      <c r="AK377" s="192"/>
      <c r="AL377" s="191"/>
      <c r="AM377" s="191"/>
      <c r="AN377" s="192"/>
      <c r="AO377" s="191"/>
      <c r="AP377" s="191"/>
      <c r="AQ377" s="192"/>
      <c r="AR377" s="191"/>
      <c r="AS377" s="193"/>
      <c r="AT377" s="193"/>
    </row>
    <row r="378" spans="1:46" ht="16.3">
      <c r="A378" s="246" t="s">
        <v>2</v>
      </c>
      <c r="B378" s="248">
        <f>SUM(J378+K378+L378+M378+N378+S378+V378+W378+X378+AA378+AI378+AJ378+AI378+AM378+AP378+AQ378+AS378+AT378+AU378+AV378)+18</f>
        <v>18</v>
      </c>
      <c r="C378" s="215">
        <f t="shared" ref="C378:C381" si="62">B378</f>
        <v>18</v>
      </c>
      <c r="D378" s="139"/>
      <c r="E378" s="140"/>
      <c r="F378" s="169"/>
      <c r="G378" s="170"/>
      <c r="H378" s="590"/>
      <c r="I378" s="189"/>
      <c r="J378" s="188"/>
      <c r="K378" s="187"/>
      <c r="L378" s="187"/>
      <c r="M378" s="187"/>
      <c r="N378" s="188"/>
      <c r="O378" s="195"/>
      <c r="P378" s="194"/>
      <c r="Q378" s="195"/>
      <c r="R378" s="195"/>
      <c r="S378" s="191"/>
      <c r="T378" s="192"/>
      <c r="U378" s="192"/>
      <c r="V378" s="191"/>
      <c r="W378" s="191"/>
      <c r="X378" s="191"/>
      <c r="Y378" s="192"/>
      <c r="Z378" s="192"/>
      <c r="AA378" s="191"/>
      <c r="AB378" s="195"/>
      <c r="AC378" s="194"/>
      <c r="AD378" s="195"/>
      <c r="AE378" s="195"/>
      <c r="AF378" s="195"/>
      <c r="AG378" s="195"/>
      <c r="AH378" s="194"/>
      <c r="AI378" s="191"/>
      <c r="AJ378" s="192"/>
      <c r="AK378" s="192"/>
      <c r="AL378" s="191"/>
      <c r="AM378" s="191"/>
      <c r="AN378" s="192"/>
      <c r="AO378" s="191"/>
      <c r="AP378" s="191"/>
      <c r="AQ378" s="192"/>
      <c r="AR378" s="191"/>
      <c r="AS378" s="193"/>
      <c r="AT378" s="193"/>
    </row>
    <row r="379" spans="1:46" ht="16.3">
      <c r="A379" s="246" t="s">
        <v>363</v>
      </c>
      <c r="B379" s="248">
        <f>SUM(B377+B378)</f>
        <v>47</v>
      </c>
      <c r="C379" s="215">
        <f t="shared" si="62"/>
        <v>47</v>
      </c>
      <c r="D379" s="139"/>
      <c r="E379" s="140"/>
      <c r="F379" s="169"/>
      <c r="G379" s="170"/>
      <c r="H379" s="590"/>
      <c r="I379" s="189"/>
      <c r="J379" s="188"/>
      <c r="K379" s="187"/>
      <c r="L379" s="187"/>
      <c r="M379" s="187"/>
      <c r="N379" s="188"/>
      <c r="O379" s="195"/>
      <c r="P379" s="194"/>
      <c r="Q379" s="195"/>
      <c r="R379" s="195"/>
      <c r="S379" s="191"/>
      <c r="T379" s="192"/>
      <c r="U379" s="192"/>
      <c r="V379" s="191"/>
      <c r="W379" s="191"/>
      <c r="X379" s="191"/>
      <c r="Y379" s="192"/>
      <c r="Z379" s="192"/>
      <c r="AA379" s="191"/>
      <c r="AB379" s="195"/>
      <c r="AC379" s="194"/>
      <c r="AD379" s="195"/>
      <c r="AE379" s="195"/>
      <c r="AF379" s="195"/>
      <c r="AG379" s="195"/>
      <c r="AH379" s="194"/>
      <c r="AI379" s="191"/>
      <c r="AJ379" s="192"/>
      <c r="AK379" s="192"/>
      <c r="AL379" s="191"/>
      <c r="AM379" s="191"/>
      <c r="AN379" s="192"/>
      <c r="AO379" s="191"/>
      <c r="AP379" s="191"/>
      <c r="AQ379" s="192"/>
      <c r="AR379" s="191"/>
      <c r="AS379" s="193"/>
      <c r="AT379" s="193"/>
    </row>
    <row r="380" spans="1:46" ht="16.3">
      <c r="A380" s="246" t="s">
        <v>366</v>
      </c>
      <c r="B380" s="248">
        <f>SUM(J380+K380+L380+M380+N380+S380+V380+W380+X380+AA380+AI380+AJ380+AI380+AM380+AP380+AQ380+AS380+AT380+AU380+AV380)</f>
        <v>0</v>
      </c>
      <c r="C380" s="215">
        <f t="shared" si="62"/>
        <v>0</v>
      </c>
      <c r="D380" s="139"/>
      <c r="E380" s="140"/>
      <c r="F380" s="169"/>
      <c r="G380" s="170"/>
      <c r="H380" s="590"/>
      <c r="I380" s="189"/>
      <c r="J380" s="188"/>
      <c r="K380" s="187"/>
      <c r="L380" s="187"/>
      <c r="M380" s="187"/>
      <c r="N380" s="188"/>
      <c r="O380" s="195"/>
      <c r="P380" s="194"/>
      <c r="Q380" s="195"/>
      <c r="R380" s="195"/>
      <c r="S380" s="191"/>
      <c r="T380" s="192"/>
      <c r="U380" s="192"/>
      <c r="V380" s="191"/>
      <c r="W380" s="191"/>
      <c r="X380" s="191"/>
      <c r="Y380" s="192"/>
      <c r="Z380" s="192"/>
      <c r="AA380" s="191"/>
      <c r="AB380" s="195"/>
      <c r="AC380" s="194"/>
      <c r="AD380" s="195"/>
      <c r="AE380" s="195"/>
      <c r="AF380" s="195"/>
      <c r="AG380" s="195"/>
      <c r="AH380" s="194"/>
      <c r="AI380" s="191"/>
      <c r="AJ380" s="192"/>
      <c r="AK380" s="192"/>
      <c r="AL380" s="191"/>
      <c r="AM380" s="191"/>
      <c r="AN380" s="192"/>
      <c r="AO380" s="191"/>
      <c r="AP380" s="191"/>
      <c r="AQ380" s="192"/>
      <c r="AR380" s="191"/>
      <c r="AS380" s="193"/>
      <c r="AT380" s="193"/>
    </row>
    <row r="381" spans="1:46" ht="16.3">
      <c r="A381" s="246" t="s">
        <v>3</v>
      </c>
      <c r="B381" s="248">
        <f>SUM(J381+K381+L381+M381+N381+S381+V381+W381+X381+AA381+AI381+AJ381+AI381+AM381+AP381+AQ381+AS381+AT381+AU381+AV381)+1</f>
        <v>1</v>
      </c>
      <c r="C381" s="215">
        <f t="shared" si="62"/>
        <v>1</v>
      </c>
      <c r="D381" s="139"/>
      <c r="E381" s="140"/>
      <c r="F381" s="169"/>
      <c r="G381" s="170"/>
      <c r="H381" s="590"/>
      <c r="I381" s="189"/>
      <c r="J381" s="188"/>
      <c r="K381" s="187"/>
      <c r="L381" s="187"/>
      <c r="M381" s="187"/>
      <c r="N381" s="188"/>
      <c r="O381" s="195"/>
      <c r="P381" s="194"/>
      <c r="Q381" s="195"/>
      <c r="R381" s="195"/>
      <c r="S381" s="191"/>
      <c r="T381" s="192"/>
      <c r="U381" s="192"/>
      <c r="V381" s="191"/>
      <c r="W381" s="191"/>
      <c r="X381" s="191"/>
      <c r="Y381" s="192"/>
      <c r="Z381" s="192"/>
      <c r="AA381" s="191"/>
      <c r="AB381" s="195"/>
      <c r="AC381" s="194"/>
      <c r="AD381" s="195"/>
      <c r="AE381" s="195"/>
      <c r="AF381" s="195"/>
      <c r="AG381" s="195"/>
      <c r="AH381" s="194"/>
      <c r="AI381" s="191"/>
      <c r="AJ381" s="192"/>
      <c r="AK381" s="192"/>
      <c r="AL381" s="191"/>
      <c r="AM381" s="191"/>
      <c r="AN381" s="192"/>
      <c r="AO381" s="191"/>
      <c r="AP381" s="191"/>
      <c r="AQ381" s="192"/>
      <c r="AR381" s="191"/>
      <c r="AS381" s="193"/>
      <c r="AT381" s="193"/>
    </row>
    <row r="382" spans="1:46" ht="17" thickBot="1">
      <c r="A382" s="258" t="s">
        <v>4</v>
      </c>
      <c r="B382" s="591">
        <f>SUM(J382+K382+L382+M382+N382+S382+V382+W382+X382+AA382+AI382+AJ382+AI382+AM382+AP382+AQ382+AS382+AT382+AU382+AV382)+5</f>
        <v>5</v>
      </c>
      <c r="C382" s="592">
        <f t="shared" ref="C382" si="63">B382</f>
        <v>5</v>
      </c>
      <c r="D382" s="196"/>
      <c r="E382" s="197"/>
      <c r="F382" s="198"/>
      <c r="G382" s="199"/>
      <c r="H382" s="593"/>
      <c r="I382" s="201"/>
      <c r="J382" s="200"/>
      <c r="K382" s="594"/>
      <c r="L382" s="594"/>
      <c r="M382" s="594"/>
      <c r="N382" s="200"/>
      <c r="O382" s="202"/>
      <c r="P382" s="259"/>
      <c r="Q382" s="202"/>
      <c r="R382" s="202"/>
      <c r="S382" s="203"/>
      <c r="T382" s="204"/>
      <c r="U382" s="204"/>
      <c r="V382" s="594"/>
      <c r="W382" s="191"/>
      <c r="X382" s="191"/>
      <c r="Y382" s="192"/>
      <c r="Z382" s="192"/>
      <c r="AA382" s="191"/>
      <c r="AB382" s="195"/>
      <c r="AC382" s="194"/>
      <c r="AD382" s="195"/>
      <c r="AE382" s="195"/>
      <c r="AF382" s="195"/>
      <c r="AG382" s="195"/>
      <c r="AH382" s="194"/>
      <c r="AI382" s="191"/>
      <c r="AJ382" s="192"/>
      <c r="AK382" s="192"/>
      <c r="AL382" s="191"/>
      <c r="AM382" s="191"/>
      <c r="AN382" s="192"/>
      <c r="AO382" s="191"/>
      <c r="AP382" s="191"/>
      <c r="AQ382" s="192"/>
      <c r="AR382" s="191"/>
      <c r="AS382" s="193"/>
      <c r="AT382" s="193"/>
    </row>
    <row r="383" spans="1:46" ht="21.1">
      <c r="A383" s="86" t="s">
        <v>85</v>
      </c>
      <c r="B383" s="247"/>
      <c r="C383" s="214"/>
      <c r="D383" s="133"/>
      <c r="E383" s="134"/>
      <c r="F383" s="135"/>
      <c r="G383" s="136"/>
      <c r="H383" s="107"/>
      <c r="I383" s="96" t="s">
        <v>375</v>
      </c>
      <c r="J383" s="104" t="s">
        <v>375</v>
      </c>
      <c r="K383" s="75" t="s">
        <v>339</v>
      </c>
      <c r="L383" s="75" t="s">
        <v>339</v>
      </c>
      <c r="M383" s="75" t="s">
        <v>373</v>
      </c>
      <c r="N383" s="104"/>
      <c r="O383" s="109" t="s">
        <v>721</v>
      </c>
      <c r="P383" s="108"/>
      <c r="Q383" s="109" t="s">
        <v>375</v>
      </c>
      <c r="R383" s="109">
        <v>8</v>
      </c>
      <c r="S383" s="100" t="s">
        <v>373</v>
      </c>
      <c r="T383" s="110" t="s">
        <v>375</v>
      </c>
      <c r="U383" s="110" t="s">
        <v>375</v>
      </c>
      <c r="V383" s="100"/>
      <c r="W383" s="102">
        <v>7</v>
      </c>
      <c r="X383" s="102" t="s">
        <v>375</v>
      </c>
      <c r="Y383" s="101" t="s">
        <v>375</v>
      </c>
      <c r="Z383" s="101" t="s">
        <v>373</v>
      </c>
      <c r="AA383" s="102"/>
      <c r="AB383" s="99" t="s">
        <v>987</v>
      </c>
      <c r="AC383" s="98"/>
      <c r="AD383" s="99" t="s">
        <v>375</v>
      </c>
      <c r="AE383" s="99" t="s">
        <v>686</v>
      </c>
      <c r="AF383" s="99"/>
      <c r="AG383" s="99"/>
      <c r="AH383" s="98"/>
      <c r="AI383" s="102"/>
      <c r="AJ383" s="101"/>
      <c r="AK383" s="101"/>
      <c r="AL383" s="102"/>
      <c r="AM383" s="102"/>
      <c r="AN383" s="101"/>
      <c r="AO383" s="102"/>
      <c r="AP383" s="102"/>
      <c r="AQ383" s="101"/>
      <c r="AR383" s="102"/>
      <c r="AS383" s="103"/>
      <c r="AT383" s="103"/>
    </row>
    <row r="384" spans="1:46" ht="16.3">
      <c r="A384" s="246" t="s">
        <v>1</v>
      </c>
      <c r="B384" s="248">
        <f>SUM(J384+K384+L384+M384+N384+S384+V384+W384+X384+AA384+AI384+AJ384+AI384+AM384+AP384+AQ384+AS384+AT384+AU384+AV384+AN384)+21</f>
        <v>24</v>
      </c>
      <c r="C384" s="215">
        <f>B384</f>
        <v>24</v>
      </c>
      <c r="D384" s="133"/>
      <c r="E384" s="134"/>
      <c r="F384" s="135"/>
      <c r="G384" s="136"/>
      <c r="H384" s="107"/>
      <c r="I384" s="96"/>
      <c r="J384" s="104"/>
      <c r="K384" s="75"/>
      <c r="L384" s="75"/>
      <c r="M384" s="75">
        <v>1</v>
      </c>
      <c r="N384" s="104"/>
      <c r="O384" s="109">
        <v>1</v>
      </c>
      <c r="P384" s="108"/>
      <c r="Q384" s="109"/>
      <c r="R384" s="109">
        <v>1</v>
      </c>
      <c r="S384" s="100">
        <v>1</v>
      </c>
      <c r="T384" s="110"/>
      <c r="U384" s="110"/>
      <c r="V384" s="100"/>
      <c r="W384" s="100">
        <v>1</v>
      </c>
      <c r="X384" s="100"/>
      <c r="Y384" s="110"/>
      <c r="Z384" s="110">
        <v>1</v>
      </c>
      <c r="AA384" s="100"/>
      <c r="AB384" s="109">
        <v>1</v>
      </c>
      <c r="AC384" s="108"/>
      <c r="AD384" s="109"/>
      <c r="AE384" s="109">
        <v>1</v>
      </c>
      <c r="AF384" s="109"/>
      <c r="AG384" s="109"/>
      <c r="AH384" s="108"/>
      <c r="AI384" s="100"/>
      <c r="AJ384" s="110"/>
      <c r="AK384" s="110"/>
      <c r="AL384" s="100"/>
      <c r="AM384" s="100"/>
      <c r="AN384" s="110"/>
      <c r="AO384" s="100"/>
      <c r="AP384" s="100"/>
      <c r="AQ384" s="110"/>
      <c r="AR384" s="100"/>
      <c r="AS384" s="111"/>
      <c r="AT384" s="111"/>
    </row>
    <row r="385" spans="1:46" ht="16.3">
      <c r="A385" s="246" t="s">
        <v>2</v>
      </c>
      <c r="B385" s="248">
        <f>SUM(J385+K385+L385+M385+N385+S385+V385+W385+X385+AA385+AI385+AJ385+AI385+AM385+AP385+AQ385+AS385+AT385+AU385+AV385)+19</f>
        <v>21</v>
      </c>
      <c r="C385" s="215">
        <f t="shared" ref="C385:C389" si="64">B385</f>
        <v>21</v>
      </c>
      <c r="D385" s="133"/>
      <c r="E385" s="134"/>
      <c r="F385" s="135"/>
      <c r="G385" s="136"/>
      <c r="H385" s="107"/>
      <c r="I385" s="96">
        <v>1</v>
      </c>
      <c r="J385" s="104">
        <v>1</v>
      </c>
      <c r="K385" s="75"/>
      <c r="L385" s="75"/>
      <c r="M385" s="75"/>
      <c r="N385" s="104"/>
      <c r="O385" s="109"/>
      <c r="P385" s="108"/>
      <c r="Q385" s="109">
        <v>1</v>
      </c>
      <c r="R385" s="109"/>
      <c r="S385" s="100"/>
      <c r="T385" s="110">
        <v>1</v>
      </c>
      <c r="U385" s="110">
        <v>1</v>
      </c>
      <c r="V385" s="100"/>
      <c r="W385" s="100"/>
      <c r="X385" s="100">
        <v>1</v>
      </c>
      <c r="Y385" s="110">
        <v>1</v>
      </c>
      <c r="Z385" s="110"/>
      <c r="AA385" s="100"/>
      <c r="AB385" s="109"/>
      <c r="AC385" s="108"/>
      <c r="AD385" s="109">
        <v>1</v>
      </c>
      <c r="AE385" s="109"/>
      <c r="AF385" s="109"/>
      <c r="AG385" s="109"/>
      <c r="AH385" s="108"/>
      <c r="AI385" s="100"/>
      <c r="AJ385" s="110"/>
      <c r="AK385" s="110"/>
      <c r="AL385" s="100"/>
      <c r="AM385" s="100"/>
      <c r="AN385" s="110"/>
      <c r="AO385" s="100"/>
      <c r="AP385" s="100"/>
      <c r="AQ385" s="110"/>
      <c r="AR385" s="100"/>
      <c r="AS385" s="111"/>
      <c r="AT385" s="111"/>
    </row>
    <row r="386" spans="1:46" ht="16.3">
      <c r="A386" s="83" t="s">
        <v>363</v>
      </c>
      <c r="B386" s="247">
        <f>SUM(B384+B385)</f>
        <v>45</v>
      </c>
      <c r="C386" s="214">
        <f t="shared" si="64"/>
        <v>45</v>
      </c>
      <c r="D386" s="133"/>
      <c r="E386" s="134"/>
      <c r="F386" s="135"/>
      <c r="G386" s="136"/>
      <c r="H386" s="107"/>
      <c r="I386" s="96"/>
      <c r="J386" s="104"/>
      <c r="K386" s="75"/>
      <c r="L386" s="75"/>
      <c r="M386" s="75"/>
      <c r="N386" s="104"/>
      <c r="O386" s="109"/>
      <c r="P386" s="108"/>
      <c r="Q386" s="109"/>
      <c r="R386" s="109"/>
      <c r="S386" s="100"/>
      <c r="T386" s="110"/>
      <c r="U386" s="110"/>
      <c r="V386" s="100"/>
      <c r="W386" s="100"/>
      <c r="X386" s="100"/>
      <c r="Y386" s="110"/>
      <c r="Z386" s="110"/>
      <c r="AA386" s="100"/>
      <c r="AB386" s="109"/>
      <c r="AC386" s="108"/>
      <c r="AD386" s="109"/>
      <c r="AE386" s="109"/>
      <c r="AF386" s="109"/>
      <c r="AG386" s="109"/>
      <c r="AH386" s="108"/>
      <c r="AI386" s="100"/>
      <c r="AJ386" s="110"/>
      <c r="AK386" s="110"/>
      <c r="AL386" s="100"/>
      <c r="AM386" s="100"/>
      <c r="AN386" s="110"/>
      <c r="AO386" s="100"/>
      <c r="AP386" s="100"/>
      <c r="AQ386" s="110"/>
      <c r="AR386" s="100"/>
      <c r="AS386" s="111"/>
      <c r="AT386" s="111"/>
    </row>
    <row r="387" spans="1:46" ht="16.3">
      <c r="A387" s="246" t="s">
        <v>366</v>
      </c>
      <c r="B387" s="248">
        <f>SUM(J387+K387+L387+M387+N387+S387+V387+W387+X387+AA387+AI387+AJ387+AI387+AM387+AP387+AQ387+AS387+AT387+AU387+AV387)+1</f>
        <v>1</v>
      </c>
      <c r="C387" s="215">
        <f t="shared" si="64"/>
        <v>1</v>
      </c>
      <c r="D387" s="133"/>
      <c r="E387" s="134"/>
      <c r="F387" s="135"/>
      <c r="G387" s="136"/>
      <c r="H387" s="107"/>
      <c r="I387" s="96"/>
      <c r="J387" s="104"/>
      <c r="K387" s="75"/>
      <c r="L387" s="75"/>
      <c r="M387" s="75"/>
      <c r="N387" s="104"/>
      <c r="O387" s="109"/>
      <c r="P387" s="108"/>
      <c r="Q387" s="109"/>
      <c r="R387" s="109"/>
      <c r="S387" s="100"/>
      <c r="T387" s="110"/>
      <c r="U387" s="110"/>
      <c r="V387" s="100"/>
      <c r="W387" s="100"/>
      <c r="X387" s="100"/>
      <c r="Y387" s="110"/>
      <c r="Z387" s="110"/>
      <c r="AA387" s="100"/>
      <c r="AB387" s="109"/>
      <c r="AC387" s="108"/>
      <c r="AD387" s="109"/>
      <c r="AE387" s="109"/>
      <c r="AF387" s="109"/>
      <c r="AG387" s="109"/>
      <c r="AH387" s="108"/>
      <c r="AI387" s="100"/>
      <c r="AJ387" s="110"/>
      <c r="AK387" s="110"/>
      <c r="AL387" s="100"/>
      <c r="AM387" s="100"/>
      <c r="AN387" s="110"/>
      <c r="AO387" s="100"/>
      <c r="AP387" s="100"/>
      <c r="AQ387" s="110"/>
      <c r="AR387" s="100"/>
      <c r="AS387" s="111"/>
      <c r="AT387" s="111"/>
    </row>
    <row r="388" spans="1:46" ht="16.3">
      <c r="A388" s="246" t="s">
        <v>362</v>
      </c>
      <c r="B388" s="248">
        <f>SUM(J388+K388+L388+M388+N388+S388+V388+W388+X388+AA388+AI388+AJ388+AI388+AM388+AP388+AQ388+AS388+AT388+AU388+AV388)+2</f>
        <v>2</v>
      </c>
      <c r="C388" s="215">
        <f t="shared" si="64"/>
        <v>2</v>
      </c>
      <c r="D388" s="133"/>
      <c r="E388" s="134"/>
      <c r="F388" s="135"/>
      <c r="G388" s="136"/>
      <c r="H388" s="107"/>
      <c r="I388" s="96"/>
      <c r="J388" s="104"/>
      <c r="K388" s="75"/>
      <c r="L388" s="75"/>
      <c r="M388" s="75"/>
      <c r="N388" s="104"/>
      <c r="O388" s="109"/>
      <c r="P388" s="108"/>
      <c r="Q388" s="109"/>
      <c r="R388" s="109"/>
      <c r="S388" s="100"/>
      <c r="T388" s="110"/>
      <c r="U388" s="110"/>
      <c r="V388" s="100"/>
      <c r="W388" s="100"/>
      <c r="X388" s="100"/>
      <c r="Y388" s="110"/>
      <c r="Z388" s="110"/>
      <c r="AA388" s="100"/>
      <c r="AB388" s="109"/>
      <c r="AC388" s="108"/>
      <c r="AD388" s="109"/>
      <c r="AE388" s="109">
        <v>1</v>
      </c>
      <c r="AF388" s="109"/>
      <c r="AG388" s="109"/>
      <c r="AH388" s="108"/>
      <c r="AI388" s="100"/>
      <c r="AJ388" s="110"/>
      <c r="AK388" s="110"/>
      <c r="AL388" s="100"/>
      <c r="AM388" s="100"/>
      <c r="AN388" s="110"/>
      <c r="AO388" s="100"/>
      <c r="AP388" s="100"/>
      <c r="AQ388" s="110"/>
      <c r="AR388" s="100"/>
      <c r="AS388" s="111"/>
      <c r="AT388" s="111"/>
    </row>
    <row r="389" spans="1:46" ht="16.3">
      <c r="A389" s="83" t="s">
        <v>3</v>
      </c>
      <c r="B389" s="247">
        <f>SUM(J389+K389+L389+M389+N389+S389+V389+W389+X389+AA389+AI389+AJ389+AI389+AM389+AP389+AQ389+AS389+AT389+AU389+AV389)+4</f>
        <v>4</v>
      </c>
      <c r="C389" s="214">
        <f t="shared" si="64"/>
        <v>4</v>
      </c>
      <c r="D389" s="133"/>
      <c r="E389" s="134"/>
      <c r="F389" s="135"/>
      <c r="G389" s="136"/>
      <c r="H389" s="107"/>
      <c r="I389" s="96"/>
      <c r="J389" s="104"/>
      <c r="K389" s="75"/>
      <c r="L389" s="75"/>
      <c r="M389" s="75"/>
      <c r="N389" s="104"/>
      <c r="O389" s="109">
        <v>1</v>
      </c>
      <c r="P389" s="108"/>
      <c r="Q389" s="109"/>
      <c r="R389" s="109"/>
      <c r="S389" s="100"/>
      <c r="T389" s="110"/>
      <c r="U389" s="110"/>
      <c r="V389" s="100"/>
      <c r="W389" s="100"/>
      <c r="X389" s="100"/>
      <c r="Y389" s="110"/>
      <c r="Z389" s="110"/>
      <c r="AA389" s="100"/>
      <c r="AB389" s="109"/>
      <c r="AC389" s="108"/>
      <c r="AD389" s="109"/>
      <c r="AE389" s="109"/>
      <c r="AF389" s="109"/>
      <c r="AG389" s="109"/>
      <c r="AH389" s="108"/>
      <c r="AI389" s="100"/>
      <c r="AJ389" s="110"/>
      <c r="AK389" s="110"/>
      <c r="AL389" s="100"/>
      <c r="AM389" s="100"/>
      <c r="AN389" s="110"/>
      <c r="AO389" s="100"/>
      <c r="AP389" s="100"/>
      <c r="AQ389" s="110"/>
      <c r="AR389" s="100"/>
      <c r="AS389" s="111"/>
      <c r="AT389" s="111"/>
    </row>
    <row r="390" spans="1:46" ht="17" thickBot="1">
      <c r="A390" s="85" t="s">
        <v>4</v>
      </c>
      <c r="B390" s="250">
        <f>SUM(J390+K390+L390+M390+N390+S390+V390+W390+X390+AA390+AI390+AJ390+AI390+AM390+AP390+AQ390+AS390+AT390+AU390+AV390)+20</f>
        <v>20</v>
      </c>
      <c r="C390" s="217">
        <f t="shared" ref="C390" si="65">B390</f>
        <v>20</v>
      </c>
      <c r="D390" s="144"/>
      <c r="E390" s="145"/>
      <c r="F390" s="146"/>
      <c r="G390" s="147"/>
      <c r="H390" s="130"/>
      <c r="I390" s="114"/>
      <c r="J390" s="113"/>
      <c r="K390" s="112"/>
      <c r="L390" s="112"/>
      <c r="M390" s="112"/>
      <c r="N390" s="113"/>
      <c r="O390" s="118">
        <v>5</v>
      </c>
      <c r="P390" s="127"/>
      <c r="Q390" s="118"/>
      <c r="R390" s="118"/>
      <c r="S390" s="116"/>
      <c r="T390" s="120"/>
      <c r="U390" s="120"/>
      <c r="V390" s="116"/>
      <c r="W390" s="116"/>
      <c r="X390" s="116"/>
      <c r="Y390" s="120"/>
      <c r="Z390" s="120"/>
      <c r="AA390" s="116"/>
      <c r="AB390" s="118"/>
      <c r="AC390" s="117"/>
      <c r="AD390" s="118"/>
      <c r="AE390" s="118"/>
      <c r="AF390" s="118"/>
      <c r="AG390" s="118"/>
      <c r="AH390" s="117"/>
      <c r="AI390" s="116"/>
      <c r="AJ390" s="120"/>
      <c r="AK390" s="120"/>
      <c r="AL390" s="116"/>
      <c r="AM390" s="116"/>
      <c r="AN390" s="120"/>
      <c r="AO390" s="116"/>
      <c r="AP390" s="116"/>
      <c r="AQ390" s="120"/>
      <c r="AR390" s="116"/>
      <c r="AS390" s="121"/>
      <c r="AT390" s="121"/>
    </row>
    <row r="391" spans="1:46" ht="21.1">
      <c r="A391" s="86" t="s">
        <v>213</v>
      </c>
      <c r="B391" s="247"/>
      <c r="C391" s="214"/>
      <c r="D391" s="133"/>
      <c r="E391" s="134"/>
      <c r="F391" s="135"/>
      <c r="G391" s="136"/>
      <c r="H391" s="107"/>
      <c r="I391" s="96" t="s">
        <v>501</v>
      </c>
      <c r="J391" s="104" t="s">
        <v>501</v>
      </c>
      <c r="K391" s="75" t="s">
        <v>501</v>
      </c>
      <c r="L391" s="104" t="s">
        <v>375</v>
      </c>
      <c r="M391" s="75" t="s">
        <v>375</v>
      </c>
      <c r="N391" s="104">
        <v>8</v>
      </c>
      <c r="O391" s="109" t="s">
        <v>775</v>
      </c>
      <c r="P391" s="180"/>
      <c r="Q391" s="97" t="s">
        <v>775</v>
      </c>
      <c r="R391" s="124" t="s">
        <v>775</v>
      </c>
      <c r="S391" s="122"/>
      <c r="T391" s="137" t="s">
        <v>375</v>
      </c>
      <c r="U391" s="110">
        <v>8</v>
      </c>
      <c r="V391" s="100" t="s">
        <v>374</v>
      </c>
      <c r="W391" s="102" t="s">
        <v>374</v>
      </c>
      <c r="X391" s="102"/>
      <c r="Y391" s="101">
        <v>8</v>
      </c>
      <c r="Z391" s="181">
        <v>8</v>
      </c>
      <c r="AA391" s="122" t="s">
        <v>375</v>
      </c>
      <c r="AB391" s="97" t="s">
        <v>775</v>
      </c>
      <c r="AC391" s="98"/>
      <c r="AD391" s="99" t="s">
        <v>775</v>
      </c>
      <c r="AE391" s="99" t="s">
        <v>775</v>
      </c>
      <c r="AF391" s="99" t="s">
        <v>775</v>
      </c>
      <c r="AG391" s="99" t="s">
        <v>775</v>
      </c>
      <c r="AH391" s="98"/>
      <c r="AI391" s="122"/>
      <c r="AJ391" s="137"/>
      <c r="AK391" s="101"/>
      <c r="AL391" s="102"/>
      <c r="AM391" s="122"/>
      <c r="AN391" s="181"/>
      <c r="AO391" s="137"/>
      <c r="AP391" s="102"/>
      <c r="AQ391" s="181"/>
      <c r="AR391" s="137"/>
      <c r="AS391" s="103"/>
      <c r="AT391" s="103"/>
    </row>
    <row r="392" spans="1:46" ht="16.3">
      <c r="A392" s="246" t="s">
        <v>1</v>
      </c>
      <c r="B392" s="248">
        <f>SUM(J392+K392+L392+M392+N392+S392+V392+W392+X392+AA392+AI392+AJ392+AI392+AM392+AP392+AQ392+AS392+AT392+AU392+AV392+AN392)+6</f>
        <v>9</v>
      </c>
      <c r="C392" s="215">
        <f>B392</f>
        <v>9</v>
      </c>
      <c r="D392" s="133"/>
      <c r="E392" s="134"/>
      <c r="F392" s="135"/>
      <c r="G392" s="136"/>
      <c r="H392" s="107"/>
      <c r="I392" s="96"/>
      <c r="J392" s="104"/>
      <c r="K392" s="75"/>
      <c r="L392" s="104"/>
      <c r="M392" s="75"/>
      <c r="N392" s="104">
        <v>1</v>
      </c>
      <c r="O392" s="109"/>
      <c r="P392" s="105"/>
      <c r="Q392" s="97"/>
      <c r="R392" s="96"/>
      <c r="S392" s="75"/>
      <c r="T392" s="110"/>
      <c r="U392" s="110">
        <v>1</v>
      </c>
      <c r="V392" s="100">
        <v>1</v>
      </c>
      <c r="W392" s="100">
        <v>1</v>
      </c>
      <c r="X392" s="100"/>
      <c r="Y392" s="110">
        <v>1</v>
      </c>
      <c r="Z392" s="106">
        <v>1</v>
      </c>
      <c r="AA392" s="75"/>
      <c r="AB392" s="97"/>
      <c r="AC392" s="108"/>
      <c r="AD392" s="109"/>
      <c r="AE392" s="109"/>
      <c r="AF392" s="109"/>
      <c r="AG392" s="109"/>
      <c r="AH392" s="108"/>
      <c r="AI392" s="75"/>
      <c r="AJ392" s="137"/>
      <c r="AK392" s="110"/>
      <c r="AL392" s="100"/>
      <c r="AM392" s="75"/>
      <c r="AN392" s="106"/>
      <c r="AO392" s="104"/>
      <c r="AP392" s="100"/>
      <c r="AQ392" s="106"/>
      <c r="AR392" s="104"/>
      <c r="AS392" s="111"/>
      <c r="AT392" s="111"/>
    </row>
    <row r="393" spans="1:46" ht="16.3">
      <c r="A393" s="246" t="s">
        <v>2</v>
      </c>
      <c r="B393" s="248">
        <f>SUM(J393+K393+L393+M393+N393+S393+V393+W393+X393+AA393+AI393+AJ393+AI393+AM393+AP393+AQ393+AS393+AT393+AU393+AV393)+7</f>
        <v>10</v>
      </c>
      <c r="C393" s="215">
        <f t="shared" ref="C393:C396" si="66">B393</f>
        <v>10</v>
      </c>
      <c r="D393" s="133"/>
      <c r="E393" s="134"/>
      <c r="F393" s="135"/>
      <c r="G393" s="136"/>
      <c r="H393" s="107"/>
      <c r="I393" s="96"/>
      <c r="J393" s="104"/>
      <c r="K393" s="75"/>
      <c r="L393" s="75">
        <v>1</v>
      </c>
      <c r="M393" s="75">
        <v>1</v>
      </c>
      <c r="N393" s="104"/>
      <c r="O393" s="109"/>
      <c r="P393" s="108"/>
      <c r="Q393" s="109"/>
      <c r="R393" s="109"/>
      <c r="S393" s="100"/>
      <c r="T393" s="110">
        <v>1</v>
      </c>
      <c r="U393" s="110"/>
      <c r="V393" s="100"/>
      <c r="W393" s="100"/>
      <c r="X393" s="100"/>
      <c r="Y393" s="110"/>
      <c r="Z393" s="106"/>
      <c r="AA393" s="75">
        <v>1</v>
      </c>
      <c r="AB393" s="97"/>
      <c r="AC393" s="108"/>
      <c r="AD393" s="109"/>
      <c r="AE393" s="109"/>
      <c r="AF393" s="109"/>
      <c r="AG393" s="109"/>
      <c r="AH393" s="108"/>
      <c r="AI393" s="75"/>
      <c r="AJ393" s="137"/>
      <c r="AK393" s="110"/>
      <c r="AL393" s="100"/>
      <c r="AM393" s="75"/>
      <c r="AN393" s="137"/>
      <c r="AO393" s="100"/>
      <c r="AP393" s="100"/>
      <c r="AQ393" s="106"/>
      <c r="AR393" s="104"/>
      <c r="AS393" s="111"/>
      <c r="AT393" s="111"/>
    </row>
    <row r="394" spans="1:46" ht="16.3">
      <c r="A394" s="83" t="s">
        <v>363</v>
      </c>
      <c r="B394" s="247">
        <f>SUM(B392+B393)</f>
        <v>19</v>
      </c>
      <c r="C394" s="214">
        <f t="shared" si="66"/>
        <v>19</v>
      </c>
      <c r="D394" s="133"/>
      <c r="E394" s="134"/>
      <c r="F394" s="135"/>
      <c r="G394" s="136"/>
      <c r="H394" s="107"/>
      <c r="I394" s="96"/>
      <c r="J394" s="104"/>
      <c r="K394" s="75"/>
      <c r="L394" s="75"/>
      <c r="M394" s="75"/>
      <c r="N394" s="104"/>
      <c r="O394" s="109"/>
      <c r="P394" s="108"/>
      <c r="Q394" s="109"/>
      <c r="R394" s="109"/>
      <c r="S394" s="100"/>
      <c r="T394" s="110"/>
      <c r="U394" s="110"/>
      <c r="V394" s="100"/>
      <c r="W394" s="100"/>
      <c r="X394" s="100"/>
      <c r="Y394" s="110"/>
      <c r="Z394" s="106"/>
      <c r="AA394" s="75"/>
      <c r="AB394" s="97"/>
      <c r="AC394" s="108"/>
      <c r="AD394" s="109"/>
      <c r="AE394" s="109"/>
      <c r="AF394" s="109"/>
      <c r="AG394" s="109"/>
      <c r="AH394" s="108"/>
      <c r="AI394" s="75"/>
      <c r="AJ394" s="137"/>
      <c r="AK394" s="110"/>
      <c r="AL394" s="100"/>
      <c r="AM394" s="75"/>
      <c r="AN394" s="137"/>
      <c r="AO394" s="100"/>
      <c r="AP394" s="100"/>
      <c r="AQ394" s="106"/>
      <c r="AR394" s="104"/>
      <c r="AS394" s="111"/>
      <c r="AT394" s="111"/>
    </row>
    <row r="395" spans="1:46" ht="16.3">
      <c r="A395" s="83" t="s">
        <v>3</v>
      </c>
      <c r="B395" s="247">
        <f>SUM(J395+K395+L395+M395+N395+S395+V395+W395+X395+AA395+AI395+AJ395+AI395+AM395+AP395+AQ395+AS395+AT395+AU395+AV395)+2</f>
        <v>6</v>
      </c>
      <c r="C395" s="214">
        <f t="shared" si="66"/>
        <v>6</v>
      </c>
      <c r="D395" s="133"/>
      <c r="E395" s="134"/>
      <c r="F395" s="135"/>
      <c r="G395" s="136"/>
      <c r="H395" s="107"/>
      <c r="I395" s="96"/>
      <c r="J395" s="104"/>
      <c r="K395" s="75"/>
      <c r="L395" s="75"/>
      <c r="M395" s="75"/>
      <c r="N395" s="104"/>
      <c r="O395" s="109"/>
      <c r="P395" s="108"/>
      <c r="Q395" s="109"/>
      <c r="R395" s="109"/>
      <c r="S395" s="100"/>
      <c r="T395" s="110"/>
      <c r="U395" s="110">
        <v>1</v>
      </c>
      <c r="V395" s="100">
        <v>1</v>
      </c>
      <c r="W395" s="100">
        <v>2</v>
      </c>
      <c r="X395" s="100"/>
      <c r="Y395" s="110">
        <v>2</v>
      </c>
      <c r="Z395" s="106"/>
      <c r="AA395" s="75">
        <v>1</v>
      </c>
      <c r="AB395" s="97"/>
      <c r="AC395" s="108"/>
      <c r="AD395" s="109"/>
      <c r="AE395" s="109"/>
      <c r="AF395" s="109"/>
      <c r="AG395" s="109"/>
      <c r="AH395" s="108"/>
      <c r="AI395" s="75"/>
      <c r="AJ395" s="137"/>
      <c r="AK395" s="110"/>
      <c r="AL395" s="100"/>
      <c r="AM395" s="75"/>
      <c r="AN395" s="137"/>
      <c r="AO395" s="100"/>
      <c r="AP395" s="100"/>
      <c r="AQ395" s="106"/>
      <c r="AR395" s="104"/>
      <c r="AS395" s="111"/>
      <c r="AT395" s="111"/>
    </row>
    <row r="396" spans="1:46" ht="17" thickBot="1">
      <c r="A396" s="85" t="s">
        <v>4</v>
      </c>
      <c r="B396" s="250">
        <f>SUM(J396+K396+L396+M396+N396+S396+V396+W396+X396+AA396+AI396+AJ396+AI396+AM396+AP396+AQ396+AS396+AT396+AU396+AV396)+10</f>
        <v>30</v>
      </c>
      <c r="C396" s="217">
        <f t="shared" si="66"/>
        <v>30</v>
      </c>
      <c r="D396" s="144"/>
      <c r="E396" s="145"/>
      <c r="F396" s="146"/>
      <c r="G396" s="147"/>
      <c r="H396" s="130"/>
      <c r="I396" s="114"/>
      <c r="J396" s="113"/>
      <c r="K396" s="112"/>
      <c r="L396" s="112"/>
      <c r="M396" s="112"/>
      <c r="N396" s="113"/>
      <c r="O396" s="118"/>
      <c r="P396" s="127"/>
      <c r="Q396" s="118"/>
      <c r="R396" s="118"/>
      <c r="S396" s="116"/>
      <c r="T396" s="120"/>
      <c r="U396" s="120">
        <v>5</v>
      </c>
      <c r="V396" s="116">
        <v>5</v>
      </c>
      <c r="W396" s="116">
        <v>10</v>
      </c>
      <c r="X396" s="116"/>
      <c r="Y396" s="120">
        <v>10</v>
      </c>
      <c r="Z396" s="119"/>
      <c r="AA396" s="112">
        <v>5</v>
      </c>
      <c r="AB396" s="115"/>
      <c r="AC396" s="117"/>
      <c r="AD396" s="118"/>
      <c r="AE396" s="118"/>
      <c r="AF396" s="118"/>
      <c r="AG396" s="118"/>
      <c r="AH396" s="117"/>
      <c r="AI396" s="116"/>
      <c r="AJ396" s="120"/>
      <c r="AK396" s="120"/>
      <c r="AL396" s="116"/>
      <c r="AM396" s="112"/>
      <c r="AN396" s="148"/>
      <c r="AO396" s="116"/>
      <c r="AP396" s="116"/>
      <c r="AQ396" s="119"/>
      <c r="AR396" s="113"/>
      <c r="AS396" s="121"/>
      <c r="AT396" s="121"/>
    </row>
    <row r="397" spans="1:46" ht="21.1">
      <c r="A397" s="82" t="s">
        <v>327</v>
      </c>
      <c r="B397" s="247"/>
      <c r="C397" s="214"/>
      <c r="D397" s="133"/>
      <c r="E397" s="134"/>
      <c r="F397" s="135"/>
      <c r="G397" s="136"/>
      <c r="H397" s="107"/>
      <c r="I397" s="96" t="s">
        <v>375</v>
      </c>
      <c r="J397" s="104"/>
      <c r="K397" s="75" t="s">
        <v>393</v>
      </c>
      <c r="L397" s="75"/>
      <c r="M397" s="75"/>
      <c r="N397" s="104"/>
      <c r="O397" s="109">
        <v>7</v>
      </c>
      <c r="P397" s="108"/>
      <c r="Q397" s="109" t="s">
        <v>374</v>
      </c>
      <c r="R397" s="109">
        <v>7</v>
      </c>
      <c r="S397" s="100"/>
      <c r="T397" s="110"/>
      <c r="U397" s="110"/>
      <c r="V397" s="100"/>
      <c r="W397" s="100" t="s">
        <v>375</v>
      </c>
      <c r="X397" s="100"/>
      <c r="Y397" s="110"/>
      <c r="Z397" s="110"/>
      <c r="AA397" s="100"/>
      <c r="AB397" s="109"/>
      <c r="AC397" s="108"/>
      <c r="AD397" s="109" t="s">
        <v>374</v>
      </c>
      <c r="AE397" s="109"/>
      <c r="AF397" s="109"/>
      <c r="AG397" s="109"/>
      <c r="AH397" s="108"/>
      <c r="AI397" s="100"/>
      <c r="AJ397" s="110"/>
      <c r="AK397" s="110"/>
      <c r="AL397" s="100"/>
      <c r="AM397" s="100"/>
      <c r="AN397" s="101"/>
      <c r="AO397" s="102"/>
      <c r="AP397" s="102"/>
      <c r="AQ397" s="101"/>
      <c r="AR397" s="102"/>
      <c r="AS397" s="103"/>
      <c r="AT397" s="103"/>
    </row>
    <row r="398" spans="1:46" ht="16.3">
      <c r="A398" s="246" t="s">
        <v>1</v>
      </c>
      <c r="B398" s="248">
        <f>SUM(J398+K398+L398+M398+N398+S398+V398+W398+X398+AA398+AI398+AJ398+AI398+AM398+AP398+AQ398+AS398+AT398+AU398+AV398+AN398)+2</f>
        <v>2</v>
      </c>
      <c r="C398" s="215">
        <f>B398</f>
        <v>2</v>
      </c>
      <c r="D398" s="133"/>
      <c r="E398" s="134"/>
      <c r="F398" s="135"/>
      <c r="G398" s="136"/>
      <c r="H398" s="107"/>
      <c r="I398" s="96"/>
      <c r="J398" s="104"/>
      <c r="K398" s="75"/>
      <c r="L398" s="75"/>
      <c r="M398" s="75"/>
      <c r="N398" s="104"/>
      <c r="O398" s="109">
        <v>1</v>
      </c>
      <c r="P398" s="108"/>
      <c r="Q398" s="109">
        <v>1</v>
      </c>
      <c r="R398" s="109">
        <v>1</v>
      </c>
      <c r="S398" s="100"/>
      <c r="T398" s="110"/>
      <c r="U398" s="110"/>
      <c r="V398" s="100"/>
      <c r="W398" s="100"/>
      <c r="X398" s="100"/>
      <c r="Y398" s="110"/>
      <c r="Z398" s="110"/>
      <c r="AA398" s="100"/>
      <c r="AB398" s="109"/>
      <c r="AC398" s="108"/>
      <c r="AD398" s="109">
        <v>1</v>
      </c>
      <c r="AE398" s="109"/>
      <c r="AF398" s="109"/>
      <c r="AG398" s="109"/>
      <c r="AH398" s="108"/>
      <c r="AI398" s="100"/>
      <c r="AJ398" s="110"/>
      <c r="AK398" s="110"/>
      <c r="AL398" s="100"/>
      <c r="AM398" s="100"/>
      <c r="AN398" s="110"/>
      <c r="AO398" s="100"/>
      <c r="AP398" s="100"/>
      <c r="AQ398" s="110"/>
      <c r="AR398" s="100"/>
      <c r="AS398" s="111"/>
      <c r="AT398" s="111"/>
    </row>
    <row r="399" spans="1:46" ht="16.3">
      <c r="A399" s="246" t="s">
        <v>2</v>
      </c>
      <c r="B399" s="248">
        <f>SUM(J399+K399+L399+M399+N399+S399+V399+W399+X399+AA399+AI399+AJ399+AI399+AM399+AP399+AQ399+AS399+AT399+AU399+AV399)</f>
        <v>1</v>
      </c>
      <c r="C399" s="215">
        <f t="shared" ref="C399:C402" si="67">B399</f>
        <v>1</v>
      </c>
      <c r="D399" s="133"/>
      <c r="E399" s="134"/>
      <c r="F399" s="135"/>
      <c r="G399" s="136"/>
      <c r="H399" s="107"/>
      <c r="I399" s="96">
        <v>1</v>
      </c>
      <c r="J399" s="104"/>
      <c r="K399" s="75"/>
      <c r="L399" s="75"/>
      <c r="M399" s="75"/>
      <c r="N399" s="104"/>
      <c r="O399" s="109"/>
      <c r="P399" s="108"/>
      <c r="Q399" s="109"/>
      <c r="R399" s="109"/>
      <c r="S399" s="100"/>
      <c r="T399" s="110"/>
      <c r="U399" s="110"/>
      <c r="V399" s="100"/>
      <c r="W399" s="100">
        <v>1</v>
      </c>
      <c r="X399" s="100"/>
      <c r="Y399" s="110"/>
      <c r="Z399" s="110"/>
      <c r="AA399" s="100"/>
      <c r="AB399" s="109"/>
      <c r="AC399" s="108"/>
      <c r="AD399" s="109"/>
      <c r="AE399" s="109"/>
      <c r="AF399" s="109"/>
      <c r="AG399" s="109"/>
      <c r="AH399" s="108"/>
      <c r="AI399" s="100"/>
      <c r="AJ399" s="110"/>
      <c r="AK399" s="110"/>
      <c r="AL399" s="100"/>
      <c r="AM399" s="100"/>
      <c r="AN399" s="110"/>
      <c r="AO399" s="100"/>
      <c r="AP399" s="100"/>
      <c r="AQ399" s="110"/>
      <c r="AR399" s="100"/>
      <c r="AS399" s="111"/>
      <c r="AT399" s="111"/>
    </row>
    <row r="400" spans="1:46" ht="16.3">
      <c r="A400" s="83" t="s">
        <v>363</v>
      </c>
      <c r="B400" s="247">
        <f>SUM(B398+B399)</f>
        <v>3</v>
      </c>
      <c r="C400" s="214">
        <f t="shared" si="67"/>
        <v>3</v>
      </c>
      <c r="D400" s="133"/>
      <c r="E400" s="134"/>
      <c r="F400" s="135"/>
      <c r="G400" s="136"/>
      <c r="H400" s="107"/>
      <c r="I400" s="96"/>
      <c r="J400" s="104"/>
      <c r="K400" s="75"/>
      <c r="L400" s="75"/>
      <c r="M400" s="75"/>
      <c r="N400" s="104"/>
      <c r="O400" s="109"/>
      <c r="P400" s="108"/>
      <c r="Q400" s="109"/>
      <c r="R400" s="109"/>
      <c r="S400" s="100"/>
      <c r="T400" s="110"/>
      <c r="U400" s="110"/>
      <c r="V400" s="100"/>
      <c r="W400" s="100"/>
      <c r="X400" s="100"/>
      <c r="Y400" s="110"/>
      <c r="Z400" s="110"/>
      <c r="AA400" s="100"/>
      <c r="AB400" s="109"/>
      <c r="AC400" s="108"/>
      <c r="AD400" s="109"/>
      <c r="AE400" s="109"/>
      <c r="AF400" s="109"/>
      <c r="AG400" s="109"/>
      <c r="AH400" s="108"/>
      <c r="AI400" s="100"/>
      <c r="AJ400" s="110"/>
      <c r="AK400" s="110"/>
      <c r="AL400" s="100"/>
      <c r="AM400" s="100"/>
      <c r="AN400" s="110"/>
      <c r="AO400" s="100"/>
      <c r="AP400" s="100"/>
      <c r="AQ400" s="110"/>
      <c r="AR400" s="100"/>
      <c r="AS400" s="111"/>
      <c r="AT400" s="111"/>
    </row>
    <row r="401" spans="1:46" ht="16.3">
      <c r="A401" s="83" t="s">
        <v>3</v>
      </c>
      <c r="B401" s="247">
        <f>SUM(J401+K401+L401+M401+N401+S401+V401+W401+X401+AA401+AI401+AJ401+AI401+AM401+AP401+AQ401+AS401+AT401+AU401+AV401)</f>
        <v>0</v>
      </c>
      <c r="C401" s="214">
        <f t="shared" si="67"/>
        <v>0</v>
      </c>
      <c r="D401" s="133"/>
      <c r="E401" s="134"/>
      <c r="F401" s="135"/>
      <c r="G401" s="136"/>
      <c r="H401" s="107"/>
      <c r="I401" s="96"/>
      <c r="J401" s="104"/>
      <c r="K401" s="75"/>
      <c r="L401" s="75"/>
      <c r="M401" s="75"/>
      <c r="N401" s="104"/>
      <c r="O401" s="109">
        <v>1</v>
      </c>
      <c r="P401" s="108"/>
      <c r="Q401" s="109"/>
      <c r="R401" s="109"/>
      <c r="S401" s="100"/>
      <c r="T401" s="110"/>
      <c r="U401" s="110"/>
      <c r="V401" s="100"/>
      <c r="W401" s="100"/>
      <c r="X401" s="100"/>
      <c r="Y401" s="110"/>
      <c r="Z401" s="110"/>
      <c r="AA401" s="100"/>
      <c r="AB401" s="109"/>
      <c r="AC401" s="108"/>
      <c r="AD401" s="109"/>
      <c r="AE401" s="109"/>
      <c r="AF401" s="109"/>
      <c r="AG401" s="109"/>
      <c r="AH401" s="108"/>
      <c r="AI401" s="100"/>
      <c r="AJ401" s="110"/>
      <c r="AK401" s="110"/>
      <c r="AL401" s="100"/>
      <c r="AM401" s="100"/>
      <c r="AN401" s="110"/>
      <c r="AO401" s="100"/>
      <c r="AP401" s="100"/>
      <c r="AQ401" s="110"/>
      <c r="AR401" s="100"/>
      <c r="AS401" s="111"/>
      <c r="AT401" s="111"/>
    </row>
    <row r="402" spans="1:46" ht="17" thickBot="1">
      <c r="A402" s="85" t="s">
        <v>4</v>
      </c>
      <c r="B402" s="250">
        <f>SUM(J402+K402+L402+M402+N402+S402+V402+W402+X402+AA402+AI402+AJ402+AI402+AM402+AP402+AQ402+AS402+AT402+AU402+AV402)</f>
        <v>0</v>
      </c>
      <c r="C402" s="217">
        <f t="shared" si="67"/>
        <v>0</v>
      </c>
      <c r="D402" s="144"/>
      <c r="E402" s="145"/>
      <c r="F402" s="146"/>
      <c r="G402" s="147"/>
      <c r="H402" s="130"/>
      <c r="I402" s="114"/>
      <c r="J402" s="113"/>
      <c r="K402" s="112"/>
      <c r="L402" s="112"/>
      <c r="M402" s="112"/>
      <c r="N402" s="113"/>
      <c r="O402" s="118">
        <v>5</v>
      </c>
      <c r="P402" s="127"/>
      <c r="Q402" s="118"/>
      <c r="R402" s="118"/>
      <c r="S402" s="116"/>
      <c r="T402" s="120"/>
      <c r="U402" s="120"/>
      <c r="V402" s="116"/>
      <c r="W402" s="116"/>
      <c r="X402" s="116"/>
      <c r="Y402" s="120"/>
      <c r="Z402" s="120"/>
      <c r="AA402" s="116"/>
      <c r="AB402" s="118"/>
      <c r="AC402" s="117"/>
      <c r="AD402" s="118"/>
      <c r="AE402" s="118"/>
      <c r="AF402" s="118"/>
      <c r="AG402" s="118"/>
      <c r="AH402" s="117"/>
      <c r="AI402" s="116"/>
      <c r="AJ402" s="120"/>
      <c r="AK402" s="120"/>
      <c r="AL402" s="116"/>
      <c r="AM402" s="116"/>
      <c r="AN402" s="120"/>
      <c r="AO402" s="116"/>
      <c r="AP402" s="116"/>
      <c r="AQ402" s="120"/>
      <c r="AR402" s="116"/>
      <c r="AS402" s="121"/>
      <c r="AT402" s="121"/>
    </row>
    <row r="403" spans="1:46" ht="21.1">
      <c r="A403" s="82" t="s">
        <v>990</v>
      </c>
      <c r="B403" s="247"/>
      <c r="C403" s="214"/>
      <c r="D403" s="133"/>
      <c r="E403" s="134"/>
      <c r="F403" s="135"/>
      <c r="G403" s="136"/>
      <c r="H403" s="107"/>
      <c r="I403" s="96" t="s">
        <v>991</v>
      </c>
      <c r="J403" s="104" t="s">
        <v>344</v>
      </c>
      <c r="K403" s="75" t="s">
        <v>344</v>
      </c>
      <c r="L403" s="75" t="s">
        <v>344</v>
      </c>
      <c r="M403" s="75" t="s">
        <v>344</v>
      </c>
      <c r="N403" s="104" t="s">
        <v>344</v>
      </c>
      <c r="O403" s="109" t="s">
        <v>344</v>
      </c>
      <c r="P403" s="108"/>
      <c r="Q403" s="109" t="s">
        <v>344</v>
      </c>
      <c r="R403" s="109" t="s">
        <v>344</v>
      </c>
      <c r="S403" s="100" t="s">
        <v>344</v>
      </c>
      <c r="T403" s="110" t="s">
        <v>344</v>
      </c>
      <c r="U403" s="110" t="s">
        <v>344</v>
      </c>
      <c r="V403" s="100" t="s">
        <v>344</v>
      </c>
      <c r="W403" s="100" t="s">
        <v>344</v>
      </c>
      <c r="X403" s="100" t="s">
        <v>344</v>
      </c>
      <c r="Y403" s="110" t="s">
        <v>344</v>
      </c>
      <c r="Z403" s="110" t="s">
        <v>344</v>
      </c>
      <c r="AA403" s="100" t="s">
        <v>344</v>
      </c>
      <c r="AB403" s="109" t="s">
        <v>432</v>
      </c>
      <c r="AC403" s="108"/>
      <c r="AD403" s="109"/>
      <c r="AE403" s="109"/>
      <c r="AF403" s="109"/>
      <c r="AG403" s="109"/>
      <c r="AH403" s="108"/>
      <c r="AI403" s="100"/>
      <c r="AJ403" s="110"/>
      <c r="AK403" s="110"/>
      <c r="AL403" s="100"/>
      <c r="AM403" s="100"/>
      <c r="AN403" s="110"/>
      <c r="AO403" s="100"/>
      <c r="AP403" s="100"/>
      <c r="AQ403" s="110"/>
      <c r="AR403" s="100"/>
      <c r="AS403" s="111"/>
      <c r="AT403" s="111"/>
    </row>
    <row r="404" spans="1:46" ht="16.3">
      <c r="A404" s="246" t="s">
        <v>1</v>
      </c>
      <c r="B404" s="248">
        <f>SUM(J404+K404+L404+M404+N404+S404+V404+W404+X404+AA404+AI404+AJ404+AI404+AM404+AP404+AQ404+AS404+AT404+AU404+AV404+AN404)</f>
        <v>0</v>
      </c>
      <c r="C404" s="215">
        <f>B404</f>
        <v>0</v>
      </c>
      <c r="D404" s="133"/>
      <c r="E404" s="134"/>
      <c r="F404" s="135"/>
      <c r="G404" s="136"/>
      <c r="H404" s="107"/>
      <c r="I404" s="96"/>
      <c r="J404" s="104"/>
      <c r="K404" s="75"/>
      <c r="L404" s="75"/>
      <c r="M404" s="75"/>
      <c r="N404" s="104"/>
      <c r="O404" s="109"/>
      <c r="P404" s="108"/>
      <c r="Q404" s="109"/>
      <c r="R404" s="109"/>
      <c r="S404" s="100"/>
      <c r="T404" s="110"/>
      <c r="U404" s="110"/>
      <c r="V404" s="100"/>
      <c r="W404" s="100"/>
      <c r="X404" s="100"/>
      <c r="Y404" s="110"/>
      <c r="Z404" s="110"/>
      <c r="AA404" s="100"/>
      <c r="AB404" s="109"/>
      <c r="AC404" s="108"/>
      <c r="AD404" s="109"/>
      <c r="AE404" s="109"/>
      <c r="AF404" s="109"/>
      <c r="AG404" s="109"/>
      <c r="AH404" s="108"/>
      <c r="AI404" s="100"/>
      <c r="AJ404" s="110"/>
      <c r="AK404" s="110"/>
      <c r="AL404" s="100"/>
      <c r="AM404" s="100"/>
      <c r="AN404" s="110"/>
      <c r="AO404" s="100"/>
      <c r="AP404" s="100"/>
      <c r="AQ404" s="110"/>
      <c r="AR404" s="100"/>
      <c r="AS404" s="111"/>
      <c r="AT404" s="111"/>
    </row>
    <row r="405" spans="1:46" ht="16.3">
      <c r="A405" s="246" t="s">
        <v>2</v>
      </c>
      <c r="B405" s="248">
        <f>SUM(J405+K405+L405+M405+N405+S405+V405+W405+X405+AA405+AI405+AJ405+AI405+AM405+AP405+AQ405+AS405+AT405+AU405+AV405)</f>
        <v>0</v>
      </c>
      <c r="C405" s="215">
        <f t="shared" ref="C405:C408" si="68">B405</f>
        <v>0</v>
      </c>
      <c r="D405" s="133"/>
      <c r="E405" s="134"/>
      <c r="F405" s="135"/>
      <c r="G405" s="136"/>
      <c r="H405" s="107"/>
      <c r="I405" s="96"/>
      <c r="J405" s="104"/>
      <c r="K405" s="75"/>
      <c r="L405" s="75"/>
      <c r="M405" s="75"/>
      <c r="N405" s="104"/>
      <c r="O405" s="109"/>
      <c r="P405" s="108"/>
      <c r="Q405" s="109"/>
      <c r="R405" s="109"/>
      <c r="S405" s="100"/>
      <c r="T405" s="110"/>
      <c r="U405" s="110"/>
      <c r="V405" s="100"/>
      <c r="W405" s="100"/>
      <c r="X405" s="100"/>
      <c r="Y405" s="110"/>
      <c r="Z405" s="110"/>
      <c r="AA405" s="100"/>
      <c r="AB405" s="109">
        <v>1</v>
      </c>
      <c r="AC405" s="108"/>
      <c r="AD405" s="109"/>
      <c r="AE405" s="109"/>
      <c r="AF405" s="109"/>
      <c r="AG405" s="109"/>
      <c r="AH405" s="108"/>
      <c r="AI405" s="100"/>
      <c r="AJ405" s="110"/>
      <c r="AK405" s="110"/>
      <c r="AL405" s="100"/>
      <c r="AM405" s="100"/>
      <c r="AN405" s="110"/>
      <c r="AO405" s="100"/>
      <c r="AP405" s="100"/>
      <c r="AQ405" s="110"/>
      <c r="AR405" s="100"/>
      <c r="AS405" s="111"/>
      <c r="AT405" s="111"/>
    </row>
    <row r="406" spans="1:46" ht="16.3">
      <c r="A406" s="83" t="s">
        <v>363</v>
      </c>
      <c r="B406" s="247">
        <f>SUM(B404+B405)</f>
        <v>0</v>
      </c>
      <c r="C406" s="214">
        <f t="shared" si="68"/>
        <v>0</v>
      </c>
      <c r="D406" s="133"/>
      <c r="E406" s="134"/>
      <c r="F406" s="135"/>
      <c r="G406" s="136"/>
      <c r="H406" s="107"/>
      <c r="I406" s="96"/>
      <c r="J406" s="104"/>
      <c r="K406" s="75"/>
      <c r="L406" s="75"/>
      <c r="M406" s="75"/>
      <c r="N406" s="104"/>
      <c r="O406" s="109"/>
      <c r="P406" s="108"/>
      <c r="Q406" s="109"/>
      <c r="R406" s="109"/>
      <c r="S406" s="100"/>
      <c r="T406" s="110"/>
      <c r="U406" s="110"/>
      <c r="V406" s="100"/>
      <c r="W406" s="100"/>
      <c r="X406" s="100"/>
      <c r="Y406" s="110"/>
      <c r="Z406" s="110"/>
      <c r="AA406" s="100"/>
      <c r="AB406" s="109"/>
      <c r="AC406" s="108"/>
      <c r="AD406" s="109"/>
      <c r="AE406" s="109"/>
      <c r="AF406" s="109"/>
      <c r="AG406" s="109"/>
      <c r="AH406" s="108"/>
      <c r="AI406" s="100"/>
      <c r="AJ406" s="110"/>
      <c r="AK406" s="110"/>
      <c r="AL406" s="100"/>
      <c r="AM406" s="100"/>
      <c r="AN406" s="110"/>
      <c r="AO406" s="100"/>
      <c r="AP406" s="100"/>
      <c r="AQ406" s="110"/>
      <c r="AR406" s="100"/>
      <c r="AS406" s="111"/>
      <c r="AT406" s="111"/>
    </row>
    <row r="407" spans="1:46" ht="16.3">
      <c r="A407" s="83" t="s">
        <v>3</v>
      </c>
      <c r="B407" s="247">
        <f>SUM(J407+K407+L407+M407+N407+S407+V407+W407+X407+AA407+AI407+AJ407+AI407+AM407+AP407+AQ407+AS407+AT407+AU407+AV407)</f>
        <v>0</v>
      </c>
      <c r="C407" s="214">
        <f t="shared" si="68"/>
        <v>0</v>
      </c>
      <c r="D407" s="133"/>
      <c r="E407" s="134"/>
      <c r="F407" s="135"/>
      <c r="G407" s="136"/>
      <c r="H407" s="107"/>
      <c r="I407" s="96"/>
      <c r="J407" s="104"/>
      <c r="K407" s="75"/>
      <c r="L407" s="75"/>
      <c r="M407" s="75"/>
      <c r="N407" s="104"/>
      <c r="O407" s="109"/>
      <c r="P407" s="108"/>
      <c r="Q407" s="109"/>
      <c r="R407" s="109"/>
      <c r="S407" s="100"/>
      <c r="T407" s="110"/>
      <c r="U407" s="110"/>
      <c r="V407" s="100"/>
      <c r="W407" s="100"/>
      <c r="X407" s="100"/>
      <c r="Y407" s="110"/>
      <c r="Z407" s="110"/>
      <c r="AA407" s="100"/>
      <c r="AB407" s="109"/>
      <c r="AC407" s="108"/>
      <c r="AD407" s="109"/>
      <c r="AE407" s="109"/>
      <c r="AF407" s="109"/>
      <c r="AG407" s="109"/>
      <c r="AH407" s="108"/>
      <c r="AI407" s="100"/>
      <c r="AJ407" s="110"/>
      <c r="AK407" s="110"/>
      <c r="AL407" s="100"/>
      <c r="AM407" s="100"/>
      <c r="AN407" s="110"/>
      <c r="AO407" s="100"/>
      <c r="AP407" s="100"/>
      <c r="AQ407" s="110"/>
      <c r="AR407" s="100"/>
      <c r="AS407" s="111"/>
      <c r="AT407" s="111"/>
    </row>
    <row r="408" spans="1:46" ht="17" thickBot="1">
      <c r="A408" s="85" t="s">
        <v>4</v>
      </c>
      <c r="B408" s="250">
        <f>SUM(J408+K408+L408+M408+N408+S408+V408+W408+X408+AA408+AI408+AJ408+AI408+AM408+AP408+AQ408+AS408+AT408+AU408+AV408)</f>
        <v>0</v>
      </c>
      <c r="C408" s="217">
        <f t="shared" si="68"/>
        <v>0</v>
      </c>
      <c r="D408" s="144"/>
      <c r="E408" s="145"/>
      <c r="F408" s="146"/>
      <c r="G408" s="147"/>
      <c r="H408" s="130"/>
      <c r="I408" s="114"/>
      <c r="J408" s="113"/>
      <c r="K408" s="112"/>
      <c r="L408" s="112"/>
      <c r="M408" s="112"/>
      <c r="N408" s="113"/>
      <c r="O408" s="118"/>
      <c r="P408" s="117"/>
      <c r="Q408" s="118"/>
      <c r="R408" s="118"/>
      <c r="S408" s="116"/>
      <c r="T408" s="120"/>
      <c r="U408" s="120"/>
      <c r="V408" s="116"/>
      <c r="W408" s="116"/>
      <c r="X408" s="116"/>
      <c r="Y408" s="120"/>
      <c r="Z408" s="120"/>
      <c r="AA408" s="116"/>
      <c r="AB408" s="118"/>
      <c r="AC408" s="117"/>
      <c r="AD408" s="118"/>
      <c r="AE408" s="118"/>
      <c r="AF408" s="118"/>
      <c r="AG408" s="118"/>
      <c r="AH408" s="117"/>
      <c r="AI408" s="116"/>
      <c r="AJ408" s="120"/>
      <c r="AK408" s="120"/>
      <c r="AL408" s="116"/>
      <c r="AM408" s="116"/>
      <c r="AN408" s="120"/>
      <c r="AO408" s="116"/>
      <c r="AP408" s="116"/>
      <c r="AQ408" s="120"/>
      <c r="AR408" s="116"/>
      <c r="AS408" s="121"/>
      <c r="AT408" s="121"/>
    </row>
    <row r="409" spans="1:46" ht="21.1">
      <c r="A409" s="82" t="s">
        <v>988</v>
      </c>
      <c r="B409" s="247"/>
      <c r="C409" s="214"/>
      <c r="D409" s="133"/>
      <c r="E409" s="134"/>
      <c r="F409" s="135"/>
      <c r="G409" s="136"/>
      <c r="H409" s="107"/>
      <c r="I409" s="96"/>
      <c r="J409" s="104"/>
      <c r="K409" s="75"/>
      <c r="L409" s="75"/>
      <c r="M409" s="75"/>
      <c r="N409" s="104"/>
      <c r="O409" s="109"/>
      <c r="P409" s="108"/>
      <c r="Q409" s="109"/>
      <c r="R409" s="109"/>
      <c r="S409" s="100"/>
      <c r="T409" s="110"/>
      <c r="U409" s="110"/>
      <c r="V409" s="100"/>
      <c r="W409" s="100"/>
      <c r="X409" s="100"/>
      <c r="Y409" s="110"/>
      <c r="Z409" s="110"/>
      <c r="AA409" s="100"/>
      <c r="AB409" s="109" t="s">
        <v>989</v>
      </c>
      <c r="AC409" s="108"/>
      <c r="AD409" s="109" t="s">
        <v>373</v>
      </c>
      <c r="AE409" s="109" t="s">
        <v>373</v>
      </c>
      <c r="AF409" s="109"/>
      <c r="AG409" s="109">
        <v>7</v>
      </c>
      <c r="AH409" s="108"/>
      <c r="AI409" s="100"/>
      <c r="AJ409" s="110"/>
      <c r="AK409" s="110"/>
      <c r="AL409" s="100"/>
      <c r="AM409" s="100"/>
      <c r="AN409" s="110"/>
      <c r="AO409" s="100"/>
      <c r="AP409" s="100"/>
      <c r="AQ409" s="110"/>
      <c r="AR409" s="100"/>
      <c r="AS409" s="111"/>
      <c r="AT409" s="111"/>
    </row>
    <row r="410" spans="1:46" ht="16.3">
      <c r="A410" s="246" t="s">
        <v>1</v>
      </c>
      <c r="B410" s="248">
        <f>SUM(J410+K410+L410+M410+N410+S410+V410+W410+X410+AA410+AI410+AJ410+AI410+AM410+AP410+AQ410+AS410+AT410+AU410+AV410+AN410)</f>
        <v>0</v>
      </c>
      <c r="C410" s="215">
        <f>B410</f>
        <v>0</v>
      </c>
      <c r="D410" s="133"/>
      <c r="E410" s="134"/>
      <c r="F410" s="135"/>
      <c r="G410" s="136"/>
      <c r="H410" s="107"/>
      <c r="I410" s="96"/>
      <c r="J410" s="104"/>
      <c r="K410" s="75"/>
      <c r="L410" s="75"/>
      <c r="M410" s="75"/>
      <c r="N410" s="104"/>
      <c r="O410" s="109"/>
      <c r="P410" s="108"/>
      <c r="Q410" s="109"/>
      <c r="R410" s="109"/>
      <c r="S410" s="100"/>
      <c r="T410" s="110"/>
      <c r="U410" s="110"/>
      <c r="V410" s="100"/>
      <c r="W410" s="100"/>
      <c r="X410" s="100"/>
      <c r="Y410" s="110"/>
      <c r="Z410" s="110"/>
      <c r="AA410" s="100"/>
      <c r="AB410" s="109">
        <v>1</v>
      </c>
      <c r="AC410" s="108"/>
      <c r="AD410" s="109">
        <v>1</v>
      </c>
      <c r="AE410" s="109">
        <v>1</v>
      </c>
      <c r="AF410" s="109"/>
      <c r="AG410" s="109">
        <v>1</v>
      </c>
      <c r="AH410" s="108"/>
      <c r="AI410" s="100"/>
      <c r="AJ410" s="110"/>
      <c r="AK410" s="110"/>
      <c r="AL410" s="100"/>
      <c r="AM410" s="100"/>
      <c r="AN410" s="110"/>
      <c r="AO410" s="100"/>
      <c r="AP410" s="100"/>
      <c r="AQ410" s="110"/>
      <c r="AR410" s="100"/>
      <c r="AS410" s="111"/>
      <c r="AT410" s="111"/>
    </row>
    <row r="411" spans="1:46" ht="16.3">
      <c r="A411" s="246" t="s">
        <v>2</v>
      </c>
      <c r="B411" s="248">
        <f>SUM(J411+K411+L411+M411+N411+S411+V411+W411+X411+AA411+AI411+AJ411+AI411+AM411+AP411+AQ411+AS411+AT411+AU411+AV411)</f>
        <v>0</v>
      </c>
      <c r="C411" s="215">
        <f t="shared" ref="C411:C414" si="69">B411</f>
        <v>0</v>
      </c>
      <c r="D411" s="133"/>
      <c r="E411" s="134"/>
      <c r="F411" s="135"/>
      <c r="G411" s="136"/>
      <c r="H411" s="107"/>
      <c r="I411" s="96"/>
      <c r="J411" s="104"/>
      <c r="K411" s="75"/>
      <c r="L411" s="75"/>
      <c r="M411" s="75"/>
      <c r="N411" s="104"/>
      <c r="O411" s="109"/>
      <c r="P411" s="108"/>
      <c r="Q411" s="109"/>
      <c r="R411" s="109"/>
      <c r="S411" s="100"/>
      <c r="T411" s="110"/>
      <c r="U411" s="110"/>
      <c r="V411" s="100"/>
      <c r="W411" s="100"/>
      <c r="X411" s="100"/>
      <c r="Y411" s="110"/>
      <c r="Z411" s="110"/>
      <c r="AA411" s="100"/>
      <c r="AB411" s="109"/>
      <c r="AC411" s="108"/>
      <c r="AD411" s="109"/>
      <c r="AE411" s="109"/>
      <c r="AF411" s="109"/>
      <c r="AG411" s="109"/>
      <c r="AH411" s="108"/>
      <c r="AI411" s="100"/>
      <c r="AJ411" s="110"/>
      <c r="AK411" s="110"/>
      <c r="AL411" s="100"/>
      <c r="AM411" s="100"/>
      <c r="AN411" s="110"/>
      <c r="AO411" s="100"/>
      <c r="AP411" s="100"/>
      <c r="AQ411" s="110"/>
      <c r="AR411" s="100"/>
      <c r="AS411" s="111"/>
      <c r="AT411" s="111"/>
    </row>
    <row r="412" spans="1:46" ht="16.3">
      <c r="A412" s="83" t="s">
        <v>363</v>
      </c>
      <c r="B412" s="247">
        <f>SUM(B410+B411)</f>
        <v>0</v>
      </c>
      <c r="C412" s="214">
        <f t="shared" si="69"/>
        <v>0</v>
      </c>
      <c r="D412" s="133"/>
      <c r="E412" s="134"/>
      <c r="F412" s="135"/>
      <c r="G412" s="136"/>
      <c r="H412" s="107"/>
      <c r="I412" s="96"/>
      <c r="J412" s="104"/>
      <c r="K412" s="75"/>
      <c r="L412" s="75"/>
      <c r="M412" s="75"/>
      <c r="N412" s="104"/>
      <c r="O412" s="109"/>
      <c r="P412" s="108"/>
      <c r="Q412" s="109"/>
      <c r="R412" s="109"/>
      <c r="S412" s="100"/>
      <c r="T412" s="110"/>
      <c r="U412" s="110"/>
      <c r="V412" s="100"/>
      <c r="W412" s="100"/>
      <c r="X412" s="100"/>
      <c r="Y412" s="110"/>
      <c r="Z412" s="110"/>
      <c r="AA412" s="100"/>
      <c r="AB412" s="109"/>
      <c r="AC412" s="108"/>
      <c r="AD412" s="109"/>
      <c r="AE412" s="109"/>
      <c r="AF412" s="109"/>
      <c r="AG412" s="109"/>
      <c r="AH412" s="108"/>
      <c r="AI412" s="100"/>
      <c r="AJ412" s="110"/>
      <c r="AK412" s="110"/>
      <c r="AL412" s="100"/>
      <c r="AM412" s="100"/>
      <c r="AN412" s="110"/>
      <c r="AO412" s="100"/>
      <c r="AP412" s="100"/>
      <c r="AQ412" s="110"/>
      <c r="AR412" s="100"/>
      <c r="AS412" s="111"/>
      <c r="AT412" s="111"/>
    </row>
    <row r="413" spans="1:46" ht="16.3">
      <c r="A413" s="83" t="s">
        <v>3</v>
      </c>
      <c r="B413" s="247">
        <f>SUM(J413+K413+L413+M413+N413+S413+V413+W413+X413+AA413+AI413+AJ413+AI413+AM413+AP413+AQ413+AS413+AT413+AU413+AV413)</f>
        <v>0</v>
      </c>
      <c r="C413" s="214">
        <f t="shared" si="69"/>
        <v>0</v>
      </c>
      <c r="D413" s="133"/>
      <c r="E413" s="134"/>
      <c r="F413" s="135"/>
      <c r="G413" s="136"/>
      <c r="H413" s="107"/>
      <c r="I413" s="96"/>
      <c r="J413" s="104"/>
      <c r="K413" s="75"/>
      <c r="L413" s="75"/>
      <c r="M413" s="75"/>
      <c r="N413" s="104"/>
      <c r="O413" s="109"/>
      <c r="P413" s="108"/>
      <c r="Q413" s="109"/>
      <c r="R413" s="109"/>
      <c r="S413" s="100"/>
      <c r="T413" s="110"/>
      <c r="U413" s="110"/>
      <c r="V413" s="100"/>
      <c r="W413" s="100"/>
      <c r="X413" s="100"/>
      <c r="Y413" s="110"/>
      <c r="Z413" s="110"/>
      <c r="AA413" s="100"/>
      <c r="AB413" s="109"/>
      <c r="AC413" s="108"/>
      <c r="AD413" s="109"/>
      <c r="AE413" s="109">
        <v>1</v>
      </c>
      <c r="AF413" s="109"/>
      <c r="AG413" s="109"/>
      <c r="AH413" s="108"/>
      <c r="AI413" s="100"/>
      <c r="AJ413" s="110"/>
      <c r="AK413" s="110"/>
      <c r="AL413" s="100"/>
      <c r="AM413" s="100"/>
      <c r="AN413" s="110"/>
      <c r="AO413" s="100"/>
      <c r="AP413" s="100"/>
      <c r="AQ413" s="110"/>
      <c r="AR413" s="100"/>
      <c r="AS413" s="111"/>
      <c r="AT413" s="111"/>
    </row>
    <row r="414" spans="1:46" ht="17" thickBot="1">
      <c r="A414" s="85" t="s">
        <v>4</v>
      </c>
      <c r="B414" s="250">
        <f>SUM(J414+K414+L414+M414+N414+S414+V414+W414+X414+AA414+AI414+AJ414+AI414+AM414+AP414+AQ414+AS414+AT414+AU414+AV414)</f>
        <v>0</v>
      </c>
      <c r="C414" s="217">
        <f t="shared" si="69"/>
        <v>0</v>
      </c>
      <c r="D414" s="144"/>
      <c r="E414" s="145"/>
      <c r="F414" s="146"/>
      <c r="G414" s="147"/>
      <c r="H414" s="130"/>
      <c r="I414" s="96"/>
      <c r="J414" s="104"/>
      <c r="K414" s="75"/>
      <c r="L414" s="75"/>
      <c r="M414" s="75"/>
      <c r="N414" s="104"/>
      <c r="O414" s="109"/>
      <c r="P414" s="108"/>
      <c r="Q414" s="109"/>
      <c r="R414" s="109"/>
      <c r="S414" s="100"/>
      <c r="T414" s="110"/>
      <c r="U414" s="110"/>
      <c r="V414" s="100"/>
      <c r="W414" s="100"/>
      <c r="X414" s="100"/>
      <c r="Y414" s="110"/>
      <c r="Z414" s="110"/>
      <c r="AA414" s="100"/>
      <c r="AB414" s="109"/>
      <c r="AC414" s="108"/>
      <c r="AD414" s="109"/>
      <c r="AE414" s="109">
        <v>5</v>
      </c>
      <c r="AF414" s="109"/>
      <c r="AG414" s="109"/>
      <c r="AH414" s="108"/>
      <c r="AI414" s="100"/>
      <c r="AJ414" s="110"/>
      <c r="AK414" s="110"/>
      <c r="AL414" s="100"/>
      <c r="AM414" s="100"/>
      <c r="AN414" s="110"/>
      <c r="AO414" s="100"/>
      <c r="AP414" s="100"/>
      <c r="AQ414" s="110"/>
      <c r="AR414" s="100"/>
      <c r="AS414" s="111"/>
      <c r="AT414" s="111"/>
    </row>
    <row r="415" spans="1:46" ht="21.1">
      <c r="A415" s="82" t="s">
        <v>326</v>
      </c>
      <c r="B415" s="247"/>
      <c r="C415" s="214"/>
      <c r="D415" s="133"/>
      <c r="E415" s="134"/>
      <c r="F415" s="135"/>
      <c r="G415" s="136"/>
      <c r="H415" s="107"/>
      <c r="I415" s="124"/>
      <c r="J415" s="123"/>
      <c r="K415" s="122"/>
      <c r="L415" s="122"/>
      <c r="M415" s="122"/>
      <c r="N415" s="123"/>
      <c r="O415" s="99" t="s">
        <v>382</v>
      </c>
      <c r="P415" s="98"/>
      <c r="Q415" s="99">
        <v>7</v>
      </c>
      <c r="R415" s="99"/>
      <c r="S415" s="102" t="s">
        <v>375</v>
      </c>
      <c r="T415" s="101"/>
      <c r="U415" s="101"/>
      <c r="V415" s="102"/>
      <c r="W415" s="102" t="s">
        <v>375</v>
      </c>
      <c r="X415" s="102"/>
      <c r="Y415" s="101"/>
      <c r="Z415" s="101"/>
      <c r="AA415" s="102"/>
      <c r="AB415" s="99">
        <v>6</v>
      </c>
      <c r="AC415" s="98"/>
      <c r="AD415" s="99">
        <v>6</v>
      </c>
      <c r="AE415" s="99" t="s">
        <v>838</v>
      </c>
      <c r="AF415" s="99"/>
      <c r="AG415" s="99" t="s">
        <v>375</v>
      </c>
      <c r="AH415" s="98"/>
      <c r="AI415" s="102"/>
      <c r="AJ415" s="101"/>
      <c r="AK415" s="101"/>
      <c r="AL415" s="102"/>
      <c r="AM415" s="102"/>
      <c r="AN415" s="101"/>
      <c r="AO415" s="102"/>
      <c r="AP415" s="102"/>
      <c r="AQ415" s="101"/>
      <c r="AR415" s="102"/>
      <c r="AS415" s="103"/>
      <c r="AT415" s="103"/>
    </row>
    <row r="416" spans="1:46" ht="16.3">
      <c r="A416" s="246" t="s">
        <v>1</v>
      </c>
      <c r="B416" s="248">
        <f>SUM(J416+K416+L416+M416+N416+S416+V416+W416+X416+AA416+AI416+AJ416+AI416+AM416+AP416+AQ416+AS416+AT416+AU416+AV416+AN416)+1</f>
        <v>1</v>
      </c>
      <c r="C416" s="215">
        <f>B416</f>
        <v>1</v>
      </c>
      <c r="D416" s="133"/>
      <c r="E416" s="134"/>
      <c r="F416" s="135"/>
      <c r="G416" s="136"/>
      <c r="H416" s="107"/>
      <c r="I416" s="96"/>
      <c r="J416" s="104"/>
      <c r="K416" s="75"/>
      <c r="L416" s="75"/>
      <c r="M416" s="75"/>
      <c r="N416" s="104"/>
      <c r="O416" s="109">
        <v>1</v>
      </c>
      <c r="P416" s="108"/>
      <c r="Q416" s="109">
        <v>1</v>
      </c>
      <c r="R416" s="109"/>
      <c r="S416" s="100"/>
      <c r="T416" s="110"/>
      <c r="U416" s="110"/>
      <c r="V416" s="100"/>
      <c r="W416" s="100"/>
      <c r="X416" s="100"/>
      <c r="Y416" s="110"/>
      <c r="Z416" s="110"/>
      <c r="AA416" s="100"/>
      <c r="AB416" s="109">
        <v>1</v>
      </c>
      <c r="AC416" s="108"/>
      <c r="AD416" s="109">
        <v>1</v>
      </c>
      <c r="AE416" s="109">
        <v>1</v>
      </c>
      <c r="AF416" s="109"/>
      <c r="AG416" s="109"/>
      <c r="AH416" s="108"/>
      <c r="AI416" s="100"/>
      <c r="AJ416" s="110"/>
      <c r="AK416" s="110"/>
      <c r="AL416" s="100"/>
      <c r="AM416" s="100"/>
      <c r="AN416" s="110"/>
      <c r="AO416" s="100"/>
      <c r="AP416" s="100"/>
      <c r="AQ416" s="110"/>
      <c r="AR416" s="100"/>
      <c r="AS416" s="111"/>
      <c r="AT416" s="111"/>
    </row>
    <row r="417" spans="1:46" ht="16.3">
      <c r="A417" s="246" t="s">
        <v>2</v>
      </c>
      <c r="B417" s="248">
        <f>SUM(J417+K417+L417+M417+N417+S417+V417+W417+X417+AA417+AI417+AJ417+AI417+AM417+AP417+AQ417+AS417+AT417+AU417+AV417)+1</f>
        <v>3</v>
      </c>
      <c r="C417" s="215">
        <f t="shared" ref="C417:C421" si="70">B417</f>
        <v>3</v>
      </c>
      <c r="D417" s="133"/>
      <c r="E417" s="134"/>
      <c r="F417" s="135"/>
      <c r="G417" s="136"/>
      <c r="H417" s="107"/>
      <c r="I417" s="96"/>
      <c r="J417" s="104"/>
      <c r="K417" s="75"/>
      <c r="L417" s="75"/>
      <c r="M417" s="75"/>
      <c r="N417" s="104"/>
      <c r="O417" s="109"/>
      <c r="P417" s="108"/>
      <c r="Q417" s="109"/>
      <c r="R417" s="109"/>
      <c r="S417" s="100">
        <v>1</v>
      </c>
      <c r="T417" s="110"/>
      <c r="U417" s="110"/>
      <c r="V417" s="100"/>
      <c r="W417" s="100">
        <v>1</v>
      </c>
      <c r="X417" s="100"/>
      <c r="Y417" s="110"/>
      <c r="Z417" s="110"/>
      <c r="AA417" s="100"/>
      <c r="AB417" s="109"/>
      <c r="AC417" s="108"/>
      <c r="AD417" s="109"/>
      <c r="AE417" s="109"/>
      <c r="AF417" s="109"/>
      <c r="AG417" s="109">
        <v>1</v>
      </c>
      <c r="AH417" s="108"/>
      <c r="AI417" s="100"/>
      <c r="AJ417" s="110"/>
      <c r="AK417" s="110"/>
      <c r="AL417" s="100"/>
      <c r="AM417" s="100"/>
      <c r="AN417" s="110"/>
      <c r="AO417" s="100"/>
      <c r="AP417" s="100"/>
      <c r="AQ417" s="110"/>
      <c r="AR417" s="100"/>
      <c r="AS417" s="111"/>
      <c r="AT417" s="111"/>
    </row>
    <row r="418" spans="1:46" ht="16.3">
      <c r="A418" s="83" t="s">
        <v>363</v>
      </c>
      <c r="B418" s="247">
        <f>SUM(B416+B417)</f>
        <v>4</v>
      </c>
      <c r="C418" s="214">
        <f t="shared" si="70"/>
        <v>4</v>
      </c>
      <c r="D418" s="133"/>
      <c r="E418" s="134"/>
      <c r="F418" s="135"/>
      <c r="G418" s="136"/>
      <c r="H418" s="107"/>
      <c r="I418" s="96"/>
      <c r="J418" s="104"/>
      <c r="K418" s="75"/>
      <c r="L418" s="75"/>
      <c r="M418" s="75"/>
      <c r="N418" s="104"/>
      <c r="O418" s="109"/>
      <c r="P418" s="108"/>
      <c r="Q418" s="109"/>
      <c r="R418" s="109"/>
      <c r="S418" s="100"/>
      <c r="T418" s="110"/>
      <c r="U418" s="110"/>
      <c r="V418" s="100"/>
      <c r="W418" s="100"/>
      <c r="X418" s="100"/>
      <c r="Y418" s="110"/>
      <c r="Z418" s="110"/>
      <c r="AA418" s="100"/>
      <c r="AB418" s="109"/>
      <c r="AC418" s="108"/>
      <c r="AD418" s="109"/>
      <c r="AE418" s="109"/>
      <c r="AF418" s="109"/>
      <c r="AG418" s="109"/>
      <c r="AH418" s="108"/>
      <c r="AI418" s="100"/>
      <c r="AJ418" s="110"/>
      <c r="AK418" s="110"/>
      <c r="AL418" s="100"/>
      <c r="AM418" s="100"/>
      <c r="AN418" s="110"/>
      <c r="AO418" s="100"/>
      <c r="AP418" s="100"/>
      <c r="AQ418" s="110"/>
      <c r="AR418" s="100"/>
      <c r="AS418" s="111"/>
      <c r="AT418" s="111"/>
    </row>
    <row r="419" spans="1:46" ht="16.3">
      <c r="A419" s="246" t="s">
        <v>362</v>
      </c>
      <c r="B419" s="248">
        <f>SUM(J419+K419+L419+M419+N419+S419+V419+W419+X419+AA419+AI419+AJ419+AI419+AM419+AP419+AQ419+AS419+AT419+AU419+AV419)</f>
        <v>0</v>
      </c>
      <c r="C419" s="215">
        <f t="shared" ref="C419" si="71">B419</f>
        <v>0</v>
      </c>
      <c r="D419" s="133"/>
      <c r="E419" s="134"/>
      <c r="F419" s="135"/>
      <c r="G419" s="136"/>
      <c r="H419" s="107"/>
      <c r="I419" s="96"/>
      <c r="J419" s="104"/>
      <c r="K419" s="75"/>
      <c r="L419" s="75"/>
      <c r="M419" s="75"/>
      <c r="N419" s="104"/>
      <c r="O419" s="109"/>
      <c r="P419" s="108"/>
      <c r="Q419" s="109"/>
      <c r="R419" s="109"/>
      <c r="S419" s="100"/>
      <c r="T419" s="110"/>
      <c r="U419" s="110"/>
      <c r="V419" s="100"/>
      <c r="W419" s="100"/>
      <c r="X419" s="100"/>
      <c r="Y419" s="110"/>
      <c r="Z419" s="110"/>
      <c r="AA419" s="100"/>
      <c r="AB419" s="109"/>
      <c r="AC419" s="108"/>
      <c r="AD419" s="109"/>
      <c r="AE419" s="109">
        <v>1</v>
      </c>
      <c r="AF419" s="109"/>
      <c r="AG419" s="109"/>
      <c r="AH419" s="108"/>
      <c r="AI419" s="100"/>
      <c r="AJ419" s="110"/>
      <c r="AK419" s="110"/>
      <c r="AL419" s="100"/>
      <c r="AM419" s="100"/>
      <c r="AN419" s="110"/>
      <c r="AO419" s="100"/>
      <c r="AP419" s="100"/>
      <c r="AQ419" s="110"/>
      <c r="AR419" s="100"/>
      <c r="AS419" s="111"/>
      <c r="AT419" s="111"/>
    </row>
    <row r="420" spans="1:46" ht="16.3">
      <c r="A420" s="83" t="s">
        <v>3</v>
      </c>
      <c r="B420" s="247">
        <f>SUM(J420+K420+L420+M420+N420+S420+V420+W420+X420+AA420+AI420+AJ420+AI420+AM420+AP420+AQ420+AS420+AT420+AU420+AV420)</f>
        <v>0</v>
      </c>
      <c r="C420" s="214">
        <f t="shared" si="70"/>
        <v>0</v>
      </c>
      <c r="D420" s="133"/>
      <c r="E420" s="134"/>
      <c r="F420" s="135"/>
      <c r="G420" s="136"/>
      <c r="H420" s="107"/>
      <c r="I420" s="96"/>
      <c r="J420" s="104"/>
      <c r="K420" s="75"/>
      <c r="L420" s="75"/>
      <c r="M420" s="75"/>
      <c r="N420" s="104"/>
      <c r="O420" s="109"/>
      <c r="P420" s="108"/>
      <c r="Q420" s="109"/>
      <c r="R420" s="109"/>
      <c r="S420" s="100"/>
      <c r="T420" s="110"/>
      <c r="U420" s="110"/>
      <c r="V420" s="100"/>
      <c r="W420" s="100"/>
      <c r="X420" s="100"/>
      <c r="Y420" s="110"/>
      <c r="Z420" s="110"/>
      <c r="AA420" s="100"/>
      <c r="AB420" s="109"/>
      <c r="AC420" s="108"/>
      <c r="AD420" s="109"/>
      <c r="AE420" s="109"/>
      <c r="AF420" s="109"/>
      <c r="AG420" s="109">
        <v>1</v>
      </c>
      <c r="AH420" s="108"/>
      <c r="AI420" s="100"/>
      <c r="AJ420" s="110"/>
      <c r="AK420" s="110"/>
      <c r="AL420" s="100"/>
      <c r="AM420" s="100"/>
      <c r="AN420" s="110"/>
      <c r="AO420" s="100"/>
      <c r="AP420" s="100"/>
      <c r="AQ420" s="110"/>
      <c r="AR420" s="100"/>
      <c r="AS420" s="111"/>
      <c r="AT420" s="111"/>
    </row>
    <row r="421" spans="1:46" ht="17" thickBot="1">
      <c r="A421" s="83" t="s">
        <v>4</v>
      </c>
      <c r="B421" s="250">
        <f>SUM(J421+K421+L421+M421+N421+S421+V421+W421+X421+AA421+AI421+AJ421+AI421+AM421+AP421+AQ421+AS421+AT421+AU421+AV421)</f>
        <v>0</v>
      </c>
      <c r="C421" s="217">
        <f t="shared" si="70"/>
        <v>0</v>
      </c>
      <c r="D421" s="144"/>
      <c r="E421" s="145"/>
      <c r="F421" s="146"/>
      <c r="G421" s="147"/>
      <c r="H421" s="130"/>
      <c r="I421" s="114"/>
      <c r="J421" s="113"/>
      <c r="K421" s="112"/>
      <c r="L421" s="112"/>
      <c r="M421" s="112"/>
      <c r="N421" s="116"/>
      <c r="O421" s="114"/>
      <c r="P421" s="117"/>
      <c r="Q421" s="118"/>
      <c r="R421" s="118"/>
      <c r="S421" s="116"/>
      <c r="T421" s="120"/>
      <c r="U421" s="120"/>
      <c r="V421" s="116"/>
      <c r="W421" s="116"/>
      <c r="X421" s="116"/>
      <c r="Y421" s="120"/>
      <c r="Z421" s="120"/>
      <c r="AA421" s="116"/>
      <c r="AB421" s="118"/>
      <c r="AC421" s="117"/>
      <c r="AD421" s="118"/>
      <c r="AE421" s="118"/>
      <c r="AF421" s="118"/>
      <c r="AG421" s="118">
        <v>5</v>
      </c>
      <c r="AH421" s="117"/>
      <c r="AI421" s="116"/>
      <c r="AJ421" s="120"/>
      <c r="AK421" s="120"/>
      <c r="AL421" s="116"/>
      <c r="AM421" s="116"/>
      <c r="AN421" s="120"/>
      <c r="AO421" s="116"/>
      <c r="AP421" s="116"/>
      <c r="AQ421" s="120"/>
      <c r="AR421" s="116"/>
      <c r="AS421" s="121"/>
      <c r="AT421" s="121"/>
    </row>
    <row r="422" spans="1:46" ht="21.1">
      <c r="A422" s="86" t="s">
        <v>647</v>
      </c>
      <c r="B422" s="247"/>
      <c r="C422" s="214"/>
      <c r="D422" s="133"/>
      <c r="E422" s="134"/>
      <c r="F422" s="135"/>
      <c r="G422" s="136"/>
      <c r="H422" s="107"/>
      <c r="I422" s="96" t="s">
        <v>648</v>
      </c>
      <c r="J422" s="104" t="s">
        <v>374</v>
      </c>
      <c r="K422" s="75" t="s">
        <v>721</v>
      </c>
      <c r="L422" s="75" t="s">
        <v>721</v>
      </c>
      <c r="M422" s="75" t="s">
        <v>721</v>
      </c>
      <c r="N422" s="104" t="s">
        <v>375</v>
      </c>
      <c r="O422" s="109"/>
      <c r="P422" s="108"/>
      <c r="Q422" s="109"/>
      <c r="R422" s="109" t="s">
        <v>375</v>
      </c>
      <c r="S422" s="100">
        <v>8</v>
      </c>
      <c r="T422" s="110" t="s">
        <v>374</v>
      </c>
      <c r="U422" s="110"/>
      <c r="V422" s="100" t="s">
        <v>375</v>
      </c>
      <c r="W422" s="100" t="s">
        <v>440</v>
      </c>
      <c r="X422" s="100">
        <v>8</v>
      </c>
      <c r="Y422" s="110" t="s">
        <v>941</v>
      </c>
      <c r="Z422" s="110" t="s">
        <v>375</v>
      </c>
      <c r="AA422" s="100" t="s">
        <v>912</v>
      </c>
      <c r="AB422" s="109"/>
      <c r="AC422" s="108"/>
      <c r="AD422" s="109"/>
      <c r="AE422" s="109"/>
      <c r="AF422" s="109" t="s">
        <v>1033</v>
      </c>
      <c r="AG422" s="109" t="s">
        <v>721</v>
      </c>
      <c r="AH422" s="108"/>
      <c r="AI422" s="100"/>
      <c r="AJ422" s="110"/>
      <c r="AK422" s="110"/>
      <c r="AL422" s="100"/>
      <c r="AM422" s="100"/>
      <c r="AN422" s="110"/>
      <c r="AO422" s="100"/>
      <c r="AP422" s="100"/>
      <c r="AQ422" s="110"/>
      <c r="AR422" s="100"/>
      <c r="AS422" s="111"/>
      <c r="AT422" s="111"/>
    </row>
    <row r="423" spans="1:46" ht="16.3">
      <c r="A423" s="246" t="s">
        <v>1</v>
      </c>
      <c r="B423" s="248">
        <f>SUM(J423+K423+L423+M423+N423+S423+V423+W423+X423+AA423+AI423+AJ423+AI423+AM423+AP423+AQ423+AS423+AT423+AU423+AV423+AN423)</f>
        <v>8</v>
      </c>
      <c r="C423" s="215">
        <f>SUM(J423+K423+L423+M423+N423+S423+W423+X423+V423+AA423+AJ423+AI423+AJ423+AN423+AQ423+AM423+AT423+AU423+AV423+AW423+AP423+AS423)+100</f>
        <v>108</v>
      </c>
      <c r="D423" s="133"/>
      <c r="E423" s="134"/>
      <c r="F423" s="135"/>
      <c r="G423" s="136"/>
      <c r="H423" s="107"/>
      <c r="I423" s="96">
        <v>1</v>
      </c>
      <c r="J423" s="104">
        <v>1</v>
      </c>
      <c r="K423" s="75">
        <v>1</v>
      </c>
      <c r="L423" s="75">
        <v>1</v>
      </c>
      <c r="M423" s="75">
        <v>1</v>
      </c>
      <c r="N423" s="104"/>
      <c r="O423" s="109"/>
      <c r="P423" s="108"/>
      <c r="Q423" s="109"/>
      <c r="R423" s="109"/>
      <c r="S423" s="100">
        <v>1</v>
      </c>
      <c r="T423" s="110">
        <v>1</v>
      </c>
      <c r="U423" s="110"/>
      <c r="V423" s="100"/>
      <c r="W423" s="100">
        <v>1</v>
      </c>
      <c r="X423" s="100">
        <v>1</v>
      </c>
      <c r="Y423" s="110">
        <v>1</v>
      </c>
      <c r="Z423" s="110"/>
      <c r="AA423" s="100">
        <v>1</v>
      </c>
      <c r="AB423" s="109"/>
      <c r="AC423" s="108"/>
      <c r="AD423" s="109"/>
      <c r="AE423" s="109"/>
      <c r="AF423" s="109">
        <v>1</v>
      </c>
      <c r="AG423" s="109">
        <v>1</v>
      </c>
      <c r="AH423" s="108"/>
      <c r="AI423" s="100"/>
      <c r="AJ423" s="110"/>
      <c r="AK423" s="110"/>
      <c r="AL423" s="100"/>
      <c r="AM423" s="100"/>
      <c r="AN423" s="110"/>
      <c r="AO423" s="100"/>
      <c r="AP423" s="100"/>
      <c r="AQ423" s="110"/>
      <c r="AR423" s="100"/>
      <c r="AS423" s="111"/>
      <c r="AT423" s="111"/>
    </row>
    <row r="424" spans="1:46" ht="16.3">
      <c r="A424" s="246" t="s">
        <v>2</v>
      </c>
      <c r="B424" s="248">
        <f>SUM(J424+K424+L424+M424+N424+S424+V424+W424+X424+AA424+AI424+AJ424+AI424+AM424+AP424+AQ424+AS424+AT424+AU424+AV424)</f>
        <v>2</v>
      </c>
      <c r="C424" s="215">
        <f>SUM(J424+K424+L424+M424+N424+S424+W424+X424+V424+AA424+AJ424+AI424+AJ424+AN424+AQ424+AM424+AT424+AU424+AV424+AW424+AP424+AS424)+16</f>
        <v>18</v>
      </c>
      <c r="D424" s="133"/>
      <c r="E424" s="134"/>
      <c r="F424" s="135"/>
      <c r="G424" s="136"/>
      <c r="H424" s="107"/>
      <c r="I424" s="96"/>
      <c r="J424" s="104"/>
      <c r="K424" s="75"/>
      <c r="L424" s="75"/>
      <c r="M424" s="75"/>
      <c r="N424" s="104">
        <v>1</v>
      </c>
      <c r="O424" s="109"/>
      <c r="P424" s="108"/>
      <c r="Q424" s="109"/>
      <c r="R424" s="109">
        <v>1</v>
      </c>
      <c r="S424" s="100"/>
      <c r="T424" s="110"/>
      <c r="U424" s="110"/>
      <c r="V424" s="100">
        <v>1</v>
      </c>
      <c r="W424" s="100"/>
      <c r="X424" s="100"/>
      <c r="Y424" s="110"/>
      <c r="Z424" s="110">
        <v>1</v>
      </c>
      <c r="AA424" s="100"/>
      <c r="AB424" s="109"/>
      <c r="AC424" s="108"/>
      <c r="AD424" s="109"/>
      <c r="AE424" s="109"/>
      <c r="AF424" s="109"/>
      <c r="AG424" s="109"/>
      <c r="AH424" s="108"/>
      <c r="AI424" s="100"/>
      <c r="AJ424" s="110"/>
      <c r="AK424" s="110"/>
      <c r="AL424" s="100"/>
      <c r="AM424" s="100"/>
      <c r="AN424" s="110"/>
      <c r="AO424" s="100"/>
      <c r="AP424" s="100"/>
      <c r="AQ424" s="110"/>
      <c r="AR424" s="100"/>
      <c r="AS424" s="111"/>
      <c r="AT424" s="111"/>
    </row>
    <row r="425" spans="1:46" ht="16.3">
      <c r="A425" s="83" t="s">
        <v>363</v>
      </c>
      <c r="B425" s="247">
        <f>SUM(B423+B424)</f>
        <v>10</v>
      </c>
      <c r="C425" s="214">
        <f>SUM(C423+C424)</f>
        <v>126</v>
      </c>
      <c r="D425" s="133"/>
      <c r="E425" s="134"/>
      <c r="F425" s="135"/>
      <c r="G425" s="136"/>
      <c r="H425" s="107"/>
      <c r="I425" s="96"/>
      <c r="J425" s="104"/>
      <c r="K425" s="75"/>
      <c r="L425" s="75"/>
      <c r="M425" s="75"/>
      <c r="N425" s="104"/>
      <c r="O425" s="109"/>
      <c r="P425" s="108"/>
      <c r="Q425" s="109"/>
      <c r="R425" s="109"/>
      <c r="S425" s="100"/>
      <c r="T425" s="110"/>
      <c r="U425" s="110"/>
      <c r="V425" s="100"/>
      <c r="W425" s="100"/>
      <c r="X425" s="100"/>
      <c r="Y425" s="110"/>
      <c r="Z425" s="110"/>
      <c r="AA425" s="100"/>
      <c r="AB425" s="109"/>
      <c r="AC425" s="108"/>
      <c r="AD425" s="109"/>
      <c r="AE425" s="109"/>
      <c r="AF425" s="109"/>
      <c r="AG425" s="109"/>
      <c r="AH425" s="108"/>
      <c r="AI425" s="100"/>
      <c r="AJ425" s="110"/>
      <c r="AK425" s="110"/>
      <c r="AL425" s="100"/>
      <c r="AM425" s="100"/>
      <c r="AN425" s="110"/>
      <c r="AO425" s="100"/>
      <c r="AP425" s="100"/>
      <c r="AQ425" s="110"/>
      <c r="AR425" s="100"/>
      <c r="AS425" s="111"/>
      <c r="AT425" s="111"/>
    </row>
    <row r="426" spans="1:46" ht="16.3">
      <c r="A426" s="246" t="s">
        <v>366</v>
      </c>
      <c r="B426" s="248">
        <f>SUM(J426+K426+L426+M426+N426+S426+V426+W426+X426+AA426+AI426+AJ426+AI426+AM426+AP426+AQ426+AS426+AT426+AU426+AV426)</f>
        <v>4</v>
      </c>
      <c r="C426" s="215">
        <f>SUM(J426+K426+L426+M426+N426+S426+W426+X426+V426+AA426+AJ426+AI426+AJ426+AN426+AQ426+AM426+AT426+AU426+AV426+AW426+AP426+AS426)+43</f>
        <v>47</v>
      </c>
      <c r="D426" s="133"/>
      <c r="E426" s="134"/>
      <c r="F426" s="135"/>
      <c r="G426" s="136"/>
      <c r="H426" s="107"/>
      <c r="I426" s="96">
        <v>1</v>
      </c>
      <c r="J426" s="104"/>
      <c r="K426" s="75">
        <v>1</v>
      </c>
      <c r="L426" s="75">
        <v>1</v>
      </c>
      <c r="M426" s="75">
        <v>1</v>
      </c>
      <c r="N426" s="104"/>
      <c r="O426" s="109"/>
      <c r="P426" s="108"/>
      <c r="Q426" s="109"/>
      <c r="R426" s="109"/>
      <c r="S426" s="100"/>
      <c r="T426" s="110"/>
      <c r="U426" s="110"/>
      <c r="V426" s="100"/>
      <c r="W426" s="100">
        <v>1</v>
      </c>
      <c r="X426" s="100"/>
      <c r="Y426" s="110">
        <v>1</v>
      </c>
      <c r="Z426" s="110"/>
      <c r="AA426" s="100"/>
      <c r="AB426" s="109"/>
      <c r="AC426" s="108"/>
      <c r="AD426" s="109"/>
      <c r="AE426" s="109"/>
      <c r="AF426" s="109">
        <v>1</v>
      </c>
      <c r="AG426" s="109">
        <v>1</v>
      </c>
      <c r="AH426" s="108"/>
      <c r="AI426" s="100"/>
      <c r="AJ426" s="110"/>
      <c r="AK426" s="110"/>
      <c r="AL426" s="100"/>
      <c r="AM426" s="100"/>
      <c r="AN426" s="110"/>
      <c r="AO426" s="100"/>
      <c r="AP426" s="100"/>
      <c r="AQ426" s="110"/>
      <c r="AR426" s="100"/>
      <c r="AS426" s="111"/>
      <c r="AT426" s="111"/>
    </row>
    <row r="427" spans="1:46" ht="16.3">
      <c r="A427" s="246" t="s">
        <v>362</v>
      </c>
      <c r="B427" s="248">
        <f>SUM(J427+K427+L427+M427+N427+S427+V427+W427+X427+AA427+AI427+AJ427+AI427+AM427+AP427+AQ427+AS427+AT427+AU427+AV427)</f>
        <v>0</v>
      </c>
      <c r="C427" s="215">
        <f>SUM(J427+K427+L427+M427+N427+S427+W427+X427+V427+AA427+AJ427+AI427+AJ427+AN427+AQ427+AM427+AT427+AU427+AV427+AW427+AP427+AS427)+8</f>
        <v>8</v>
      </c>
      <c r="D427" s="133"/>
      <c r="E427" s="134"/>
      <c r="F427" s="135"/>
      <c r="G427" s="136"/>
      <c r="H427" s="107"/>
      <c r="I427" s="96"/>
      <c r="J427" s="104"/>
      <c r="K427" s="75"/>
      <c r="L427" s="75"/>
      <c r="M427" s="75"/>
      <c r="N427" s="104"/>
      <c r="O427" s="109"/>
      <c r="P427" s="108"/>
      <c r="Q427" s="109"/>
      <c r="R427" s="109"/>
      <c r="S427" s="100"/>
      <c r="T427" s="110"/>
      <c r="U427" s="110"/>
      <c r="V427" s="100"/>
      <c r="W427" s="100"/>
      <c r="X427" s="100"/>
      <c r="Y427" s="110"/>
      <c r="Z427" s="110"/>
      <c r="AA427" s="100"/>
      <c r="AB427" s="109"/>
      <c r="AC427" s="108"/>
      <c r="AD427" s="109"/>
      <c r="AE427" s="109"/>
      <c r="AF427" s="109"/>
      <c r="AG427" s="109"/>
      <c r="AH427" s="108"/>
      <c r="AI427" s="100"/>
      <c r="AJ427" s="110"/>
      <c r="AK427" s="110"/>
      <c r="AL427" s="100"/>
      <c r="AM427" s="100"/>
      <c r="AN427" s="110"/>
      <c r="AO427" s="100"/>
      <c r="AP427" s="100"/>
      <c r="AQ427" s="110"/>
      <c r="AR427" s="100"/>
      <c r="AS427" s="111"/>
      <c r="AT427" s="111"/>
    </row>
    <row r="428" spans="1:46" ht="16.3">
      <c r="A428" s="246" t="s">
        <v>364</v>
      </c>
      <c r="B428" s="248">
        <f>SUM(J428+K428+L428+M428+N428+S428+V428+W428+X428+AA428+AI428+AJ428+AI428+AM428+AP428+AQ428+AS428+AT428+AU428+AV428)</f>
        <v>0</v>
      </c>
      <c r="C428" s="215">
        <f>SUM(J428+K428+L428+M428+N428+S428+W428+X428+V428+AA428+AJ428+AI428+AJ428+AN428+AQ428+AM428+AT428+AU428+AV428+AW428+AP428+AS428)+1</f>
        <v>1</v>
      </c>
      <c r="D428" s="133"/>
      <c r="E428" s="134"/>
      <c r="F428" s="135"/>
      <c r="G428" s="136"/>
      <c r="H428" s="107"/>
      <c r="I428" s="96"/>
      <c r="J428" s="104"/>
      <c r="K428" s="75"/>
      <c r="L428" s="75"/>
      <c r="M428" s="75"/>
      <c r="N428" s="104"/>
      <c r="O428" s="109"/>
      <c r="P428" s="108"/>
      <c r="Q428" s="109"/>
      <c r="R428" s="109"/>
      <c r="S428" s="100"/>
      <c r="T428" s="110"/>
      <c r="U428" s="110"/>
      <c r="V428" s="100"/>
      <c r="W428" s="100"/>
      <c r="X428" s="100"/>
      <c r="Y428" s="110"/>
      <c r="Z428" s="110"/>
      <c r="AA428" s="100"/>
      <c r="AB428" s="109"/>
      <c r="AC428" s="108"/>
      <c r="AD428" s="109"/>
      <c r="AE428" s="109"/>
      <c r="AF428" s="109"/>
      <c r="AG428" s="109"/>
      <c r="AH428" s="108"/>
      <c r="AI428" s="100"/>
      <c r="AJ428" s="110"/>
      <c r="AK428" s="110"/>
      <c r="AL428" s="100"/>
      <c r="AM428" s="100"/>
      <c r="AN428" s="110"/>
      <c r="AO428" s="100"/>
      <c r="AP428" s="100"/>
      <c r="AQ428" s="110"/>
      <c r="AR428" s="100"/>
      <c r="AS428" s="111"/>
      <c r="AT428" s="111"/>
    </row>
    <row r="429" spans="1:46" ht="16.3">
      <c r="A429" s="83" t="s">
        <v>3</v>
      </c>
      <c r="B429" s="247">
        <f>SUM(J429+K429+L429+M429+N429+S429+V429+W429+X429+AA429+AI429+AJ429+AI429+AM429+AP429+AQ429+AS429+AT429+AU429+AV429)</f>
        <v>0</v>
      </c>
      <c r="C429" s="214">
        <f>SUM(J429+K429+L429+M429+N429+S429+W429+X429+V429+AA429+AJ429+AI429+AJ429+AN429+AQ429+AM429+AT429+AU429+AV429+AW429+AP429+AS429)+16</f>
        <v>16</v>
      </c>
      <c r="D429" s="133"/>
      <c r="E429" s="134"/>
      <c r="F429" s="135"/>
      <c r="G429" s="136"/>
      <c r="H429" s="107"/>
      <c r="I429" s="168">
        <v>3</v>
      </c>
      <c r="J429" s="104"/>
      <c r="K429" s="75"/>
      <c r="L429" s="75"/>
      <c r="M429" s="75"/>
      <c r="N429" s="104"/>
      <c r="O429" s="109"/>
      <c r="P429" s="108"/>
      <c r="Q429" s="109"/>
      <c r="R429" s="109"/>
      <c r="S429" s="100"/>
      <c r="T429" s="110"/>
      <c r="U429" s="110"/>
      <c r="V429" s="100"/>
      <c r="W429" s="100"/>
      <c r="X429" s="100"/>
      <c r="Y429" s="110"/>
      <c r="Z429" s="110">
        <v>1</v>
      </c>
      <c r="AA429" s="100"/>
      <c r="AB429" s="109"/>
      <c r="AC429" s="108"/>
      <c r="AD429" s="109"/>
      <c r="AE429" s="109"/>
      <c r="AF429" s="109"/>
      <c r="AG429" s="109"/>
      <c r="AH429" s="108"/>
      <c r="AI429" s="100"/>
      <c r="AJ429" s="110"/>
      <c r="AK429" s="110"/>
      <c r="AL429" s="100"/>
      <c r="AM429" s="100"/>
      <c r="AN429" s="110"/>
      <c r="AO429" s="100"/>
      <c r="AP429" s="100"/>
      <c r="AQ429" s="110"/>
      <c r="AR429" s="100"/>
      <c r="AS429" s="111"/>
      <c r="AT429" s="111"/>
    </row>
    <row r="430" spans="1:46" ht="17" thickBot="1">
      <c r="A430" s="83" t="s">
        <v>4</v>
      </c>
      <c r="B430" s="250">
        <f>SUM(J430+K430+L430+M430+N430+S430+V430+W430+X430+AA430+AI430+AJ430+AI430+AM430+AP430+AQ430+AS430+AT430+AU430+AV430)</f>
        <v>0</v>
      </c>
      <c r="C430" s="217">
        <f>SUM(J430+K430+L430+M430+N430+S430+W430+X430+V430+AA430+AJ430+AI430+AJ430+AN430+AQ430+AM430+AT430+AU430+AV430+AW430+AP430+AS430)+80</f>
        <v>80</v>
      </c>
      <c r="D430" s="144"/>
      <c r="E430" s="145"/>
      <c r="F430" s="146"/>
      <c r="G430" s="147"/>
      <c r="H430" s="107"/>
      <c r="I430" s="96">
        <v>15</v>
      </c>
      <c r="J430" s="104"/>
      <c r="K430" s="75"/>
      <c r="L430" s="75"/>
      <c r="M430" s="75"/>
      <c r="N430" s="104"/>
      <c r="O430" s="109"/>
      <c r="P430" s="108"/>
      <c r="Q430" s="109"/>
      <c r="R430" s="109"/>
      <c r="S430" s="100"/>
      <c r="T430" s="110"/>
      <c r="U430" s="110"/>
      <c r="V430" s="100"/>
      <c r="W430" s="100"/>
      <c r="X430" s="100"/>
      <c r="Y430" s="110"/>
      <c r="Z430" s="110">
        <v>5</v>
      </c>
      <c r="AA430" s="100"/>
      <c r="AB430" s="109"/>
      <c r="AC430" s="108"/>
      <c r="AD430" s="114"/>
      <c r="AE430" s="114"/>
      <c r="AF430" s="109"/>
      <c r="AG430" s="109"/>
      <c r="AH430" s="108"/>
      <c r="AI430" s="100"/>
      <c r="AJ430" s="110"/>
      <c r="AK430" s="110"/>
      <c r="AL430" s="100"/>
      <c r="AM430" s="100"/>
      <c r="AN430" s="110"/>
      <c r="AO430" s="100"/>
      <c r="AP430" s="100"/>
      <c r="AQ430" s="110"/>
      <c r="AR430" s="100"/>
      <c r="AS430" s="111"/>
      <c r="AT430" s="111"/>
    </row>
    <row r="431" spans="1:46" ht="21.1">
      <c r="A431" s="86" t="s">
        <v>332</v>
      </c>
      <c r="B431" s="252"/>
      <c r="C431" s="227"/>
      <c r="D431" s="158"/>
      <c r="E431" s="158"/>
      <c r="F431" s="96"/>
      <c r="G431" s="75"/>
      <c r="H431" s="131"/>
      <c r="I431" s="124"/>
      <c r="J431" s="123"/>
      <c r="K431" s="122"/>
      <c r="L431" s="122"/>
      <c r="M431" s="122"/>
      <c r="N431" s="123"/>
      <c r="O431" s="99" t="s">
        <v>432</v>
      </c>
      <c r="P431" s="98"/>
      <c r="Q431" s="99" t="s">
        <v>375</v>
      </c>
      <c r="R431" s="99"/>
      <c r="S431" s="102"/>
      <c r="T431" s="181"/>
      <c r="U431" s="101"/>
      <c r="V431" s="102"/>
      <c r="W431" s="102"/>
      <c r="X431" s="102"/>
      <c r="Y431" s="101"/>
      <c r="Z431" s="101"/>
      <c r="AA431" s="102"/>
      <c r="AB431" s="99"/>
      <c r="AC431" s="98"/>
      <c r="AD431" s="109" t="s">
        <v>984</v>
      </c>
      <c r="AE431" s="109" t="s">
        <v>984</v>
      </c>
      <c r="AF431" s="99"/>
      <c r="AG431" s="109" t="s">
        <v>984</v>
      </c>
      <c r="AH431" s="98"/>
      <c r="AI431" s="102"/>
      <c r="AJ431" s="101"/>
      <c r="AK431" s="101"/>
      <c r="AL431" s="102"/>
      <c r="AM431" s="102"/>
      <c r="AN431" s="101"/>
      <c r="AO431" s="102"/>
      <c r="AP431" s="102"/>
      <c r="AQ431" s="101"/>
      <c r="AR431" s="102"/>
      <c r="AS431" s="103"/>
      <c r="AT431" s="103"/>
    </row>
    <row r="432" spans="1:46" ht="16.3">
      <c r="A432" s="246" t="s">
        <v>1</v>
      </c>
      <c r="B432" s="254">
        <f>SUM(J432+K432+L432+M432+N432+S432+V432+W432+X432+AA432+AI432+AJ432+AI432+AM432+AP432+AQ432+AS432+AT432+AU432+AV432+AN432)</f>
        <v>0</v>
      </c>
      <c r="C432" s="231">
        <f>B432</f>
        <v>0</v>
      </c>
      <c r="D432" s="159"/>
      <c r="E432" s="158"/>
      <c r="F432" s="96"/>
      <c r="G432" s="75"/>
      <c r="H432" s="107"/>
      <c r="I432" s="96"/>
      <c r="J432" s="104"/>
      <c r="K432" s="75"/>
      <c r="L432" s="75"/>
      <c r="M432" s="75"/>
      <c r="N432" s="104"/>
      <c r="O432" s="109"/>
      <c r="P432" s="108"/>
      <c r="Q432" s="109"/>
      <c r="R432" s="109"/>
      <c r="S432" s="100"/>
      <c r="T432" s="110"/>
      <c r="U432" s="110"/>
      <c r="V432" s="100"/>
      <c r="W432" s="100"/>
      <c r="X432" s="100"/>
      <c r="Y432" s="110"/>
      <c r="Z432" s="110"/>
      <c r="AA432" s="100"/>
      <c r="AB432" s="109"/>
      <c r="AC432" s="108"/>
      <c r="AD432" s="109"/>
      <c r="AE432" s="109"/>
      <c r="AF432" s="109"/>
      <c r="AG432" s="109"/>
      <c r="AH432" s="108"/>
      <c r="AI432" s="100"/>
      <c r="AJ432" s="110"/>
      <c r="AK432" s="110"/>
      <c r="AL432" s="100"/>
      <c r="AM432" s="100"/>
      <c r="AN432" s="110"/>
      <c r="AO432" s="100"/>
      <c r="AP432" s="100"/>
      <c r="AQ432" s="110"/>
      <c r="AR432" s="100"/>
      <c r="AS432" s="111"/>
      <c r="AT432" s="111"/>
    </row>
    <row r="433" spans="1:46" ht="16.3">
      <c r="A433" s="246" t="s">
        <v>2</v>
      </c>
      <c r="B433" s="254">
        <f>SUM(J433+K433+L433+M433+N433+S433+V433+W433+X433+AA433+AI433+AJ433+AI433+AM433+AP433+AQ433+AS433+AT433+AU433+AV433)</f>
        <v>0</v>
      </c>
      <c r="C433" s="231">
        <f t="shared" ref="C433:C436" si="72">B433</f>
        <v>0</v>
      </c>
      <c r="D433" s="159"/>
      <c r="E433" s="158"/>
      <c r="F433" s="96"/>
      <c r="G433" s="75"/>
      <c r="H433" s="107"/>
      <c r="I433" s="96"/>
      <c r="J433" s="104"/>
      <c r="K433" s="75"/>
      <c r="L433" s="75"/>
      <c r="M433" s="75"/>
      <c r="N433" s="104"/>
      <c r="O433" s="109">
        <v>1</v>
      </c>
      <c r="P433" s="108"/>
      <c r="Q433" s="109">
        <v>1</v>
      </c>
      <c r="R433" s="109"/>
      <c r="S433" s="100"/>
      <c r="T433" s="110"/>
      <c r="U433" s="110"/>
      <c r="V433" s="100"/>
      <c r="W433" s="100"/>
      <c r="X433" s="100"/>
      <c r="Y433" s="110"/>
      <c r="Z433" s="110"/>
      <c r="AA433" s="100"/>
      <c r="AB433" s="109"/>
      <c r="AC433" s="108"/>
      <c r="AD433" s="109"/>
      <c r="AE433" s="109"/>
      <c r="AF433" s="109"/>
      <c r="AG433" s="109"/>
      <c r="AH433" s="108"/>
      <c r="AI433" s="100"/>
      <c r="AJ433" s="110"/>
      <c r="AK433" s="110"/>
      <c r="AL433" s="100"/>
      <c r="AM433" s="100"/>
      <c r="AN433" s="110"/>
      <c r="AO433" s="100"/>
      <c r="AP433" s="100"/>
      <c r="AQ433" s="110"/>
      <c r="AR433" s="100"/>
      <c r="AS433" s="111"/>
      <c r="AT433" s="111"/>
    </row>
    <row r="434" spans="1:46" ht="16.3">
      <c r="A434" s="83" t="s">
        <v>363</v>
      </c>
      <c r="B434" s="252">
        <f>SUM(B432+B433)</f>
        <v>0</v>
      </c>
      <c r="C434" s="227">
        <f t="shared" si="72"/>
        <v>0</v>
      </c>
      <c r="D434" s="159"/>
      <c r="E434" s="158"/>
      <c r="F434" s="96"/>
      <c r="G434" s="75"/>
      <c r="H434" s="107"/>
      <c r="I434" s="96"/>
      <c r="J434" s="104"/>
      <c r="K434" s="75"/>
      <c r="L434" s="75"/>
      <c r="M434" s="75"/>
      <c r="N434" s="104"/>
      <c r="O434" s="109"/>
      <c r="P434" s="108"/>
      <c r="Q434" s="109"/>
      <c r="R434" s="109"/>
      <c r="S434" s="100"/>
      <c r="T434" s="110"/>
      <c r="U434" s="110"/>
      <c r="V434" s="100"/>
      <c r="W434" s="100"/>
      <c r="X434" s="100"/>
      <c r="Y434" s="110"/>
      <c r="Z434" s="110"/>
      <c r="AA434" s="100"/>
      <c r="AB434" s="109"/>
      <c r="AC434" s="108"/>
      <c r="AD434" s="109"/>
      <c r="AE434" s="109"/>
      <c r="AF434" s="109"/>
      <c r="AG434" s="109"/>
      <c r="AH434" s="108"/>
      <c r="AI434" s="100"/>
      <c r="AJ434" s="110"/>
      <c r="AK434" s="110"/>
      <c r="AL434" s="100"/>
      <c r="AM434" s="100"/>
      <c r="AN434" s="110"/>
      <c r="AO434" s="100"/>
      <c r="AP434" s="100"/>
      <c r="AQ434" s="110"/>
      <c r="AR434" s="100"/>
      <c r="AS434" s="111"/>
      <c r="AT434" s="111"/>
    </row>
    <row r="435" spans="1:46" ht="16.3">
      <c r="A435" s="83" t="s">
        <v>3</v>
      </c>
      <c r="B435" s="252">
        <f>SUM(J435+K435+L435+M435+N435+S435+V435+W435+X435+AA435+AI435+AJ435+AI435+AM435+AP435+AQ435+AS435+AT435+AU435+AV435)</f>
        <v>0</v>
      </c>
      <c r="C435" s="227">
        <f t="shared" si="72"/>
        <v>0</v>
      </c>
      <c r="D435" s="159"/>
      <c r="E435" s="158"/>
      <c r="F435" s="96"/>
      <c r="G435" s="75"/>
      <c r="H435" s="107"/>
      <c r="I435" s="96"/>
      <c r="J435" s="104"/>
      <c r="K435" s="75"/>
      <c r="L435" s="75"/>
      <c r="M435" s="75"/>
      <c r="N435" s="104"/>
      <c r="O435" s="109"/>
      <c r="P435" s="108"/>
      <c r="Q435" s="109"/>
      <c r="R435" s="109"/>
      <c r="S435" s="100"/>
      <c r="T435" s="110"/>
      <c r="U435" s="110"/>
      <c r="V435" s="100"/>
      <c r="W435" s="100"/>
      <c r="X435" s="100"/>
      <c r="Y435" s="110"/>
      <c r="Z435" s="110"/>
      <c r="AA435" s="100"/>
      <c r="AB435" s="109"/>
      <c r="AC435" s="108"/>
      <c r="AD435" s="109"/>
      <c r="AE435" s="109"/>
      <c r="AF435" s="109"/>
      <c r="AG435" s="109"/>
      <c r="AH435" s="108"/>
      <c r="AI435" s="100"/>
      <c r="AJ435" s="110"/>
      <c r="AK435" s="110"/>
      <c r="AL435" s="100"/>
      <c r="AM435" s="100"/>
      <c r="AN435" s="110"/>
      <c r="AO435" s="100"/>
      <c r="AP435" s="100"/>
      <c r="AQ435" s="110"/>
      <c r="AR435" s="100"/>
      <c r="AS435" s="111"/>
      <c r="AT435" s="111"/>
    </row>
    <row r="436" spans="1:46" ht="17" thickBot="1">
      <c r="A436" s="85" t="s">
        <v>4</v>
      </c>
      <c r="B436" s="253">
        <f>SUM(J436+K436+L436+M436+N436+S436+V436+W436+X436+AA436+AI436+AJ436+AI436+AM436+AP436+AQ436+AS436+AT436+AU436+AV436)</f>
        <v>0</v>
      </c>
      <c r="C436" s="228">
        <f t="shared" si="72"/>
        <v>0</v>
      </c>
      <c r="D436" s="160"/>
      <c r="E436" s="161"/>
      <c r="F436" s="114"/>
      <c r="G436" s="112"/>
      <c r="H436" s="130"/>
      <c r="I436" s="114"/>
      <c r="J436" s="113"/>
      <c r="K436" s="112"/>
      <c r="L436" s="112"/>
      <c r="M436" s="112"/>
      <c r="N436" s="113"/>
      <c r="O436" s="118"/>
      <c r="P436" s="127"/>
      <c r="Q436" s="118"/>
      <c r="R436" s="118"/>
      <c r="S436" s="116"/>
      <c r="T436" s="120"/>
      <c r="U436" s="120"/>
      <c r="V436" s="112"/>
      <c r="W436" s="100"/>
      <c r="X436" s="100"/>
      <c r="Y436" s="110"/>
      <c r="Z436" s="110"/>
      <c r="AA436" s="100"/>
      <c r="AB436" s="109"/>
      <c r="AC436" s="108"/>
      <c r="AD436" s="109"/>
      <c r="AE436" s="109"/>
      <c r="AF436" s="109"/>
      <c r="AG436" s="109"/>
      <c r="AH436" s="108"/>
      <c r="AI436" s="100"/>
      <c r="AJ436" s="110"/>
      <c r="AK436" s="110"/>
      <c r="AL436" s="100"/>
      <c r="AM436" s="100"/>
      <c r="AN436" s="110"/>
      <c r="AO436" s="100"/>
      <c r="AP436" s="100"/>
      <c r="AQ436" s="110"/>
      <c r="AR436" s="100"/>
      <c r="AS436" s="111"/>
      <c r="AT436" s="111"/>
    </row>
    <row r="437" spans="1:46" ht="21.1">
      <c r="A437" s="86" t="s">
        <v>8</v>
      </c>
      <c r="B437" s="255"/>
      <c r="C437" s="180"/>
      <c r="D437" s="124"/>
      <c r="E437" s="99"/>
      <c r="F437" s="99"/>
      <c r="G437" s="102"/>
      <c r="H437" s="103"/>
      <c r="I437" s="99"/>
      <c r="J437" s="102"/>
      <c r="K437" s="102"/>
      <c r="L437" s="102"/>
      <c r="M437" s="102"/>
      <c r="N437" s="102"/>
      <c r="O437" s="99"/>
      <c r="P437" s="98"/>
      <c r="Q437" s="99"/>
      <c r="R437" s="99"/>
      <c r="S437" s="102"/>
      <c r="T437" s="101"/>
      <c r="U437" s="101"/>
      <c r="V437" s="102"/>
      <c r="W437" s="102"/>
      <c r="X437" s="102"/>
      <c r="Y437" s="101"/>
      <c r="Z437" s="101"/>
      <c r="AA437" s="102"/>
      <c r="AB437" s="99"/>
      <c r="AC437" s="98"/>
      <c r="AD437" s="99"/>
      <c r="AE437" s="99"/>
      <c r="AF437" s="99"/>
      <c r="AG437" s="99"/>
      <c r="AH437" s="98"/>
      <c r="AI437" s="102"/>
      <c r="AJ437" s="101"/>
      <c r="AK437" s="101"/>
      <c r="AL437" s="102"/>
      <c r="AM437" s="102"/>
      <c r="AN437" s="101"/>
      <c r="AO437" s="102"/>
      <c r="AP437" s="102"/>
      <c r="AQ437" s="101"/>
      <c r="AR437" s="102"/>
      <c r="AS437" s="103"/>
      <c r="AT437" s="103"/>
    </row>
    <row r="438" spans="1:46" ht="16.3">
      <c r="A438" s="83" t="s">
        <v>3</v>
      </c>
      <c r="B438" s="256"/>
      <c r="C438" s="105"/>
      <c r="D438" s="96"/>
      <c r="E438" s="109"/>
      <c r="F438" s="109"/>
      <c r="G438" s="100"/>
      <c r="H438" s="111"/>
      <c r="I438" s="109"/>
      <c r="J438" s="100"/>
      <c r="K438" s="100"/>
      <c r="L438" s="100"/>
      <c r="M438" s="100"/>
      <c r="N438" s="100"/>
      <c r="O438" s="109"/>
      <c r="P438" s="108"/>
      <c r="Q438" s="109"/>
      <c r="R438" s="109"/>
      <c r="S438" s="100"/>
      <c r="T438" s="110"/>
      <c r="U438" s="110"/>
      <c r="V438" s="100"/>
      <c r="W438" s="100"/>
      <c r="X438" s="100"/>
      <c r="Y438" s="110"/>
      <c r="Z438" s="110"/>
      <c r="AA438" s="100"/>
      <c r="AB438" s="109"/>
      <c r="AC438" s="108"/>
      <c r="AD438" s="109">
        <v>1</v>
      </c>
      <c r="AE438" s="109"/>
      <c r="AF438" s="109"/>
      <c r="AG438" s="109"/>
      <c r="AH438" s="108"/>
      <c r="AI438" s="100"/>
      <c r="AJ438" s="110"/>
      <c r="AK438" s="110"/>
      <c r="AL438" s="100"/>
      <c r="AM438" s="100"/>
      <c r="AN438" s="110"/>
      <c r="AO438" s="100"/>
      <c r="AP438" s="100"/>
      <c r="AQ438" s="110"/>
      <c r="AR438" s="100"/>
      <c r="AS438" s="111"/>
      <c r="AT438" s="111"/>
    </row>
    <row r="439" spans="1:46" ht="17" thickBot="1">
      <c r="A439" s="85" t="s">
        <v>4</v>
      </c>
      <c r="B439" s="257"/>
      <c r="C439" s="233"/>
      <c r="D439" s="114"/>
      <c r="E439" s="118"/>
      <c r="F439" s="114"/>
      <c r="G439" s="116"/>
      <c r="H439" s="121"/>
      <c r="I439" s="118"/>
      <c r="J439" s="116"/>
      <c r="K439" s="116"/>
      <c r="L439" s="116"/>
      <c r="M439" s="116"/>
      <c r="N439" s="116"/>
      <c r="O439" s="118"/>
      <c r="P439" s="117"/>
      <c r="Q439" s="118"/>
      <c r="R439" s="118"/>
      <c r="S439" s="116"/>
      <c r="T439" s="120"/>
      <c r="U439" s="120"/>
      <c r="V439" s="116"/>
      <c r="W439" s="116"/>
      <c r="X439" s="116"/>
      <c r="Y439" s="120"/>
      <c r="Z439" s="120"/>
      <c r="AA439" s="116"/>
      <c r="AB439" s="118"/>
      <c r="AC439" s="117"/>
      <c r="AD439" s="118">
        <v>7</v>
      </c>
      <c r="AE439" s="118"/>
      <c r="AF439" s="118"/>
      <c r="AG439" s="118"/>
      <c r="AH439" s="117"/>
      <c r="AI439" s="116"/>
      <c r="AJ439" s="120"/>
      <c r="AK439" s="120"/>
      <c r="AL439" s="116"/>
      <c r="AM439" s="116"/>
      <c r="AN439" s="120"/>
      <c r="AO439" s="116"/>
      <c r="AP439" s="116"/>
      <c r="AQ439" s="120"/>
      <c r="AR439" s="116"/>
      <c r="AS439" s="121"/>
      <c r="AT439" s="121"/>
    </row>
    <row r="440" spans="1:46">
      <c r="A440" s="387"/>
      <c r="B440" s="862" t="s">
        <v>352</v>
      </c>
      <c r="C440" s="863"/>
      <c r="D440" s="864" t="s">
        <v>350</v>
      </c>
      <c r="E440" s="865"/>
      <c r="F440" s="866" t="s">
        <v>351</v>
      </c>
      <c r="G440" s="867"/>
      <c r="H440" s="389"/>
      <c r="I440" s="323"/>
      <c r="J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  <c r="V440" s="323"/>
      <c r="W440" s="323"/>
      <c r="X440" s="300"/>
      <c r="Y440" s="323"/>
      <c r="Z440" s="693"/>
      <c r="AA440" s="300"/>
      <c r="AB440" s="810"/>
      <c r="AC440" s="300"/>
      <c r="AD440" s="300"/>
      <c r="AE440" s="323"/>
      <c r="AF440" s="323"/>
      <c r="AG440" s="323"/>
      <c r="AH440" s="810"/>
      <c r="AI440" s="323"/>
      <c r="AJ440" s="323"/>
      <c r="AK440" s="323"/>
      <c r="AL440" s="323"/>
      <c r="AM440" s="323"/>
      <c r="AN440" s="323"/>
      <c r="AO440" s="323"/>
      <c r="AP440" s="323"/>
      <c r="AQ440" s="323"/>
      <c r="AR440" s="323"/>
      <c r="AS440" s="390"/>
      <c r="AT440" s="391"/>
    </row>
    <row r="441" spans="1:46" ht="21.75" thickBot="1">
      <c r="A441" s="388" t="s">
        <v>976</v>
      </c>
      <c r="B441" s="69" t="s">
        <v>359</v>
      </c>
      <c r="C441" s="64" t="s">
        <v>349</v>
      </c>
      <c r="D441" s="69" t="s">
        <v>359</v>
      </c>
      <c r="E441" s="61" t="s">
        <v>349</v>
      </c>
      <c r="F441" s="69" t="s">
        <v>359</v>
      </c>
      <c r="G441" s="70" t="s">
        <v>349</v>
      </c>
      <c r="H441" s="392"/>
      <c r="I441" s="324"/>
      <c r="J441" s="324"/>
      <c r="K441" s="324"/>
      <c r="L441" s="324"/>
      <c r="M441" s="324"/>
      <c r="N441" s="324"/>
      <c r="O441" s="324"/>
      <c r="P441" s="324"/>
      <c r="Q441" s="327"/>
      <c r="R441" s="327"/>
      <c r="S441" s="327"/>
      <c r="T441" s="327"/>
      <c r="U441" s="327"/>
      <c r="V441" s="327"/>
      <c r="W441" s="327"/>
      <c r="X441" s="610"/>
      <c r="Y441" s="327"/>
      <c r="Z441" s="694"/>
      <c r="AA441" s="610"/>
      <c r="AB441" s="811"/>
      <c r="AC441" s="327"/>
      <c r="AD441" s="327"/>
      <c r="AE441" s="327"/>
      <c r="AF441" s="327"/>
      <c r="AG441" s="327"/>
      <c r="AH441" s="811"/>
      <c r="AI441" s="327"/>
      <c r="AJ441" s="327"/>
      <c r="AK441" s="393"/>
      <c r="AL441" s="393"/>
      <c r="AM441" s="393"/>
      <c r="AN441" s="393"/>
      <c r="AO441" s="393"/>
      <c r="AP441" s="393"/>
      <c r="AQ441" s="393"/>
      <c r="AR441" s="393"/>
      <c r="AS441" s="393"/>
      <c r="AT441" s="394"/>
    </row>
    <row r="442" spans="1:46">
      <c r="A442" s="301" t="s">
        <v>476</v>
      </c>
      <c r="B442" s="395">
        <f>SUM(J442+K442+L442+M442+N442+S442+V442+W442+X442+AA442+AI442+AJ442+AI442+AM442+AP442+AQ442+AS442+AT442+AU442+AV442+AN442)+60</f>
        <v>70</v>
      </c>
      <c r="C442" s="317">
        <f>B442</f>
        <v>70</v>
      </c>
      <c r="D442" s="399">
        <f>SUM(T442+U442+Y442+Z442+AK442+AL442+AO442+AR442)+19</f>
        <v>23</v>
      </c>
      <c r="E442" s="355">
        <f>D442</f>
        <v>23</v>
      </c>
      <c r="F442" s="399">
        <v>0</v>
      </c>
      <c r="G442" s="358">
        <v>0</v>
      </c>
      <c r="H442" s="474"/>
      <c r="I442" s="491">
        <v>1</v>
      </c>
      <c r="J442" s="305">
        <v>1</v>
      </c>
      <c r="K442" s="305">
        <v>1</v>
      </c>
      <c r="L442" s="303">
        <v>1</v>
      </c>
      <c r="M442" s="362">
        <v>1</v>
      </c>
      <c r="N442" s="305">
        <v>1</v>
      </c>
      <c r="O442" s="491">
        <v>1</v>
      </c>
      <c r="P442" s="325"/>
      <c r="Q442" s="491">
        <v>1</v>
      </c>
      <c r="R442" s="491">
        <v>1</v>
      </c>
      <c r="S442" s="305">
        <v>1</v>
      </c>
      <c r="T442" s="344">
        <v>1</v>
      </c>
      <c r="U442" s="344">
        <v>1</v>
      </c>
      <c r="V442" s="306">
        <v>1</v>
      </c>
      <c r="W442" s="306">
        <v>1</v>
      </c>
      <c r="X442" s="781">
        <v>1</v>
      </c>
      <c r="Y442" s="344">
        <v>1</v>
      </c>
      <c r="Z442" s="344">
        <v>1</v>
      </c>
      <c r="AA442" s="306">
        <v>1</v>
      </c>
      <c r="AB442" s="812">
        <v>1</v>
      </c>
      <c r="AC442" s="331"/>
      <c r="AD442" s="812">
        <v>1</v>
      </c>
      <c r="AE442" s="815">
        <v>1</v>
      </c>
      <c r="AF442" s="815">
        <v>1</v>
      </c>
      <c r="AG442" s="815">
        <v>1</v>
      </c>
      <c r="AH442" s="820"/>
      <c r="AI442" s="306"/>
      <c r="AJ442" s="419"/>
      <c r="AK442" s="421"/>
      <c r="AL442" s="362"/>
      <c r="AM442" s="362"/>
      <c r="AN442" s="440"/>
      <c r="AO442" s="362"/>
      <c r="AP442" s="362"/>
      <c r="AQ442" s="440"/>
      <c r="AR442" s="362"/>
      <c r="AS442" s="443"/>
      <c r="AT442" s="443"/>
    </row>
    <row r="443" spans="1:46">
      <c r="A443" s="304" t="s">
        <v>477</v>
      </c>
      <c r="B443" s="396">
        <f>SUM(J443+K443+L443+M443+N443+S443+V443+W443+X443+AA443+AI443+AJ443+AI443+AM443+AP443+AQ443+AS443+AT443+AU443+AV443)+34</f>
        <v>42</v>
      </c>
      <c r="C443" s="318">
        <f t="shared" ref="C443:C445" si="73">B443</f>
        <v>42</v>
      </c>
      <c r="D443" s="400">
        <f>SUM(T443+U443+Y443+Z443+AK443+AL443+AO443+AR443)+12</f>
        <v>15</v>
      </c>
      <c r="E443" s="356">
        <f t="shared" ref="E443:E445" si="74">D443</f>
        <v>15</v>
      </c>
      <c r="F443" s="400">
        <v>0</v>
      </c>
      <c r="G443" s="359">
        <v>0</v>
      </c>
      <c r="H443" s="474"/>
      <c r="I443" s="491">
        <v>1</v>
      </c>
      <c r="J443" s="305">
        <v>0</v>
      </c>
      <c r="K443" s="305">
        <v>1</v>
      </c>
      <c r="L443" s="306">
        <v>1</v>
      </c>
      <c r="M443" s="362">
        <v>1</v>
      </c>
      <c r="N443" s="305">
        <v>1</v>
      </c>
      <c r="O443" s="491">
        <v>1</v>
      </c>
      <c r="P443" s="325"/>
      <c r="Q443" s="491">
        <v>0</v>
      </c>
      <c r="R443" s="491">
        <v>0</v>
      </c>
      <c r="S443" s="305">
        <v>0</v>
      </c>
      <c r="T443" s="344">
        <v>1</v>
      </c>
      <c r="U443" s="344">
        <v>1</v>
      </c>
      <c r="V443" s="306">
        <v>1</v>
      </c>
      <c r="W443" s="306">
        <v>1</v>
      </c>
      <c r="X443" s="782">
        <v>1</v>
      </c>
      <c r="Y443" s="344">
        <v>0</v>
      </c>
      <c r="Z443" s="344">
        <v>1</v>
      </c>
      <c r="AA443" s="306">
        <v>1</v>
      </c>
      <c r="AB443" s="812">
        <v>1</v>
      </c>
      <c r="AC443" s="331"/>
      <c r="AD443" s="812">
        <v>1</v>
      </c>
      <c r="AE443" s="815">
        <v>1</v>
      </c>
      <c r="AF443" s="815">
        <v>1</v>
      </c>
      <c r="AG443" s="815">
        <v>0</v>
      </c>
      <c r="AH443" s="820"/>
      <c r="AI443" s="306"/>
      <c r="AJ443" s="419"/>
      <c r="AK443" s="421"/>
      <c r="AL443" s="362"/>
      <c r="AM443" s="362"/>
      <c r="AN443" s="440"/>
      <c r="AO443" s="362"/>
      <c r="AP443" s="362"/>
      <c r="AQ443" s="440"/>
      <c r="AR443" s="362"/>
      <c r="AS443" s="443"/>
      <c r="AT443" s="443"/>
    </row>
    <row r="444" spans="1:46">
      <c r="A444" s="304" t="s">
        <v>478</v>
      </c>
      <c r="B444" s="396">
        <f>SUM(J444+K444+L444+M444+N444+S444+V444+W444+X444+AA444+AI444+AJ444+AI444+AM444+AP444+AQ444+AS444+AT444+AU444+AV444)</f>
        <v>1</v>
      </c>
      <c r="C444" s="318">
        <f t="shared" si="73"/>
        <v>1</v>
      </c>
      <c r="D444" s="400">
        <f>SUM(T444+U444+Y444+Z444+AK444+AL444+AO444+AR444)</f>
        <v>0</v>
      </c>
      <c r="E444" s="356">
        <f t="shared" si="74"/>
        <v>0</v>
      </c>
      <c r="F444" s="400">
        <v>0</v>
      </c>
      <c r="G444" s="359">
        <v>0</v>
      </c>
      <c r="H444" s="474"/>
      <c r="I444" s="491">
        <v>0</v>
      </c>
      <c r="J444" s="305">
        <v>1</v>
      </c>
      <c r="K444" s="305">
        <v>0</v>
      </c>
      <c r="L444" s="306">
        <v>0</v>
      </c>
      <c r="M444" s="362">
        <v>0</v>
      </c>
      <c r="N444" s="305">
        <v>0</v>
      </c>
      <c r="O444" s="491">
        <v>0</v>
      </c>
      <c r="P444" s="325"/>
      <c r="Q444" s="491">
        <v>0</v>
      </c>
      <c r="R444" s="491">
        <v>0</v>
      </c>
      <c r="S444" s="305">
        <v>0</v>
      </c>
      <c r="T444" s="344">
        <v>0</v>
      </c>
      <c r="U444" s="344">
        <v>0</v>
      </c>
      <c r="V444" s="306">
        <v>0</v>
      </c>
      <c r="W444" s="306">
        <v>0</v>
      </c>
      <c r="X444" s="782">
        <v>0</v>
      </c>
      <c r="Y444" s="344">
        <v>0</v>
      </c>
      <c r="Z444" s="344">
        <v>0</v>
      </c>
      <c r="AA444" s="306">
        <v>0</v>
      </c>
      <c r="AB444" s="812">
        <v>0</v>
      </c>
      <c r="AC444" s="331"/>
      <c r="AD444" s="812">
        <v>0</v>
      </c>
      <c r="AE444" s="815">
        <v>0</v>
      </c>
      <c r="AF444" s="815">
        <v>0</v>
      </c>
      <c r="AG444" s="815">
        <v>0</v>
      </c>
      <c r="AH444" s="820"/>
      <c r="AI444" s="306"/>
      <c r="AJ444" s="419"/>
      <c r="AK444" s="421"/>
      <c r="AL444" s="362"/>
      <c r="AM444" s="362"/>
      <c r="AN444" s="440"/>
      <c r="AO444" s="362"/>
      <c r="AP444" s="362"/>
      <c r="AQ444" s="440"/>
      <c r="AR444" s="362"/>
      <c r="AS444" s="443"/>
      <c r="AT444" s="443"/>
    </row>
    <row r="445" spans="1:46" ht="14.95" thickBot="1">
      <c r="A445" s="304" t="s">
        <v>479</v>
      </c>
      <c r="B445" s="397">
        <f>SUM(J445+K445+L445+M445+N445+S445+V445+W445+X445+AA445+AI445+AJ445+AI445+AM445+AP445+AQ445+AS445+AT445+AU445+AV445)+26</f>
        <v>27</v>
      </c>
      <c r="C445" s="354">
        <f t="shared" si="73"/>
        <v>27</v>
      </c>
      <c r="D445" s="401">
        <f>SUM(T445+U445+Y445+Z445+AK445+AL445+AO445+AR445)+7</f>
        <v>8</v>
      </c>
      <c r="E445" s="357">
        <f t="shared" si="74"/>
        <v>8</v>
      </c>
      <c r="F445" s="401">
        <v>0</v>
      </c>
      <c r="G445" s="360">
        <v>0</v>
      </c>
      <c r="H445" s="474"/>
      <c r="I445" s="491">
        <v>0</v>
      </c>
      <c r="J445" s="305">
        <v>0</v>
      </c>
      <c r="K445" s="305">
        <v>0</v>
      </c>
      <c r="L445" s="306">
        <v>0</v>
      </c>
      <c r="M445" s="362">
        <v>0</v>
      </c>
      <c r="N445" s="305">
        <v>0</v>
      </c>
      <c r="O445" s="491">
        <v>0</v>
      </c>
      <c r="P445" s="325"/>
      <c r="Q445" s="491">
        <v>1</v>
      </c>
      <c r="R445" s="491">
        <v>1</v>
      </c>
      <c r="S445" s="305">
        <v>1</v>
      </c>
      <c r="T445" s="344">
        <v>0</v>
      </c>
      <c r="U445" s="344">
        <v>0</v>
      </c>
      <c r="V445" s="306">
        <v>0</v>
      </c>
      <c r="W445" s="306">
        <v>0</v>
      </c>
      <c r="X445" s="782">
        <v>0</v>
      </c>
      <c r="Y445" s="344">
        <v>1</v>
      </c>
      <c r="Z445" s="344">
        <v>0</v>
      </c>
      <c r="AA445" s="306">
        <v>0</v>
      </c>
      <c r="AB445" s="812">
        <v>0</v>
      </c>
      <c r="AC445" s="331"/>
      <c r="AD445" s="812">
        <v>0</v>
      </c>
      <c r="AE445" s="815">
        <v>0</v>
      </c>
      <c r="AF445" s="815">
        <v>0</v>
      </c>
      <c r="AG445" s="815">
        <v>1</v>
      </c>
      <c r="AH445" s="820"/>
      <c r="AI445" s="306"/>
      <c r="AJ445" s="419"/>
      <c r="AK445" s="421"/>
      <c r="AL445" s="362"/>
      <c r="AM445" s="362"/>
      <c r="AN445" s="440"/>
      <c r="AO445" s="362"/>
      <c r="AP445" s="362"/>
      <c r="AQ445" s="440"/>
      <c r="AR445" s="362"/>
      <c r="AS445" s="443"/>
      <c r="AT445" s="443"/>
    </row>
    <row r="446" spans="1:46" ht="14.95" thickBot="1">
      <c r="A446" s="307" t="s">
        <v>480</v>
      </c>
      <c r="B446" s="398">
        <f t="shared" ref="B446:C446" si="75">SUM(B443+B444*0.5)/B442*100</f>
        <v>60.714285714285708</v>
      </c>
      <c r="C446" s="350">
        <f t="shared" si="75"/>
        <v>60.714285714285708</v>
      </c>
      <c r="D446" s="402">
        <f>SUM(D443+D444*0.5)/D442*100</f>
        <v>65.217391304347828</v>
      </c>
      <c r="E446" s="375">
        <f>SUM(E443+E444*0.5)/E442*100</f>
        <v>65.217391304347828</v>
      </c>
      <c r="F446" s="402">
        <v>0</v>
      </c>
      <c r="G446" s="376">
        <v>0</v>
      </c>
      <c r="H446" s="503"/>
      <c r="I446" s="492"/>
      <c r="J446" s="340"/>
      <c r="K446" s="340"/>
      <c r="L446" s="309"/>
      <c r="M446" s="547"/>
      <c r="N446" s="340"/>
      <c r="O446" s="583"/>
      <c r="P446" s="326"/>
      <c r="Q446" s="583"/>
      <c r="R446" s="583"/>
      <c r="S446" s="340"/>
      <c r="T446" s="403"/>
      <c r="U446" s="403"/>
      <c r="V446" s="311"/>
      <c r="W446" s="311"/>
      <c r="X446" s="783"/>
      <c r="Y446" s="403"/>
      <c r="Z446" s="403"/>
      <c r="AA446" s="309"/>
      <c r="AB446" s="813"/>
      <c r="AC446" s="333"/>
      <c r="AD446" s="813"/>
      <c r="AE446" s="816"/>
      <c r="AF446" s="816"/>
      <c r="AG446" s="816"/>
      <c r="AH446" s="821"/>
      <c r="AI446" s="309"/>
      <c r="AJ446" s="420"/>
      <c r="AK446" s="421"/>
      <c r="AL446" s="362"/>
      <c r="AM446" s="362"/>
      <c r="AN446" s="440"/>
      <c r="AO446" s="362"/>
      <c r="AP446" s="362"/>
      <c r="AQ446" s="440"/>
      <c r="AR446" s="362"/>
      <c r="AS446" s="443"/>
      <c r="AT446" s="443"/>
    </row>
    <row r="447" spans="1:46" ht="21.1">
      <c r="A447" s="25" t="s">
        <v>10</v>
      </c>
      <c r="B447" s="34"/>
      <c r="C447" s="34"/>
      <c r="D447" s="76"/>
      <c r="E447" s="34"/>
      <c r="F447" s="34"/>
      <c r="G447" s="34"/>
      <c r="H447" s="34"/>
      <c r="I447" s="28"/>
      <c r="J447" s="28"/>
      <c r="K447" s="28"/>
      <c r="L447" s="28"/>
      <c r="M447" s="28"/>
      <c r="N447" s="28"/>
      <c r="O447" s="28"/>
      <c r="P447" s="34"/>
      <c r="Q447" s="30"/>
      <c r="R447" s="30"/>
      <c r="S447" s="30"/>
      <c r="T447" s="30"/>
      <c r="U447" s="30"/>
      <c r="V447" s="31"/>
      <c r="W447" s="31"/>
      <c r="X447" s="31"/>
      <c r="Y447" s="31"/>
      <c r="Z447" s="31"/>
      <c r="AA447" s="31"/>
      <c r="AB447" s="31"/>
      <c r="AC447" s="33"/>
      <c r="AD447" s="31"/>
      <c r="AE447" s="31"/>
      <c r="AF447" s="31"/>
      <c r="AG447" s="31"/>
      <c r="AH447" s="33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3"/>
      <c r="AT447" s="33"/>
    </row>
    <row r="448" spans="1:46">
      <c r="A448" s="26" t="s">
        <v>1</v>
      </c>
      <c r="B448" s="34"/>
      <c r="C448" s="34"/>
      <c r="D448" s="34"/>
      <c r="E448" s="34"/>
      <c r="F448" s="34"/>
      <c r="G448" s="34"/>
      <c r="H448" s="34" t="str">
        <f>IF(SUMIF($A$4:$A439,$A448,H$4:H439)=0,"",SUMIF($A$4:$A439,$A448,H$4:H439))</f>
        <v/>
      </c>
      <c r="I448" s="28">
        <f>IF(SUMIF($A$4:$A439,$A448,I$4:I439)=0,"",SUMIF($A$4:$A439,$A448,I$4:I439))</f>
        <v>15</v>
      </c>
      <c r="J448" s="28">
        <f>IF(SUMIF($A$4:$A439,$A448,J$4:J439)=0,"",SUMIF($A$4:$A439,$A448,J$4:J439))</f>
        <v>15</v>
      </c>
      <c r="K448" s="28">
        <f>IF(SUMIF($A$4:$A439,$A448,K$4:K439)=0,"",SUMIF($A$4:$A439,$A448,K$4:K439))</f>
        <v>15</v>
      </c>
      <c r="L448" s="28">
        <f>IF(SUMIF($A$4:$A439,$A448,L$4:L439)=0,"",SUMIF($A$4:$A439,$A448,L$4:L439))</f>
        <v>15</v>
      </c>
      <c r="M448" s="28">
        <f>IF(SUMIF($A$4:$A439,$A448,M$4:M439)=0,"",SUMIF($A$4:$A439,$A448,M$4:M439))</f>
        <v>15</v>
      </c>
      <c r="N448" s="28">
        <f>IF(SUMIF($A$4:$A439,$A448,N$4:N439)=0,"",SUMIF($A$4:$A439,$A448,N$4:N439))</f>
        <v>15</v>
      </c>
      <c r="O448" s="28">
        <f>IF(SUMIF($A$4:$A439,$A448,O$4:O439)=0,"",SUMIF($A$4:$A439,$A448,O$4:O439))</f>
        <v>15</v>
      </c>
      <c r="P448" s="34"/>
      <c r="Q448" s="28">
        <f>IF(SUMIF($A$4:$A439,$A448,Q$4:Q439)=0,"",SUMIF($A$4:$A439,$A448,Q$4:Q439))</f>
        <v>15</v>
      </c>
      <c r="R448" s="28">
        <f>IF(SUMIF($A$4:$A439,$A448,R$4:R439)=0,"",SUMIF($A$4:$A439,$A448,R$4:R439))</f>
        <v>15</v>
      </c>
      <c r="S448" s="28">
        <f>IF(SUMIF($A$4:$A439,$A448,S$4:S439)=0,"",SUMIF($A$4:$A439,$A448,S$4:S439))</f>
        <v>15</v>
      </c>
      <c r="T448" s="28">
        <f>IF(SUMIF($A$4:$A439,$A448,T$4:T439)=0,"",SUMIF($A$4:$A439,$A448,T$4:T439))</f>
        <v>15</v>
      </c>
      <c r="U448" s="28">
        <f>IF(SUMIF($A$4:$A439,$A448,U$4:U439)=0,"",SUMIF($A$4:$A439,$A448,U$4:U439))</f>
        <v>15</v>
      </c>
      <c r="V448" s="28">
        <f>IF(SUMIF($A$4:$A439,$A448,V$4:V439)=0,"",SUMIF($A$4:$A439,$A448,V$4:V439))</f>
        <v>15</v>
      </c>
      <c r="W448" s="28">
        <f>IF(SUMIF($A$4:$A439,$A448,W$4:W439)=0,"",SUMIF($A$4:$A439,$A448,W$4:W439))</f>
        <v>15</v>
      </c>
      <c r="X448" s="28">
        <f>IF(SUMIF($A$4:$A439,$A448,X$4:X439)=0,"",SUMIF($A$4:$A439,$A448,X$4:X439))</f>
        <v>15</v>
      </c>
      <c r="Y448" s="28">
        <f>IF(SUMIF($A$4:$A439,$A448,Y$4:Y439)=0,"",SUMIF($A$4:$A439,$A448,Y$4:Y439))</f>
        <v>15</v>
      </c>
      <c r="Z448" s="28">
        <f>IF(SUMIF($A$4:$A439,$A448,Z$4:Z439)=0,"",SUMIF($A$4:$A439,$A448,Z$4:Z439))</f>
        <v>15</v>
      </c>
      <c r="AA448" s="28">
        <f>IF(SUMIF($A$4:$A439,$A448,AA$4:AA439)=0,"",SUMIF($A$4:$A439,$A448,AA$4:AA439))</f>
        <v>15</v>
      </c>
      <c r="AB448" s="28">
        <f>IF(SUMIF($A$4:$A439,$A448,AB$4:AB439)=0,"",SUMIF($A$4:$A439,$A448,AB$4:AB439))</f>
        <v>15</v>
      </c>
      <c r="AC448" s="34" t="str">
        <f>IF(SUMIF($A$4:$A439,$A448,AC$4:AC439)=0,"",SUMIF($A$4:$A439,$A448,AC$4:AC439))</f>
        <v/>
      </c>
      <c r="AD448" s="28">
        <f>IF(SUMIF($A$4:$A439,$A448,AD$4:AD439)=0,"",SUMIF($A$4:$A439,$A448,AD$4:AD439))</f>
        <v>15</v>
      </c>
      <c r="AE448" s="28">
        <f>IF(SUMIF($A$4:$A439,$A448,AE$4:AE439)=0,"",SUMIF($A$4:$A439,$A448,AE$4:AE439))</f>
        <v>15</v>
      </c>
      <c r="AF448" s="28">
        <f>IF(SUMIF($A$4:$A439,$A448,AF$4:AF439)=0,"",SUMIF($A$4:$A439,$A448,AF$4:AF439))</f>
        <v>15</v>
      </c>
      <c r="AG448" s="28">
        <f>IF(SUMIF($A$4:$A439,$A448,AG$4:AG439)=0,"",SUMIF($A$4:$A439,$A448,AG$4:AG439))</f>
        <v>15</v>
      </c>
      <c r="AH448" s="34" t="str">
        <f>IF(SUMIF($A$4:$A439,$A448,AH$4:AH439)=0,"",SUMIF($A$4:$A439,$A448,AH$4:AH439))</f>
        <v/>
      </c>
      <c r="AI448" s="28" t="str">
        <f>IF(SUMIF($A$4:$A439,$A448,AI$4:AI439)=0,"",SUMIF($A$4:$A439,$A448,AI$4:AI439))</f>
        <v/>
      </c>
      <c r="AJ448" s="28" t="str">
        <f>IF(SUMIF($A$4:$A439,$A448,AJ$4:AJ439)=0,"",SUMIF($A$4:$A439,$A448,AJ$4:AJ439))</f>
        <v/>
      </c>
      <c r="AK448" s="28" t="str">
        <f>IF(SUMIF($A$4:$A439,$A448,AK$4:AK439)=0,"",SUMIF($A$4:$A439,$A448,AK$4:AK439))</f>
        <v/>
      </c>
      <c r="AL448" s="28" t="str">
        <f>IF(SUMIF($A$4:$A439,$A448,AL$4:AL439)=0,"",SUMIF($A$4:$A439,$A448,AL$4:AL439))</f>
        <v/>
      </c>
      <c r="AM448" s="28" t="str">
        <f>IF(SUMIF($A$4:$A439,$A448,AM$4:AM439)=0,"",SUMIF($A$4:$A439,$A448,AM$4:AM439))</f>
        <v/>
      </c>
      <c r="AN448" s="28" t="str">
        <f>IF(SUMIF($A$4:$A439,$A448,AN$4:AN439)=0,"",SUMIF($A$4:$A439,$A448,AN$4:AN439))</f>
        <v/>
      </c>
      <c r="AO448" s="28" t="str">
        <f>IF(SUMIF($A$4:$A439,$A448,AO$4:AO439)=0,"",SUMIF($A$4:$A439,$A448,AO$4:AO439))</f>
        <v/>
      </c>
      <c r="AP448" s="28" t="str">
        <f>IF(SUMIF($A$4:$A439,$A448,AP$4:AP439)=0,"",SUMIF($A$4:$A439,$A448,AP$4:AP439))</f>
        <v/>
      </c>
      <c r="AQ448" s="28" t="str">
        <f>IF(SUMIF($A$4:$A439,$A448,AQ$4:AQ439)=0,"",SUMIF($A$4:$A439,$A448,AQ$4:AQ439))</f>
        <v/>
      </c>
      <c r="AR448" s="28" t="str">
        <f>IF(SUMIF($A$4:$A439,$A448,AR$4:AR439)=0,"",SUMIF($A$4:$A439,$A448,AR$4:AR439))</f>
        <v/>
      </c>
      <c r="AS448" s="34" t="str">
        <f>IF(SUMIF($A$4:$A439,$A448,AS$4:AS439)=0,"",SUMIF($A$4:$A439,$A448,AS$4:AS439))</f>
        <v/>
      </c>
      <c r="AT448" s="34" t="str">
        <f>IF(SUMIF($A$4:$A439,$A448,AT$4:AT439)=0,"",SUMIF($A$4:$A439,$A448,AT$4:AT439))</f>
        <v/>
      </c>
    </row>
    <row r="449" spans="1:46">
      <c r="A449" s="26" t="s">
        <v>2</v>
      </c>
      <c r="B449" s="34"/>
      <c r="C449" s="34"/>
      <c r="D449" s="34"/>
      <c r="E449" s="34"/>
      <c r="F449" s="34"/>
      <c r="G449" s="34"/>
      <c r="H449" s="34" t="str">
        <f>IF(SUMIF($A$4:$A447,$A449,H$4:H447)=0,"",SUMIF($A$4:$A447,$A449,H$4:H447))</f>
        <v/>
      </c>
      <c r="I449" s="28">
        <f>IF(SUMIF($A$4:$A447,$A449,I$4:I447)=0,"",SUMIF($A$4:$A447,$A449,I$4:I447))</f>
        <v>8</v>
      </c>
      <c r="J449" s="28">
        <f>IF(SUMIF($A$4:$A447,$A449,J$4:J447)=0,"",SUMIF($A$4:$A447,$A449,J$4:J447))</f>
        <v>7</v>
      </c>
      <c r="K449" s="28">
        <f>IF(SUMIF($A$4:$A447,$A449,K$4:K447)=0,"",SUMIF($A$4:$A447,$A449,K$4:K447))</f>
        <v>5</v>
      </c>
      <c r="L449" s="28">
        <f>IF(SUMIF($A$4:$A447,$A449,L$4:L447)=0,"",SUMIF($A$4:$A447,$A449,L$4:L447))</f>
        <v>8</v>
      </c>
      <c r="M449" s="28">
        <f>IF(SUMIF($A$4:$A447,$A449,M$4:M447)=0,"",SUMIF($A$4:$A447,$A449,M$4:M447))</f>
        <v>7</v>
      </c>
      <c r="N449" s="28">
        <f>IF(SUMIF($A$4:$A447,$A449,N$4:N447)=0,"",SUMIF($A$4:$A447,$A449,N$4:N447))</f>
        <v>5</v>
      </c>
      <c r="O449" s="28">
        <f>IF(SUMIF($A$4:$A447,$A449,O$4:O447)=0,"",SUMIF($A$4:$A447,$A449,O$4:O447))</f>
        <v>8</v>
      </c>
      <c r="P449" s="34"/>
      <c r="Q449" s="28">
        <f>IF(SUMIF($A$4:$A447,$A449,Q$4:Q447)=0,"",SUMIF($A$4:$A447,$A449,Q$4:Q447))</f>
        <v>8</v>
      </c>
      <c r="R449" s="28">
        <f>IF(SUMIF($A$4:$A447,$A449,R$4:R447)=0,"",SUMIF($A$4:$A447,$A449,R$4:R447))</f>
        <v>8</v>
      </c>
      <c r="S449" s="28">
        <f>IF(SUMIF($A$4:$A447,$A449,S$4:S447)=0,"",SUMIF($A$4:$A447,$A449,S$4:S447))</f>
        <v>8</v>
      </c>
      <c r="T449" s="28">
        <f>IF(SUMIF($A$4:$A447,$A449,T$4:T447)=0,"",SUMIF($A$4:$A447,$A449,T$4:T447))</f>
        <v>7</v>
      </c>
      <c r="U449" s="28">
        <f>IF(SUMIF($A$4:$A447,$A449,U$4:U447)=0,"",SUMIF($A$4:$A447,$A449,U$4:U447))</f>
        <v>8</v>
      </c>
      <c r="V449" s="28">
        <f>IF(SUMIF($A$4:$A447,$A449,V$4:V447)=0,"",SUMIF($A$4:$A447,$A449,V$4:V447))</f>
        <v>8</v>
      </c>
      <c r="W449" s="28">
        <f>IF(SUMIF($A$4:$A447,$A449,W$4:W447)=0,"",SUMIF($A$4:$A447,$A449,W$4:W447))</f>
        <v>8</v>
      </c>
      <c r="X449" s="28">
        <f>IF(SUMIF($A$4:$A447,$A449,X$4:X447)=0,"",SUMIF($A$4:$A447,$A449,X$4:X447))</f>
        <v>8</v>
      </c>
      <c r="Y449" s="28">
        <f>IF(SUMIF($A$4:$A447,$A449,Y$4:Y447)=0,"",SUMIF($A$4:$A447,$A449,Y$4:Y447))</f>
        <v>8</v>
      </c>
      <c r="Z449" s="28">
        <f>IF(SUMIF($A$4:$A447,$A449,Z$4:Z447)=0,"",SUMIF($A$4:$A447,$A449,Z$4:Z447))</f>
        <v>7</v>
      </c>
      <c r="AA449" s="28">
        <f>IF(SUMIF($A$4:$A447,$A449,AA$4:AA447)=0,"",SUMIF($A$4:$A447,$A449,AA$4:AA447))</f>
        <v>7</v>
      </c>
      <c r="AB449" s="28">
        <f>IF(SUMIF($A$4:$A447,$A449,AB$4:AB447)=0,"",SUMIF($A$4:$A447,$A449,AB$4:AB447))</f>
        <v>8</v>
      </c>
      <c r="AC449" s="34" t="str">
        <f>IF(SUMIF($A$4:$A447,$A449,AC$4:AC447)=0,"",SUMIF($A$4:$A447,$A449,AC$4:AC447))</f>
        <v/>
      </c>
      <c r="AD449" s="28">
        <f>IF(SUMIF($A$4:$A447,$A449,AD$4:AD447)=0,"",SUMIF($A$4:$A447,$A449,AD$4:AD447))</f>
        <v>8</v>
      </c>
      <c r="AE449" s="28">
        <f>IF(SUMIF($A$4:$A447,$A449,AE$4:AE447)=0,"",SUMIF($A$4:$A447,$A449,AE$4:AE447))</f>
        <v>8</v>
      </c>
      <c r="AF449" s="28">
        <f>IF(SUMIF($A$4:$A447,$A449,AF$4:AF447)=0,"",SUMIF($A$4:$A447,$A449,AF$4:AF447))</f>
        <v>8</v>
      </c>
      <c r="AG449" s="28">
        <f>IF(SUMIF($A$4:$A447,$A449,AG$4:AG447)=0,"",SUMIF($A$4:$A447,$A449,AG$4:AG447))</f>
        <v>8</v>
      </c>
      <c r="AH449" s="34" t="str">
        <f>IF(SUMIF($A$4:$A447,$A449,AH$4:AH447)=0,"",SUMIF($A$4:$A447,$A449,AH$4:AH447))</f>
        <v/>
      </c>
      <c r="AI449" s="28" t="str">
        <f>IF(SUMIF($A$4:$A447,$A449,AI$4:AI447)=0,"",SUMIF($A$4:$A447,$A449,AI$4:AI447))</f>
        <v/>
      </c>
      <c r="AJ449" s="28" t="str">
        <f>IF(SUMIF($A$4:$A447,$A449,AJ$4:AJ447)=0,"",SUMIF($A$4:$A447,$A449,AJ$4:AJ447))</f>
        <v/>
      </c>
      <c r="AK449" s="28" t="str">
        <f>IF(SUMIF($A$4:$A447,$A449,AK$4:AK447)=0,"",SUMIF($A$4:$A447,$A449,AK$4:AK447))</f>
        <v/>
      </c>
      <c r="AL449" s="28" t="str">
        <f>IF(SUMIF($A$4:$A447,$A449,AL$4:AL447)=0,"",SUMIF($A$4:$A447,$A449,AL$4:AL447))</f>
        <v/>
      </c>
      <c r="AM449" s="28" t="str">
        <f>IF(SUMIF($A$4:$A447,$A449,AM$4:AM447)=0,"",SUMIF($A$4:$A447,$A449,AM$4:AM447))</f>
        <v/>
      </c>
      <c r="AN449" s="28" t="str">
        <f>IF(SUMIF($A$4:$A447,$A449,AN$4:AN447)=0,"",SUMIF($A$4:$A447,$A449,AN$4:AN447))</f>
        <v/>
      </c>
      <c r="AO449" s="28" t="str">
        <f>IF(SUMIF($A$4:$A447,$A449,AO$4:AO447)=0,"",SUMIF($A$4:$A447,$A449,AO$4:AO447))</f>
        <v/>
      </c>
      <c r="AP449" s="28" t="str">
        <f>IF(SUMIF($A$4:$A447,$A449,AP$4:AP447)=0,"",SUMIF($A$4:$A447,$A449,AP$4:AP447))</f>
        <v/>
      </c>
      <c r="AQ449" s="28" t="str">
        <f>IF(SUMIF($A$4:$A447,$A449,AQ$4:AQ447)=0,"",SUMIF($A$4:$A447,$A449,AQ$4:AQ447))</f>
        <v/>
      </c>
      <c r="AR449" s="28" t="str">
        <f>IF(SUMIF($A$4:$A447,$A449,AR$4:AR447)=0,"",SUMIF($A$4:$A447,$A449,AR$4:AR447))</f>
        <v/>
      </c>
      <c r="AS449" s="34" t="str">
        <f>IF(SUMIF($A$4:$A447,$A449,AS$4:AS447)=0,"",SUMIF($A$4:$A447,$A449,AS$4:AS447))</f>
        <v/>
      </c>
      <c r="AT449" s="34" t="str">
        <f>IF(SUMIF($A$4:$A447,$A449,AT$4:AT447)=0,"",SUMIF($A$4:$A447,$A449,AT$4:AT447))</f>
        <v/>
      </c>
    </row>
    <row r="450" spans="1:46">
      <c r="A450" s="26" t="s">
        <v>3</v>
      </c>
      <c r="B450" s="34"/>
      <c r="C450" s="34"/>
      <c r="D450" s="34"/>
      <c r="E450" s="34"/>
      <c r="F450" s="34"/>
      <c r="G450" s="34"/>
      <c r="H450" s="34" t="str">
        <f>IF(SUMIF($A$4:$A448,$A450,H$4:H448)=0,"",SUMIF($A$4:$A448,$A450,H$4:H448))</f>
        <v/>
      </c>
      <c r="I450" s="28">
        <f>IF(SUMIF($A$4:$A448,$A450,I$4:I448)=0,"",SUMIF($A$4:$A448,$A450,I$4:I448))</f>
        <v>7</v>
      </c>
      <c r="J450" s="28">
        <f>IF(SUMIF($A$4:$A448,$A450,J$4:J448)=0,"",SUMIF($A$4:$A448,$A450,J$4:J448))</f>
        <v>5</v>
      </c>
      <c r="K450" s="28">
        <f>IF(SUMIF($A$4:$A448,$A450,K$4:K448)=0,"",SUMIF($A$4:$A448,$A450,K$4:K448))</f>
        <v>4</v>
      </c>
      <c r="L450" s="28">
        <f>IF(SUMIF($A$4:$A448,$A450,L$4:L448)=0,"",SUMIF($A$4:$A448,$A450,L$4:L448))</f>
        <v>5</v>
      </c>
      <c r="M450" s="28">
        <f>IF(SUMIF($A$4:$A448,$A450,M$4:M448)=0,"",SUMIF($A$4:$A448,$A450,M$4:M448))</f>
        <v>5</v>
      </c>
      <c r="N450" s="28">
        <f>IF(SUMIF($A$4:$A448,$A450,N$4:N448)=0,"",SUMIF($A$4:$A448,$A450,N$4:N448))</f>
        <v>7</v>
      </c>
      <c r="O450" s="28">
        <f>IF(SUMIF($A$4:$A448,$A450,O$4:O448)=0,"",SUMIF($A$4:$A448,$A450,O$4:O448))</f>
        <v>4</v>
      </c>
      <c r="P450" s="34"/>
      <c r="Q450" s="28">
        <f>IF(SUMIF($A$4:$A448,$A450,Q$4:Q448)=0,"",SUMIF($A$4:$A448,$A450,Q$4:Q448))</f>
        <v>2</v>
      </c>
      <c r="R450" s="28">
        <f>IF(SUMIF($A$4:$A448,$A450,R$4:R448)=0,"",SUMIF($A$4:$A448,$A450,R$4:R448))</f>
        <v>3</v>
      </c>
      <c r="S450" s="28">
        <f>IF(SUMIF($A$4:$A448,$A450,S$4:S448)=0,"",SUMIF($A$4:$A448,$A450,S$4:S448))</f>
        <v>2</v>
      </c>
      <c r="T450" s="28">
        <f>IF(SUMIF($A$4:$A448,$A450,T$4:T448)=0,"",SUMIF($A$4:$A448,$A450,T$4:T448))</f>
        <v>5</v>
      </c>
      <c r="U450" s="28">
        <f>IF(SUMIF($A$4:$A448,$A450,U$4:U448)=0,"",SUMIF($A$4:$A448,$A450,U$4:U448))</f>
        <v>8</v>
      </c>
      <c r="V450" s="28">
        <f>IF(SUMIF($A$4:$A448,$A450,V$4:V448)=0,"",SUMIF($A$4:$A448,$A450,V$4:V448))</f>
        <v>7</v>
      </c>
      <c r="W450" s="28">
        <f>IF(SUMIF($A$4:$A448,$A450,W$4:W448)=0,"",SUMIF($A$4:$A448,$A450,W$4:W448))</f>
        <v>6</v>
      </c>
      <c r="X450" s="28">
        <f>IF(SUMIF($A$4:$A448,$A450,X$4:X448)=0,"",SUMIF($A$4:$A448,$A450,X$4:X448))</f>
        <v>10</v>
      </c>
      <c r="Y450" s="28">
        <f>IF(SUMIF($A$4:$A448,$A450,Y$4:Y448)=0,"",SUMIF($A$4:$A448,$A450,Y$4:Y448))</f>
        <v>4</v>
      </c>
      <c r="Z450" s="28">
        <f>IF(SUMIF($A$4:$A448,$A450,Z$4:Z448)=0,"",SUMIF($A$4:$A448,$A450,Z$4:Z448))</f>
        <v>6</v>
      </c>
      <c r="AA450" s="28">
        <f>IF(SUMIF($A$4:$A448,$A450,AA$4:AA448)=0,"",SUMIF($A$4:$A448,$A450,AA$4:AA448))</f>
        <v>7</v>
      </c>
      <c r="AB450" s="28">
        <f>IF(SUMIF($A$4:$A448,$A450,AB$4:AB448)=0,"",SUMIF($A$4:$A448,$A450,AB$4:AB448))</f>
        <v>6</v>
      </c>
      <c r="AC450" s="34" t="str">
        <f>IF(SUMIF($A$4:$A448,$A450,AC$4:AC448)=0,"",SUMIF($A$4:$A448,$A450,AC$4:AC448))</f>
        <v/>
      </c>
      <c r="AD450" s="28">
        <f>IF(SUMIF($A$4:$A448,$A450,AD$4:AD448)=0,"",SUMIF($A$4:$A448,$A450,AD$4:AD448))</f>
        <v>6</v>
      </c>
      <c r="AE450" s="28">
        <f>IF(SUMIF($A$4:$A448,$A450,AE$4:AE448)=0,"",SUMIF($A$4:$A448,$A450,AE$4:AE448))</f>
        <v>7</v>
      </c>
      <c r="AF450" s="28">
        <f>IF(SUMIF($A$4:$A448,$A450,AF$4:AF448)=0,"",SUMIF($A$4:$A448,$A450,AF$4:AF448))</f>
        <v>5</v>
      </c>
      <c r="AG450" s="28">
        <f>IF(SUMIF($A$4:$A448,$A450,AG$4:AG448)=0,"",SUMIF($A$4:$A448,$A450,AG$4:AG448))</f>
        <v>2</v>
      </c>
      <c r="AH450" s="34" t="str">
        <f>IF(SUMIF($A$4:$A448,$A450,AH$4:AH448)=0,"",SUMIF($A$4:$A448,$A450,AH$4:AH448))</f>
        <v/>
      </c>
      <c r="AI450" s="28" t="str">
        <f>IF(SUMIF($A$4:$A448,$A450,AI$4:AI448)=0,"",SUMIF($A$4:$A448,$A450,AI$4:AI448))</f>
        <v/>
      </c>
      <c r="AJ450" s="28" t="str">
        <f>IF(SUMIF($A$4:$A448,$A450,AJ$4:AJ448)=0,"",SUMIF($A$4:$A448,$A450,AJ$4:AJ448))</f>
        <v/>
      </c>
      <c r="AK450" s="28" t="str">
        <f>IF(SUMIF($A$4:$A448,$A450,AK$4:AK448)=0,"",SUMIF($A$4:$A448,$A450,AK$4:AK448))</f>
        <v/>
      </c>
      <c r="AL450" s="28" t="str">
        <f>IF(SUMIF($A$4:$A448,$A450,AL$4:AL448)=0,"",SUMIF($A$4:$A448,$A450,AL$4:AL448))</f>
        <v/>
      </c>
      <c r="AM450" s="28" t="str">
        <f>IF(SUMIF($A$4:$A448,$A450,AM$4:AM448)=0,"",SUMIF($A$4:$A448,$A450,AM$4:AM448))</f>
        <v/>
      </c>
      <c r="AN450" s="28" t="str">
        <f>IF(SUMIF($A$4:$A448,$A450,AN$4:AN448)=0,"",SUMIF($A$4:$A448,$A450,AN$4:AN448))</f>
        <v/>
      </c>
      <c r="AO450" s="28" t="str">
        <f>IF(SUMIF($A$4:$A448,$A450,AO$4:AO448)=0,"",SUMIF($A$4:$A448,$A450,AO$4:AO448))</f>
        <v/>
      </c>
      <c r="AP450" s="28" t="str">
        <f>IF(SUMIF($A$4:$A448,$A450,AP$4:AP448)=0,"",SUMIF($A$4:$A448,$A450,AP$4:AP448))</f>
        <v/>
      </c>
      <c r="AQ450" s="28" t="str">
        <f>IF(SUMIF($A$4:$A448,$A450,AQ$4:AQ448)=0,"",SUMIF($A$4:$A448,$A450,AQ$4:AQ448))</f>
        <v/>
      </c>
      <c r="AR450" s="28" t="str">
        <f>IF(SUMIF($A$4:$A448,$A450,AR$4:AR448)=0,"",SUMIF($A$4:$A448,$A450,AR$4:AR448))</f>
        <v/>
      </c>
      <c r="AS450" s="34" t="str">
        <f>IF(SUMIF($A$4:$A448,$A450,AS$4:AS448)=0,"",SUMIF($A$4:$A448,$A450,AS$4:AS448))</f>
        <v/>
      </c>
      <c r="AT450" s="34" t="str">
        <f>IF(SUMIF($A$4:$A448,$A450,AT$4:AT448)=0,"",SUMIF($A$4:$A448,$A450,AT$4:AT448))</f>
        <v/>
      </c>
    </row>
    <row r="451" spans="1:46" ht="14.95" thickBot="1">
      <c r="A451" s="27" t="s">
        <v>4</v>
      </c>
      <c r="B451" s="37"/>
      <c r="C451" s="37"/>
      <c r="D451" s="37"/>
      <c r="E451" s="37"/>
      <c r="F451" s="37"/>
      <c r="G451" s="37"/>
      <c r="H451" s="37" t="str">
        <f>IF(SUMIF($A$4:$A449,$A451,H$4:H449)=0,"",SUMIF($A$4:$A449,$A451,H$4:H449))</f>
        <v/>
      </c>
      <c r="I451" s="36">
        <f>IF(SUMIF($A$4:$A449,$A451,I$4:I449)=0,"",SUMIF($A$4:$A449,$A451,I$4:I449))</f>
        <v>49</v>
      </c>
      <c r="J451" s="36">
        <f>IF(SUMIF($A$4:$A449,$A451,J$4:J449)=0,"",SUMIF($A$4:$A449,$A451,J$4:J449))</f>
        <v>33</v>
      </c>
      <c r="K451" s="36">
        <f>IF(SUMIF($A$4:$A449,$A451,K$4:K449)=0,"",SUMIF($A$4:$A449,$A451,K$4:K449))</f>
        <v>37</v>
      </c>
      <c r="L451" s="36">
        <f>IF(SUMIF($A$4:$A449,$A451,L$4:L449)=0,"",SUMIF($A$4:$A449,$A451,L$4:L449))</f>
        <v>32</v>
      </c>
      <c r="M451" s="36">
        <f>IF(SUMIF($A$4:$A449,$A451,M$4:M449)=0,"",SUMIF($A$4:$A449,$A451,M$4:M449))</f>
        <v>36</v>
      </c>
      <c r="N451" s="36">
        <f>IF(SUMIF($A$4:$A449,$A451,N$4:N449)=0,"",SUMIF($A$4:$A449,$A451,N$4:N449))</f>
        <v>43</v>
      </c>
      <c r="O451" s="36">
        <f>IF(SUMIF($A$4:$A449,$A451,O$4:O449)=0,"",SUMIF($A$4:$A449,$A451,O$4:O449))</f>
        <v>26</v>
      </c>
      <c r="P451" s="37"/>
      <c r="Q451" s="36">
        <f>IF(SUMIF($A$4:$A449,$A451,Q$4:Q449)=0,"",SUMIF($A$4:$A449,$A451,Q$4:Q449))</f>
        <v>14</v>
      </c>
      <c r="R451" s="36">
        <f>IF(SUMIF($A$4:$A449,$A451,R$4:R449)=0,"",SUMIF($A$4:$A449,$A451,R$4:R449))</f>
        <v>22</v>
      </c>
      <c r="S451" s="36">
        <f>IF(SUMIF($A$4:$A449,$A451,S$4:S449)=0,"",SUMIF($A$4:$A449,$A451,S$4:S449))</f>
        <v>12</v>
      </c>
      <c r="T451" s="36">
        <f>IF(SUMIF($A$4:$A449,$A451,T$4:T449)=0,"",SUMIF($A$4:$A449,$A451,T$4:T449))</f>
        <v>35</v>
      </c>
      <c r="U451" s="36">
        <f>IF(SUMIF($A$4:$A449,$A451,U$4:U449)=0,"",SUMIF($A$4:$A449,$A451,U$4:U449))</f>
        <v>50</v>
      </c>
      <c r="V451" s="36">
        <f>IF(SUMIF($A$4:$A449,$A451,V$4:V449)=0,"",SUMIF($A$4:$A449,$A451,V$4:V449))</f>
        <v>47</v>
      </c>
      <c r="W451" s="36">
        <f>IF(SUMIF($A$4:$A449,$A451,W$4:W449)=0,"",SUMIF($A$4:$A449,$A451,W$4:W449))</f>
        <v>41</v>
      </c>
      <c r="X451" s="36">
        <f>IF(SUMIF($A$4:$A449,$A451,X$4:X449)=0,"",SUMIF($A$4:$A449,$A451,X$4:X449))</f>
        <v>66</v>
      </c>
      <c r="Y451" s="36">
        <f>IF(SUMIF($A$4:$A449,$A451,Y$4:Y449)=0,"",SUMIF($A$4:$A449,$A451,Y$4:Y449))</f>
        <v>28</v>
      </c>
      <c r="Z451" s="36">
        <f>IF(SUMIF($A$4:$A449,$A451,Z$4:Z449)=0,"",SUMIF($A$4:$A449,$A451,Z$4:Z449))</f>
        <v>43</v>
      </c>
      <c r="AA451" s="36">
        <f>IF(SUMIF($A$4:$A449,$A451,AA$4:AA449)=0,"",SUMIF($A$4:$A449,$A451,AA$4:AA449))</f>
        <v>43</v>
      </c>
      <c r="AB451" s="36">
        <f>IF(SUMIF($A$4:$A449,$A451,AB$4:AB449)=0,"",SUMIF($A$4:$A449,$A451,AB$4:AB449))</f>
        <v>40</v>
      </c>
      <c r="AC451" s="37" t="str">
        <f>IF(SUMIF($A$4:$A449,$A451,AC$4:AC449)=0,"",SUMIF($A$4:$A449,$A451,AC$4:AC449))</f>
        <v/>
      </c>
      <c r="AD451" s="36">
        <f>IF(SUMIF($A$4:$A449,$A451,AD$4:AD449)=0,"",SUMIF($A$4:$A449,$A451,AD$4:AD449))</f>
        <v>40</v>
      </c>
      <c r="AE451" s="36">
        <f>IF(SUMIF($A$4:$A449,$A451,AE$4:AE449)=0,"",SUMIF($A$4:$A449,$A451,AE$4:AE449))</f>
        <v>49</v>
      </c>
      <c r="AF451" s="36">
        <f>IF(SUMIF($A$4:$A449,$A451,AF$4:AF449)=0,"",SUMIF($A$4:$A449,$A451,AF$4:AF449))</f>
        <v>35</v>
      </c>
      <c r="AG451" s="36">
        <f>IF(SUMIF($A$4:$A449,$A451,AG$4:AG449)=0,"",SUMIF($A$4:$A449,$A451,AG$4:AG449))</f>
        <v>14</v>
      </c>
      <c r="AH451" s="37" t="str">
        <f>IF(SUMIF($A$4:$A449,$A451,AH$4:AH449)=0,"",SUMIF($A$4:$A449,$A451,AH$4:AH449))</f>
        <v/>
      </c>
      <c r="AI451" s="36" t="str">
        <f>IF(SUMIF($A$4:$A449,$A451,AI$4:AI449)=0,"",SUMIF($A$4:$A449,$A451,AI$4:AI449))</f>
        <v/>
      </c>
      <c r="AJ451" s="36" t="str">
        <f>IF(SUMIF($A$4:$A449,$A451,AJ$4:AJ449)=0,"",SUMIF($A$4:$A449,$A451,AJ$4:AJ449))</f>
        <v/>
      </c>
      <c r="AK451" s="36" t="str">
        <f>IF(SUMIF($A$4:$A449,$A451,AK$4:AK449)=0,"",SUMIF($A$4:$A449,$A451,AK$4:AK449))</f>
        <v/>
      </c>
      <c r="AL451" s="36" t="str">
        <f>IF(SUMIF($A$4:$A449,$A451,AL$4:AL449)=0,"",SUMIF($A$4:$A449,$A451,AL$4:AL449))</f>
        <v/>
      </c>
      <c r="AM451" s="36" t="str">
        <f>IF(SUMIF($A$4:$A449,$A451,AM$4:AM449)=0,"",SUMIF($A$4:$A449,$A451,AM$4:AM449))</f>
        <v/>
      </c>
      <c r="AN451" s="36" t="str">
        <f>IF(SUMIF($A$4:$A449,$A451,AN$4:AN449)=0,"",SUMIF($A$4:$A449,$A451,AN$4:AN449))</f>
        <v/>
      </c>
      <c r="AO451" s="36" t="str">
        <f>IF(SUMIF($A$4:$A449,$A451,AO$4:AO449)=0,"",SUMIF($A$4:$A449,$A451,AO$4:AO449))</f>
        <v/>
      </c>
      <c r="AP451" s="36" t="str">
        <f>IF(SUMIF($A$4:$A449,$A451,AP$4:AP449)=0,"",SUMIF($A$4:$A449,$A451,AP$4:AP449))</f>
        <v/>
      </c>
      <c r="AQ451" s="36" t="str">
        <f>IF(SUMIF($A$4:$A449,$A451,AQ$4:AQ449)=0,"",SUMIF($A$4:$A449,$A451,AQ$4:AQ449))</f>
        <v/>
      </c>
      <c r="AR451" s="36" t="str">
        <f>IF(SUMIF($A$4:$A449,$A451,AR$4:AR449)=0,"",SUMIF($A$4:$A449,$A451,AR$4:AR449))</f>
        <v/>
      </c>
      <c r="AS451" s="37" t="str">
        <f>IF(SUMIF($A$4:$A449,$A451,AS$4:AS449)=0,"",SUMIF($A$4:$A449,$A451,AS$4:AS449))</f>
        <v/>
      </c>
      <c r="AT451" s="37" t="str">
        <f>IF(SUMIF($A$4:$A449,$A451,AT$4:AT449)=0,"",SUMIF($A$4:$A449,$A451,AT$4:AT449))</f>
        <v/>
      </c>
    </row>
    <row r="452" spans="1:46">
      <c r="A452" s="3" t="s">
        <v>974</v>
      </c>
    </row>
    <row r="453" spans="1:46" ht="16.3">
      <c r="A453" s="528" t="s">
        <v>7</v>
      </c>
    </row>
    <row r="454" spans="1:46">
      <c r="A454" s="2"/>
      <c r="B454" s="43"/>
      <c r="C454" s="43"/>
      <c r="D454" s="43"/>
    </row>
    <row r="455" spans="1:46">
      <c r="A455" s="2"/>
      <c r="B455" s="43"/>
      <c r="C455" s="43"/>
      <c r="D455" s="43"/>
    </row>
    <row r="456" spans="1:46">
      <c r="A456" s="2"/>
    </row>
    <row r="457" spans="1:46">
      <c r="A457" s="2"/>
    </row>
    <row r="458" spans="1:46">
      <c r="A458" s="2"/>
    </row>
    <row r="459" spans="1:46">
      <c r="A459" s="2"/>
    </row>
    <row r="460" spans="1:46">
      <c r="A460" s="2"/>
    </row>
    <row r="461" spans="1:46">
      <c r="A461" s="2"/>
    </row>
    <row r="462" spans="1:46">
      <c r="A462" s="2"/>
    </row>
    <row r="463" spans="1:46">
      <c r="A463" s="2"/>
    </row>
    <row r="464" spans="1:46">
      <c r="A464" s="2"/>
    </row>
    <row r="465" spans="1:1">
      <c r="A465" s="2"/>
    </row>
    <row r="466" spans="1:1">
      <c r="A466" s="3" t="s">
        <v>0</v>
      </c>
    </row>
  </sheetData>
  <mergeCells count="8">
    <mergeCell ref="B440:C440"/>
    <mergeCell ref="D440:E440"/>
    <mergeCell ref="F440:G440"/>
    <mergeCell ref="A1:A3"/>
    <mergeCell ref="B1:G1"/>
    <mergeCell ref="B2:C2"/>
    <mergeCell ref="D2:E2"/>
    <mergeCell ref="F2:G2"/>
  </mergeCells>
  <pageMargins left="0.7" right="0.7" top="0.75" bottom="0.75" header="0.3" footer="0.3"/>
  <pageSetup orientation="portrait" r:id="rId1"/>
  <ignoredErrors>
    <ignoredError sqref="B424:C434 B423 B58:C59 B63 B207:C214 B218 B420:C422 B315:C328 B347:C348 B352 B5:C12 B181:C188 B192 B115:C124 B37:C55 B29:C35 D442:D445 B66:C105 B14:C27 B331:C345 B308:C313 B128:C143 B195:C205 B361:C402 B412 B406 B107:C108 B112 B145:C179 B227:C249 B358 B271:C301 B305 B224 B415:C418 B251:C26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453"/>
  <sheetViews>
    <sheetView zoomScaleNormal="100" workbookViewId="0">
      <pane xSplit="7" ySplit="3" topLeftCell="S4" activePane="bottomRight" state="frozen"/>
      <selection pane="topRight" activeCell="H1" sqref="H1"/>
      <selection pane="bottomLeft" activeCell="A4" sqref="A4"/>
      <selection pane="bottomRight" activeCell="Z16" sqref="Z16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928" t="s">
        <v>516</v>
      </c>
      <c r="B1" s="931" t="s">
        <v>347</v>
      </c>
      <c r="C1" s="932"/>
      <c r="D1" s="932"/>
      <c r="E1" s="932"/>
      <c r="F1" s="932"/>
      <c r="G1" s="933"/>
      <c r="H1" s="22" t="s">
        <v>529</v>
      </c>
      <c r="I1" s="22" t="s">
        <v>9</v>
      </c>
      <c r="J1" s="22" t="s">
        <v>562</v>
      </c>
      <c r="K1" s="22" t="s">
        <v>563</v>
      </c>
      <c r="L1" s="22" t="s">
        <v>564</v>
      </c>
      <c r="M1" s="22" t="s">
        <v>565</v>
      </c>
      <c r="N1" s="22" t="s">
        <v>566</v>
      </c>
      <c r="O1" s="22" t="s">
        <v>435</v>
      </c>
      <c r="P1" s="22" t="s">
        <v>9</v>
      </c>
      <c r="Q1" s="22" t="s">
        <v>436</v>
      </c>
      <c r="R1" s="22" t="s">
        <v>536</v>
      </c>
      <c r="S1" s="22" t="s">
        <v>537</v>
      </c>
      <c r="T1" s="22" t="s">
        <v>474</v>
      </c>
      <c r="U1" s="1" t="s">
        <v>475</v>
      </c>
      <c r="V1" s="22" t="s">
        <v>538</v>
      </c>
      <c r="W1" s="22" t="s">
        <v>539</v>
      </c>
      <c r="X1" s="22" t="s">
        <v>540</v>
      </c>
      <c r="Y1" s="1" t="s">
        <v>472</v>
      </c>
      <c r="Z1" s="1" t="s">
        <v>473</v>
      </c>
      <c r="AA1" s="22" t="s">
        <v>541</v>
      </c>
      <c r="AB1" s="22" t="s">
        <v>542</v>
      </c>
      <c r="AC1" s="22" t="s">
        <v>543</v>
      </c>
      <c r="AD1" s="22" t="s">
        <v>9</v>
      </c>
      <c r="AE1" s="22" t="s">
        <v>544</v>
      </c>
      <c r="AF1" s="22" t="s">
        <v>545</v>
      </c>
      <c r="AG1" s="22" t="s">
        <v>9</v>
      </c>
      <c r="AH1" s="22" t="s">
        <v>9</v>
      </c>
      <c r="AI1" s="22" t="s">
        <v>547</v>
      </c>
      <c r="AJ1" s="22" t="s">
        <v>548</v>
      </c>
      <c r="AK1" s="1" t="s">
        <v>549</v>
      </c>
      <c r="AL1" s="1" t="s">
        <v>550</v>
      </c>
      <c r="AM1" s="22" t="s">
        <v>551</v>
      </c>
      <c r="AN1" s="22" t="s">
        <v>552</v>
      </c>
      <c r="AO1" s="1" t="s">
        <v>553</v>
      </c>
      <c r="AP1" s="22" t="s">
        <v>554</v>
      </c>
      <c r="AQ1" s="22" t="s">
        <v>555</v>
      </c>
      <c r="AR1" s="1" t="s">
        <v>556</v>
      </c>
      <c r="AS1" s="22" t="s">
        <v>557</v>
      </c>
      <c r="AT1" s="22" t="s">
        <v>558</v>
      </c>
      <c r="AU1" s="22" t="s">
        <v>559</v>
      </c>
      <c r="AV1" s="22" t="s">
        <v>560</v>
      </c>
    </row>
    <row r="2" spans="1:48">
      <c r="A2" s="929"/>
      <c r="B2" s="862" t="s">
        <v>352</v>
      </c>
      <c r="C2" s="863"/>
      <c r="D2" s="864" t="s">
        <v>350</v>
      </c>
      <c r="E2" s="865"/>
      <c r="F2" s="866" t="s">
        <v>351</v>
      </c>
      <c r="G2" s="867"/>
      <c r="H2" s="42">
        <v>41518</v>
      </c>
      <c r="I2" s="56">
        <v>43709</v>
      </c>
      <c r="J2" s="4">
        <v>45901</v>
      </c>
      <c r="K2" s="4">
        <v>37895</v>
      </c>
      <c r="L2" s="5">
        <v>40452</v>
      </c>
      <c r="M2" s="5">
        <v>43374</v>
      </c>
      <c r="N2" s="5">
        <v>45931</v>
      </c>
      <c r="O2" s="42">
        <v>37561</v>
      </c>
      <c r="P2" s="56">
        <v>39753</v>
      </c>
      <c r="Q2" s="41">
        <v>42309</v>
      </c>
      <c r="R2" s="41">
        <v>44866</v>
      </c>
      <c r="S2" s="4">
        <v>47058</v>
      </c>
      <c r="T2" s="38">
        <v>38687</v>
      </c>
      <c r="U2" s="38">
        <v>41609</v>
      </c>
      <c r="V2" s="4">
        <v>44166</v>
      </c>
      <c r="W2" s="4">
        <v>9832</v>
      </c>
      <c r="X2" s="5">
        <v>37257</v>
      </c>
      <c r="Y2" s="38">
        <v>40179</v>
      </c>
      <c r="Z2" s="38">
        <v>42736</v>
      </c>
      <c r="AA2" s="4">
        <v>45292</v>
      </c>
      <c r="AB2" s="41">
        <v>47849</v>
      </c>
      <c r="AC2" s="41">
        <v>39479</v>
      </c>
      <c r="AD2" s="56">
        <v>41671</v>
      </c>
      <c r="AE2" s="41">
        <v>43862</v>
      </c>
      <c r="AF2" s="41">
        <v>46784</v>
      </c>
      <c r="AG2" s="56">
        <v>39508</v>
      </c>
      <c r="AH2" s="56">
        <v>42064</v>
      </c>
      <c r="AI2" s="4">
        <v>44621</v>
      </c>
      <c r="AJ2" s="4">
        <v>46813</v>
      </c>
      <c r="AK2" s="4">
        <v>38443</v>
      </c>
      <c r="AL2" s="4">
        <v>41000</v>
      </c>
      <c r="AM2" s="4">
        <v>43556</v>
      </c>
      <c r="AN2" s="4">
        <v>9588</v>
      </c>
      <c r="AO2" s="4">
        <v>37742</v>
      </c>
      <c r="AP2" s="4">
        <v>40299</v>
      </c>
      <c r="AQ2" s="4">
        <v>43221</v>
      </c>
      <c r="AR2" s="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930"/>
      <c r="B3" s="281" t="s">
        <v>360</v>
      </c>
      <c r="C3" s="64" t="s">
        <v>349</v>
      </c>
      <c r="D3" s="71" t="s">
        <v>360</v>
      </c>
      <c r="E3" s="61" t="s">
        <v>349</v>
      </c>
      <c r="F3" s="71" t="s">
        <v>360</v>
      </c>
      <c r="G3" s="70" t="s">
        <v>349</v>
      </c>
      <c r="H3" s="6" t="s">
        <v>380</v>
      </c>
      <c r="I3" s="7"/>
      <c r="J3" s="73" t="s">
        <v>680</v>
      </c>
      <c r="K3" s="80" t="s">
        <v>376</v>
      </c>
      <c r="L3" s="24" t="s">
        <v>728</v>
      </c>
      <c r="M3" s="577" t="s">
        <v>396</v>
      </c>
      <c r="N3" s="577" t="s">
        <v>403</v>
      </c>
      <c r="O3" s="81" t="s">
        <v>680</v>
      </c>
      <c r="P3" s="7"/>
      <c r="Q3" s="9" t="s">
        <v>397</v>
      </c>
      <c r="R3" s="10" t="s">
        <v>376</v>
      </c>
      <c r="S3" s="21" t="s">
        <v>397</v>
      </c>
      <c r="T3" s="21" t="s">
        <v>845</v>
      </c>
      <c r="U3" s="663" t="s">
        <v>876</v>
      </c>
      <c r="V3" s="10" t="s">
        <v>694</v>
      </c>
      <c r="W3" s="9" t="s">
        <v>391</v>
      </c>
      <c r="X3" s="10" t="s">
        <v>700</v>
      </c>
      <c r="Y3" s="9" t="s">
        <v>936</v>
      </c>
      <c r="Z3" s="10" t="s">
        <v>954</v>
      </c>
      <c r="AA3" s="21" t="s">
        <v>639</v>
      </c>
      <c r="AB3" s="10" t="s">
        <v>722</v>
      </c>
      <c r="AC3" s="21" t="s">
        <v>687</v>
      </c>
      <c r="AD3" s="21"/>
      <c r="AE3" s="10" t="s">
        <v>390</v>
      </c>
      <c r="AF3" s="11" t="s">
        <v>700</v>
      </c>
      <c r="AG3" s="9"/>
      <c r="AH3" s="9"/>
      <c r="AI3" s="6"/>
      <c r="AJ3" s="10"/>
      <c r="AK3" s="55"/>
      <c r="AL3" s="54"/>
      <c r="AM3" s="23"/>
      <c r="AN3" s="10"/>
      <c r="AO3" s="55"/>
      <c r="AP3" s="9"/>
      <c r="AQ3" s="9"/>
      <c r="AR3" s="465"/>
      <c r="AS3" s="10"/>
      <c r="AT3" s="9"/>
      <c r="AV3" s="465"/>
    </row>
    <row r="4" spans="1:48" ht="21.1">
      <c r="A4" s="82" t="s">
        <v>74</v>
      </c>
      <c r="B4" s="273"/>
      <c r="C4" s="214"/>
      <c r="D4" s="133"/>
      <c r="E4" s="134"/>
      <c r="F4" s="135"/>
      <c r="G4" s="136"/>
      <c r="H4" s="96"/>
      <c r="I4" s="105"/>
      <c r="J4" s="104"/>
      <c r="K4" s="75"/>
      <c r="L4" s="75"/>
      <c r="M4" s="75" t="s">
        <v>375</v>
      </c>
      <c r="N4" s="75">
        <v>15</v>
      </c>
      <c r="O4" s="97"/>
      <c r="P4" s="98"/>
      <c r="Q4" s="99" t="s">
        <v>379</v>
      </c>
      <c r="R4" s="109"/>
      <c r="S4" s="100">
        <v>15</v>
      </c>
      <c r="T4" s="106" t="s">
        <v>339</v>
      </c>
      <c r="U4" s="137" t="s">
        <v>339</v>
      </c>
      <c r="V4" s="102" t="s">
        <v>339</v>
      </c>
      <c r="W4" s="102" t="s">
        <v>339</v>
      </c>
      <c r="X4" s="100" t="s">
        <v>339</v>
      </c>
      <c r="Y4" s="101" t="s">
        <v>339</v>
      </c>
      <c r="Z4" s="101" t="s">
        <v>339</v>
      </c>
      <c r="AA4" s="102" t="s">
        <v>339</v>
      </c>
      <c r="AB4" s="99" t="s">
        <v>339</v>
      </c>
      <c r="AC4" s="99" t="s">
        <v>379</v>
      </c>
      <c r="AD4" s="98"/>
      <c r="AE4" s="99" t="s">
        <v>379</v>
      </c>
      <c r="AF4" s="99"/>
      <c r="AG4" s="98"/>
      <c r="AH4" s="103"/>
      <c r="AI4" s="102"/>
      <c r="AJ4" s="101"/>
      <c r="AK4" s="101"/>
      <c r="AL4" s="102"/>
      <c r="AM4" s="102"/>
      <c r="AN4" s="102"/>
      <c r="AO4" s="102"/>
      <c r="AP4" s="102"/>
      <c r="AQ4" s="102"/>
      <c r="AR4" s="102"/>
      <c r="AS4" s="102"/>
      <c r="AT4" s="102"/>
    </row>
    <row r="5" spans="1:48" ht="16.3">
      <c r="A5" s="246" t="s">
        <v>1</v>
      </c>
      <c r="B5" s="274">
        <f>SUM(J5+K5+L5+M5+N5+S5+V5+W5+X5+AA5+AI5+AJ5+AI5+AM5+AP5+AQ5+AS5+AT5+AU5+AV5+AN5)+60</f>
        <v>62</v>
      </c>
      <c r="C5" s="215">
        <f>B5</f>
        <v>62</v>
      </c>
      <c r="D5" s="139"/>
      <c r="E5" s="140"/>
      <c r="F5" s="135"/>
      <c r="G5" s="136"/>
      <c r="H5" s="96"/>
      <c r="I5" s="105"/>
      <c r="J5" s="104"/>
      <c r="K5" s="75"/>
      <c r="L5" s="75"/>
      <c r="M5" s="75"/>
      <c r="N5" s="75">
        <v>1</v>
      </c>
      <c r="O5" s="96"/>
      <c r="P5" s="105"/>
      <c r="Q5" s="96">
        <v>1</v>
      </c>
      <c r="R5" s="96"/>
      <c r="S5" s="75">
        <v>1</v>
      </c>
      <c r="T5" s="106"/>
      <c r="U5" s="106"/>
      <c r="V5" s="75"/>
      <c r="W5" s="75"/>
      <c r="X5" s="75"/>
      <c r="Y5" s="106"/>
      <c r="Z5" s="106"/>
      <c r="AA5" s="75"/>
      <c r="AB5" s="96"/>
      <c r="AC5" s="96">
        <v>1</v>
      </c>
      <c r="AD5" s="105"/>
      <c r="AE5" s="96">
        <v>1</v>
      </c>
      <c r="AF5" s="96"/>
      <c r="AG5" s="105"/>
      <c r="AH5" s="107"/>
      <c r="AI5" s="75"/>
      <c r="AJ5" s="106"/>
      <c r="AK5" s="106"/>
      <c r="AL5" s="75"/>
      <c r="AM5" s="75"/>
      <c r="AN5" s="75"/>
      <c r="AO5" s="75"/>
      <c r="AP5" s="75"/>
      <c r="AQ5" s="75"/>
      <c r="AR5" s="75"/>
      <c r="AS5" s="75"/>
      <c r="AT5" s="75"/>
    </row>
    <row r="6" spans="1:48" ht="16.3">
      <c r="A6" s="246" t="s">
        <v>2</v>
      </c>
      <c r="B6" s="274">
        <f>SUM(J6+K6+L6+M6+N6+S6+V6+W6+X6+AA6+AI6+AJ6+AI6+AM6+AP6+AQ6+AS6+AT6+AU6+AV6)+26</f>
        <v>27</v>
      </c>
      <c r="C6" s="215">
        <f t="shared" ref="C6:C10" si="0">B6</f>
        <v>27</v>
      </c>
      <c r="D6" s="139"/>
      <c r="E6" s="140"/>
      <c r="F6" s="135"/>
      <c r="G6" s="136"/>
      <c r="H6" s="96"/>
      <c r="I6" s="105"/>
      <c r="J6" s="104"/>
      <c r="K6" s="75"/>
      <c r="L6" s="75"/>
      <c r="M6" s="75">
        <v>1</v>
      </c>
      <c r="N6" s="75"/>
      <c r="O6" s="97"/>
      <c r="P6" s="108"/>
      <c r="Q6" s="109"/>
      <c r="R6" s="109"/>
      <c r="S6" s="100"/>
      <c r="T6" s="106"/>
      <c r="U6" s="137"/>
      <c r="V6" s="100"/>
      <c r="W6" s="100"/>
      <c r="X6" s="100"/>
      <c r="Y6" s="110"/>
      <c r="Z6" s="110"/>
      <c r="AA6" s="100"/>
      <c r="AB6" s="109"/>
      <c r="AC6" s="109"/>
      <c r="AD6" s="108"/>
      <c r="AE6" s="109"/>
      <c r="AF6" s="109"/>
      <c r="AG6" s="108"/>
      <c r="AH6" s="111"/>
      <c r="AI6" s="100"/>
      <c r="AJ6" s="110"/>
      <c r="AK6" s="110"/>
      <c r="AL6" s="100"/>
      <c r="AM6" s="100"/>
      <c r="AN6" s="100"/>
      <c r="AO6" s="100"/>
      <c r="AP6" s="100"/>
      <c r="AQ6" s="100"/>
      <c r="AR6" s="100"/>
      <c r="AS6" s="100"/>
      <c r="AT6" s="100"/>
    </row>
    <row r="7" spans="1:48" ht="16.3">
      <c r="A7" s="83" t="s">
        <v>363</v>
      </c>
      <c r="B7" s="273">
        <f>SUM(B5+B6)</f>
        <v>89</v>
      </c>
      <c r="C7" s="214">
        <f t="shared" si="0"/>
        <v>89</v>
      </c>
      <c r="D7" s="139"/>
      <c r="E7" s="140"/>
      <c r="F7" s="135"/>
      <c r="G7" s="136"/>
      <c r="H7" s="96"/>
      <c r="I7" s="105"/>
      <c r="J7" s="104"/>
      <c r="K7" s="75"/>
      <c r="L7" s="75"/>
      <c r="M7" s="75"/>
      <c r="N7" s="75"/>
      <c r="O7" s="97"/>
      <c r="P7" s="108"/>
      <c r="Q7" s="109"/>
      <c r="R7" s="109"/>
      <c r="S7" s="100"/>
      <c r="T7" s="106"/>
      <c r="U7" s="137"/>
      <c r="V7" s="100"/>
      <c r="W7" s="100"/>
      <c r="X7" s="100"/>
      <c r="Y7" s="110"/>
      <c r="Z7" s="110"/>
      <c r="AA7" s="100"/>
      <c r="AB7" s="109"/>
      <c r="AC7" s="109"/>
      <c r="AD7" s="108"/>
      <c r="AE7" s="109"/>
      <c r="AF7" s="109"/>
      <c r="AG7" s="108"/>
      <c r="AH7" s="111"/>
      <c r="AI7" s="100"/>
      <c r="AJ7" s="110"/>
      <c r="AK7" s="110"/>
      <c r="AL7" s="100"/>
      <c r="AM7" s="100"/>
      <c r="AN7" s="100"/>
      <c r="AO7" s="100"/>
      <c r="AP7" s="100"/>
      <c r="AQ7" s="100"/>
      <c r="AR7" s="100"/>
      <c r="AS7" s="100"/>
      <c r="AT7" s="100"/>
    </row>
    <row r="8" spans="1:48" ht="16.3">
      <c r="A8" s="246" t="s">
        <v>362</v>
      </c>
      <c r="B8" s="274">
        <f>SUM(J8+K8+L8+M8+N8+S8+V8+W8+X8+AA8+AI8+AJ8+AI8+AM8+AP8+AQ8+AS8+AT8+AU8+AV8)+2</f>
        <v>2</v>
      </c>
      <c r="C8" s="215">
        <f t="shared" si="0"/>
        <v>2</v>
      </c>
      <c r="D8" s="139"/>
      <c r="E8" s="140"/>
      <c r="F8" s="135"/>
      <c r="G8" s="136"/>
      <c r="H8" s="96"/>
      <c r="I8" s="105"/>
      <c r="J8" s="104"/>
      <c r="K8" s="75"/>
      <c r="L8" s="75"/>
      <c r="M8" s="75"/>
      <c r="N8" s="75"/>
      <c r="O8" s="97"/>
      <c r="P8" s="108"/>
      <c r="Q8" s="109"/>
      <c r="R8" s="109"/>
      <c r="S8" s="100"/>
      <c r="T8" s="106"/>
      <c r="U8" s="137"/>
      <c r="V8" s="100"/>
      <c r="W8" s="100"/>
      <c r="X8" s="100"/>
      <c r="Y8" s="110"/>
      <c r="Z8" s="110"/>
      <c r="AA8" s="100"/>
      <c r="AB8" s="109"/>
      <c r="AC8" s="109"/>
      <c r="AD8" s="108"/>
      <c r="AE8" s="109"/>
      <c r="AF8" s="109"/>
      <c r="AG8" s="108"/>
      <c r="AH8" s="111"/>
      <c r="AI8" s="100"/>
      <c r="AJ8" s="110"/>
      <c r="AK8" s="110"/>
      <c r="AL8" s="100"/>
      <c r="AM8" s="100"/>
      <c r="AN8" s="100"/>
      <c r="AO8" s="100"/>
      <c r="AP8" s="100"/>
      <c r="AQ8" s="100"/>
      <c r="AR8" s="100"/>
      <c r="AS8" s="100"/>
      <c r="AT8" s="100"/>
    </row>
    <row r="9" spans="1:48" ht="16.3">
      <c r="A9" s="83" t="s">
        <v>3</v>
      </c>
      <c r="B9" s="273">
        <f>SUM(J9+K9+L9+M9+N9+S9+V9+W9+X9+AA9+AI9+AJ9+AI9+AM9+AP9+AQ9+AS9+AT9+AU9+AV9)+13</f>
        <v>17</v>
      </c>
      <c r="C9" s="214">
        <f t="shared" si="0"/>
        <v>17</v>
      </c>
      <c r="D9" s="133"/>
      <c r="E9" s="134"/>
      <c r="F9" s="135"/>
      <c r="G9" s="136"/>
      <c r="H9" s="96"/>
      <c r="I9" s="105"/>
      <c r="J9" s="104"/>
      <c r="K9" s="75"/>
      <c r="L9" s="75"/>
      <c r="M9" s="75"/>
      <c r="N9" s="168">
        <v>3</v>
      </c>
      <c r="O9" s="97"/>
      <c r="P9" s="108"/>
      <c r="Q9" s="109"/>
      <c r="R9" s="109"/>
      <c r="S9" s="100">
        <v>1</v>
      </c>
      <c r="T9" s="106"/>
      <c r="U9" s="137"/>
      <c r="V9" s="100"/>
      <c r="W9" s="100"/>
      <c r="X9" s="100"/>
      <c r="Y9" s="110"/>
      <c r="Z9" s="110"/>
      <c r="AA9" s="100"/>
      <c r="AB9" s="109"/>
      <c r="AC9" s="109"/>
      <c r="AD9" s="108"/>
      <c r="AE9" s="109"/>
      <c r="AF9" s="109"/>
      <c r="AG9" s="108"/>
      <c r="AH9" s="111"/>
      <c r="AI9" s="100"/>
      <c r="AJ9" s="110"/>
      <c r="AK9" s="110"/>
      <c r="AL9" s="100"/>
      <c r="AM9" s="100"/>
      <c r="AN9" s="100"/>
      <c r="AO9" s="100"/>
      <c r="AP9" s="100"/>
      <c r="AQ9" s="100"/>
      <c r="AR9" s="100"/>
      <c r="AS9" s="100"/>
      <c r="AT9" s="100"/>
    </row>
    <row r="10" spans="1:48" ht="17" thickBot="1">
      <c r="A10" s="85" t="s">
        <v>4</v>
      </c>
      <c r="B10" s="275">
        <f>SUM(J10+K10+L10+M10+N10+S10+V10+W10+X10+AA10+AI10+AJ10+AI10+AM10+AP10+AQ10+AS10+AT10+AU10+AV10)+65</f>
        <v>85</v>
      </c>
      <c r="C10" s="217">
        <f t="shared" si="0"/>
        <v>85</v>
      </c>
      <c r="D10" s="144"/>
      <c r="E10" s="145"/>
      <c r="F10" s="146"/>
      <c r="G10" s="147"/>
      <c r="H10" s="114"/>
      <c r="I10" s="127"/>
      <c r="J10" s="113"/>
      <c r="K10" s="112"/>
      <c r="L10" s="112"/>
      <c r="M10" s="112"/>
      <c r="N10" s="112">
        <v>15</v>
      </c>
      <c r="O10" s="115"/>
      <c r="P10" s="108"/>
      <c r="Q10" s="109"/>
      <c r="R10" s="118"/>
      <c r="S10" s="112">
        <v>5</v>
      </c>
      <c r="T10" s="119"/>
      <c r="U10" s="148"/>
      <c r="V10" s="100"/>
      <c r="W10" s="100"/>
      <c r="X10" s="116"/>
      <c r="Y10" s="110"/>
      <c r="Z10" s="110"/>
      <c r="AA10" s="100"/>
      <c r="AB10" s="109"/>
      <c r="AC10" s="109"/>
      <c r="AD10" s="108"/>
      <c r="AE10" s="109"/>
      <c r="AF10" s="109"/>
      <c r="AG10" s="108"/>
      <c r="AH10" s="111"/>
      <c r="AI10" s="100"/>
      <c r="AJ10" s="110"/>
      <c r="AK10" s="110"/>
      <c r="AL10" s="100"/>
      <c r="AM10" s="100"/>
      <c r="AN10" s="100"/>
      <c r="AO10" s="100"/>
      <c r="AP10" s="100"/>
      <c r="AQ10" s="100"/>
      <c r="AR10" s="100"/>
      <c r="AS10" s="100"/>
      <c r="AT10" s="100"/>
    </row>
    <row r="11" spans="1:48" ht="21.1">
      <c r="A11" s="82" t="s">
        <v>146</v>
      </c>
      <c r="B11" s="273"/>
      <c r="C11" s="214"/>
      <c r="D11" s="133"/>
      <c r="E11" s="134"/>
      <c r="F11" s="135"/>
      <c r="G11" s="136"/>
      <c r="H11" s="96" t="s">
        <v>501</v>
      </c>
      <c r="I11" s="105"/>
      <c r="J11" s="104">
        <v>15</v>
      </c>
      <c r="K11" s="75">
        <v>15</v>
      </c>
      <c r="L11" s="75" t="s">
        <v>379</v>
      </c>
      <c r="M11" s="75" t="s">
        <v>339</v>
      </c>
      <c r="N11" s="75" t="s">
        <v>339</v>
      </c>
      <c r="O11" s="97" t="s">
        <v>339</v>
      </c>
      <c r="P11" s="98"/>
      <c r="Q11" s="99" t="s">
        <v>339</v>
      </c>
      <c r="R11" s="109" t="s">
        <v>339</v>
      </c>
      <c r="S11" s="100" t="s">
        <v>339</v>
      </c>
      <c r="T11" s="106" t="s">
        <v>339</v>
      </c>
      <c r="U11" s="137" t="s">
        <v>339</v>
      </c>
      <c r="V11" s="102" t="s">
        <v>339</v>
      </c>
      <c r="W11" s="102" t="s">
        <v>379</v>
      </c>
      <c r="X11" s="100" t="s">
        <v>379</v>
      </c>
      <c r="Y11" s="101">
        <v>15</v>
      </c>
      <c r="Z11" s="101"/>
      <c r="AA11" s="102">
        <v>15</v>
      </c>
      <c r="AB11" s="99" t="s">
        <v>816</v>
      </c>
      <c r="AC11" s="99" t="s">
        <v>816</v>
      </c>
      <c r="AD11" s="98"/>
      <c r="AE11" s="99"/>
      <c r="AF11" s="99">
        <v>15</v>
      </c>
      <c r="AG11" s="98"/>
      <c r="AH11" s="103"/>
      <c r="AI11" s="102"/>
      <c r="AJ11" s="101"/>
      <c r="AK11" s="101"/>
      <c r="AL11" s="102"/>
      <c r="AM11" s="102"/>
      <c r="AN11" s="102"/>
      <c r="AO11" s="102"/>
      <c r="AP11" s="102"/>
      <c r="AQ11" s="102"/>
      <c r="AR11" s="102"/>
      <c r="AS11" s="102"/>
      <c r="AT11" s="102"/>
    </row>
    <row r="12" spans="1:48" ht="16.3">
      <c r="A12" s="246" t="s">
        <v>1</v>
      </c>
      <c r="B12" s="274">
        <f>SUM(J12+K12+L12+M12+N12+S12+V12+W12+X12+AA12+AI12+AJ12+AI12+AM12+AP12+AQ12+AS12+AT12+AU12+AV12+AN12)+50</f>
        <v>56</v>
      </c>
      <c r="C12" s="215">
        <f>B12</f>
        <v>56</v>
      </c>
      <c r="D12" s="139"/>
      <c r="E12" s="140"/>
      <c r="F12" s="135"/>
      <c r="G12" s="136"/>
      <c r="H12" s="96"/>
      <c r="I12" s="105"/>
      <c r="J12" s="104">
        <v>1</v>
      </c>
      <c r="K12" s="75">
        <v>1</v>
      </c>
      <c r="L12" s="75">
        <v>1</v>
      </c>
      <c r="M12" s="75"/>
      <c r="N12" s="75"/>
      <c r="O12" s="96"/>
      <c r="P12" s="105"/>
      <c r="Q12" s="96"/>
      <c r="R12" s="96"/>
      <c r="S12" s="75"/>
      <c r="T12" s="106"/>
      <c r="U12" s="106"/>
      <c r="V12" s="75"/>
      <c r="W12" s="75">
        <v>1</v>
      </c>
      <c r="X12" s="75">
        <v>1</v>
      </c>
      <c r="Y12" s="106">
        <v>1</v>
      </c>
      <c r="Z12" s="106"/>
      <c r="AA12" s="75">
        <v>1</v>
      </c>
      <c r="AB12" s="96"/>
      <c r="AC12" s="96"/>
      <c r="AD12" s="105"/>
      <c r="AE12" s="96"/>
      <c r="AF12" s="96">
        <v>1</v>
      </c>
      <c r="AG12" s="105"/>
      <c r="AH12" s="107"/>
      <c r="AI12" s="75"/>
      <c r="AJ12" s="106"/>
      <c r="AK12" s="106"/>
      <c r="AL12" s="75"/>
      <c r="AM12" s="75"/>
      <c r="AN12" s="75"/>
      <c r="AO12" s="75"/>
      <c r="AP12" s="75"/>
      <c r="AQ12" s="75"/>
      <c r="AR12" s="75"/>
      <c r="AS12" s="75"/>
      <c r="AT12" s="75"/>
    </row>
    <row r="13" spans="1:48" ht="16.3">
      <c r="A13" s="246" t="s">
        <v>2</v>
      </c>
      <c r="B13" s="274">
        <f>SUM(J13+K13+L13+M13+N13+S13+V13+W13+X13+AA13+AI13+AJ13+AI13+AM13+AP13+AQ13+AS13+AT13+AU13+AV13)+2</f>
        <v>2</v>
      </c>
      <c r="C13" s="215">
        <f t="shared" ref="C13:C16" si="1">B13</f>
        <v>2</v>
      </c>
      <c r="D13" s="139"/>
      <c r="E13" s="140"/>
      <c r="F13" s="135"/>
      <c r="G13" s="136"/>
      <c r="H13" s="96"/>
      <c r="I13" s="105"/>
      <c r="J13" s="104"/>
      <c r="K13" s="75"/>
      <c r="L13" s="75"/>
      <c r="M13" s="75"/>
      <c r="N13" s="75"/>
      <c r="O13" s="97"/>
      <c r="P13" s="108"/>
      <c r="Q13" s="109"/>
      <c r="R13" s="109"/>
      <c r="S13" s="100"/>
      <c r="T13" s="106"/>
      <c r="U13" s="137"/>
      <c r="V13" s="100"/>
      <c r="W13" s="100"/>
      <c r="X13" s="100"/>
      <c r="Y13" s="110"/>
      <c r="Z13" s="110"/>
      <c r="AA13" s="100"/>
      <c r="AB13" s="109"/>
      <c r="AC13" s="109"/>
      <c r="AD13" s="108"/>
      <c r="AE13" s="109"/>
      <c r="AF13" s="109"/>
      <c r="AG13" s="108"/>
      <c r="AH13" s="111"/>
      <c r="AI13" s="100"/>
      <c r="AJ13" s="110"/>
      <c r="AK13" s="110"/>
      <c r="AL13" s="100"/>
      <c r="AM13" s="100"/>
      <c r="AN13" s="100"/>
      <c r="AO13" s="100"/>
      <c r="AP13" s="100"/>
      <c r="AQ13" s="100"/>
      <c r="AR13" s="100"/>
      <c r="AS13" s="100"/>
      <c r="AT13" s="100"/>
    </row>
    <row r="14" spans="1:48" ht="16.3">
      <c r="A14" s="83" t="s">
        <v>363</v>
      </c>
      <c r="B14" s="273">
        <f>SUM(B12+B13)</f>
        <v>58</v>
      </c>
      <c r="C14" s="214">
        <f t="shared" si="1"/>
        <v>58</v>
      </c>
      <c r="D14" s="133"/>
      <c r="E14" s="134"/>
      <c r="F14" s="135"/>
      <c r="G14" s="136"/>
      <c r="H14" s="96"/>
      <c r="I14" s="105"/>
      <c r="J14" s="104"/>
      <c r="K14" s="75"/>
      <c r="L14" s="75"/>
      <c r="M14" s="75"/>
      <c r="N14" s="75"/>
      <c r="O14" s="97"/>
      <c r="P14" s="108"/>
      <c r="Q14" s="109"/>
      <c r="R14" s="109"/>
      <c r="S14" s="100"/>
      <c r="T14" s="106"/>
      <c r="U14" s="137"/>
      <c r="V14" s="100"/>
      <c r="W14" s="100"/>
      <c r="X14" s="100"/>
      <c r="Y14" s="110"/>
      <c r="Z14" s="110"/>
      <c r="AA14" s="100"/>
      <c r="AB14" s="109"/>
      <c r="AC14" s="109"/>
      <c r="AD14" s="108"/>
      <c r="AE14" s="109"/>
      <c r="AF14" s="109"/>
      <c r="AG14" s="108"/>
      <c r="AH14" s="111"/>
      <c r="AI14" s="100"/>
      <c r="AJ14" s="110"/>
      <c r="AK14" s="110"/>
      <c r="AL14" s="100"/>
      <c r="AM14" s="100"/>
      <c r="AN14" s="100"/>
      <c r="AO14" s="100"/>
      <c r="AP14" s="100"/>
      <c r="AQ14" s="100"/>
      <c r="AR14" s="100"/>
      <c r="AS14" s="100"/>
      <c r="AT14" s="100"/>
    </row>
    <row r="15" spans="1:48" ht="16.3">
      <c r="A15" s="246" t="s">
        <v>362</v>
      </c>
      <c r="B15" s="274">
        <f>SUM(J15+K15+L15+M15+N15+S15+V15+W15+X15+AA15+AI15+AJ15+AI15+AM15+AP15+AQ15+AS15+AT15+AU15+AV15)+2</f>
        <v>2</v>
      </c>
      <c r="C15" s="215">
        <f t="shared" si="1"/>
        <v>2</v>
      </c>
      <c r="D15" s="133"/>
      <c r="E15" s="134"/>
      <c r="F15" s="135"/>
      <c r="G15" s="136"/>
      <c r="H15" s="96"/>
      <c r="I15" s="105"/>
      <c r="J15" s="104"/>
      <c r="K15" s="75"/>
      <c r="L15" s="75"/>
      <c r="M15" s="75"/>
      <c r="N15" s="75"/>
      <c r="O15" s="97"/>
      <c r="P15" s="108"/>
      <c r="Q15" s="109"/>
      <c r="R15" s="109"/>
      <c r="S15" s="100"/>
      <c r="T15" s="106"/>
      <c r="U15" s="137"/>
      <c r="V15" s="100"/>
      <c r="W15" s="100"/>
      <c r="X15" s="100"/>
      <c r="Y15" s="110"/>
      <c r="Z15" s="110"/>
      <c r="AA15" s="100"/>
      <c r="AB15" s="109"/>
      <c r="AC15" s="109"/>
      <c r="AD15" s="108"/>
      <c r="AE15" s="109"/>
      <c r="AF15" s="109"/>
      <c r="AG15" s="108"/>
      <c r="AH15" s="111"/>
      <c r="AI15" s="100"/>
      <c r="AJ15" s="110"/>
      <c r="AK15" s="110"/>
      <c r="AL15" s="100"/>
      <c r="AM15" s="100"/>
      <c r="AN15" s="100"/>
      <c r="AO15" s="100"/>
      <c r="AP15" s="100"/>
      <c r="AQ15" s="100"/>
      <c r="AR15" s="100"/>
      <c r="AS15" s="100"/>
      <c r="AT15" s="100"/>
    </row>
    <row r="16" spans="1:48" ht="16.3">
      <c r="A16" s="83" t="s">
        <v>3</v>
      </c>
      <c r="B16" s="273">
        <f>SUM(J16+K16+L16+M16+N16+S16+V16+W16+X16+AA16+AI16+AJ16+AI16+AM16+AP16+AQ16+AS16+AT16+AU16+AV16)+14</f>
        <v>16</v>
      </c>
      <c r="C16" s="214">
        <f t="shared" si="1"/>
        <v>16</v>
      </c>
      <c r="D16" s="133"/>
      <c r="E16" s="134"/>
      <c r="F16" s="135"/>
      <c r="G16" s="136"/>
      <c r="H16" s="96"/>
      <c r="I16" s="105"/>
      <c r="J16" s="104">
        <v>1</v>
      </c>
      <c r="K16" s="75"/>
      <c r="L16" s="75"/>
      <c r="M16" s="75"/>
      <c r="N16" s="75"/>
      <c r="O16" s="97"/>
      <c r="P16" s="108"/>
      <c r="Q16" s="109"/>
      <c r="R16" s="109"/>
      <c r="S16" s="100"/>
      <c r="T16" s="106"/>
      <c r="U16" s="137"/>
      <c r="V16" s="100"/>
      <c r="W16" s="100"/>
      <c r="X16" s="100"/>
      <c r="Y16" s="110"/>
      <c r="Z16" s="110"/>
      <c r="AA16" s="100">
        <v>1</v>
      </c>
      <c r="AB16" s="109"/>
      <c r="AC16" s="109"/>
      <c r="AD16" s="108"/>
      <c r="AE16" s="109"/>
      <c r="AF16" s="109"/>
      <c r="AG16" s="108"/>
      <c r="AH16" s="111"/>
      <c r="AI16" s="100"/>
      <c r="AJ16" s="110"/>
      <c r="AK16" s="110"/>
      <c r="AL16" s="100"/>
      <c r="AM16" s="100"/>
      <c r="AN16" s="100"/>
      <c r="AO16" s="100"/>
      <c r="AP16" s="100"/>
      <c r="AQ16" s="100"/>
      <c r="AR16" s="100"/>
      <c r="AS16" s="100"/>
      <c r="AT16" s="100"/>
    </row>
    <row r="17" spans="1:46" ht="17" thickBot="1">
      <c r="A17" s="85" t="s">
        <v>4</v>
      </c>
      <c r="B17" s="275">
        <f>SUM(J17+K17+L17+M17+N17+S17+V17+W17+X17+AA17+AI17+AJ17+AI17+AM17+AP17+AQ17+AS17+AT17+AU17+AV17)+70</f>
        <v>80</v>
      </c>
      <c r="C17" s="217">
        <f t="shared" ref="C17" si="2">B17</f>
        <v>80</v>
      </c>
      <c r="D17" s="144"/>
      <c r="E17" s="145"/>
      <c r="F17" s="146"/>
      <c r="G17" s="147"/>
      <c r="H17" s="114"/>
      <c r="I17" s="127"/>
      <c r="J17" s="113">
        <v>5</v>
      </c>
      <c r="K17" s="112"/>
      <c r="L17" s="112"/>
      <c r="M17" s="112"/>
      <c r="N17" s="112"/>
      <c r="O17" s="115"/>
      <c r="P17" s="117"/>
      <c r="Q17" s="118"/>
      <c r="R17" s="118"/>
      <c r="S17" s="112"/>
      <c r="T17" s="119"/>
      <c r="U17" s="148"/>
      <c r="V17" s="116"/>
      <c r="W17" s="116"/>
      <c r="X17" s="116"/>
      <c r="Y17" s="120"/>
      <c r="Z17" s="120"/>
      <c r="AA17" s="116">
        <v>5</v>
      </c>
      <c r="AB17" s="118"/>
      <c r="AC17" s="118"/>
      <c r="AD17" s="117"/>
      <c r="AE17" s="118"/>
      <c r="AF17" s="118"/>
      <c r="AG17" s="117"/>
      <c r="AH17" s="121"/>
      <c r="AI17" s="116"/>
      <c r="AJ17" s="120"/>
      <c r="AK17" s="120"/>
      <c r="AL17" s="116"/>
      <c r="AM17" s="116"/>
      <c r="AN17" s="116"/>
      <c r="AO17" s="116"/>
      <c r="AP17" s="116"/>
      <c r="AQ17" s="116"/>
      <c r="AR17" s="116"/>
      <c r="AS17" s="116"/>
      <c r="AT17" s="116"/>
    </row>
    <row r="18" spans="1:46" ht="21.1">
      <c r="A18" s="82" t="s">
        <v>483</v>
      </c>
      <c r="B18" s="273"/>
      <c r="C18" s="214"/>
      <c r="D18" s="133"/>
      <c r="E18" s="134"/>
      <c r="F18" s="135"/>
      <c r="G18" s="136"/>
      <c r="H18" s="96">
        <v>15</v>
      </c>
      <c r="I18" s="105"/>
      <c r="J18" s="104"/>
      <c r="K18" s="75"/>
      <c r="L18" s="75"/>
      <c r="M18" s="75"/>
      <c r="N18" s="75"/>
      <c r="O18" s="97">
        <v>15</v>
      </c>
      <c r="P18" s="108"/>
      <c r="Q18" s="109"/>
      <c r="R18" s="109">
        <v>10</v>
      </c>
      <c r="S18" s="100"/>
      <c r="T18" s="106" t="s">
        <v>375</v>
      </c>
      <c r="U18" s="137" t="s">
        <v>375</v>
      </c>
      <c r="V18" s="100" t="s">
        <v>375</v>
      </c>
      <c r="W18" s="100"/>
      <c r="X18" s="100"/>
      <c r="Y18" s="110"/>
      <c r="Z18" s="110">
        <v>15</v>
      </c>
      <c r="AA18" s="100"/>
      <c r="AB18" s="109" t="s">
        <v>379</v>
      </c>
      <c r="AC18" s="109"/>
      <c r="AD18" s="108"/>
      <c r="AE18" s="109"/>
      <c r="AF18" s="109"/>
      <c r="AG18" s="108"/>
      <c r="AH18" s="111"/>
      <c r="AI18" s="100"/>
      <c r="AJ18" s="110"/>
      <c r="AK18" s="110"/>
      <c r="AL18" s="100"/>
      <c r="AM18" s="100"/>
      <c r="AN18" s="100"/>
      <c r="AO18" s="100"/>
      <c r="AP18" s="100"/>
      <c r="AQ18" s="100"/>
      <c r="AR18" s="100"/>
      <c r="AS18" s="100"/>
      <c r="AT18" s="100"/>
    </row>
    <row r="19" spans="1:46" ht="16.3">
      <c r="A19" s="246" t="s">
        <v>1</v>
      </c>
      <c r="B19" s="274">
        <f>SUM(J19+K19+L19+M19+N19+S19+V19+W19+X19+AA19+AI19+AJ19+AI19+AM19+AP19+AQ19+AS19+AT19+AU19+AV19+AN19)+0</f>
        <v>0</v>
      </c>
      <c r="C19" s="215">
        <f>B19</f>
        <v>0</v>
      </c>
      <c r="D19" s="133"/>
      <c r="E19" s="134"/>
      <c r="F19" s="135"/>
      <c r="G19" s="136"/>
      <c r="H19" s="96">
        <v>1</v>
      </c>
      <c r="I19" s="105"/>
      <c r="J19" s="104"/>
      <c r="K19" s="75"/>
      <c r="L19" s="75"/>
      <c r="M19" s="75"/>
      <c r="N19" s="75"/>
      <c r="O19" s="97">
        <v>1</v>
      </c>
      <c r="P19" s="108"/>
      <c r="Q19" s="109"/>
      <c r="R19" s="109">
        <v>1</v>
      </c>
      <c r="S19" s="100"/>
      <c r="T19" s="106"/>
      <c r="U19" s="137"/>
      <c r="V19" s="100"/>
      <c r="W19" s="100"/>
      <c r="X19" s="100"/>
      <c r="Y19" s="110"/>
      <c r="Z19" s="110">
        <v>1</v>
      </c>
      <c r="AA19" s="100"/>
      <c r="AB19" s="109">
        <v>1</v>
      </c>
      <c r="AC19" s="109"/>
      <c r="AD19" s="108"/>
      <c r="AE19" s="109"/>
      <c r="AF19" s="109"/>
      <c r="AG19" s="108"/>
      <c r="AH19" s="111"/>
      <c r="AI19" s="100"/>
      <c r="AJ19" s="110"/>
      <c r="AK19" s="110"/>
      <c r="AL19" s="100"/>
      <c r="AM19" s="100"/>
      <c r="AN19" s="100"/>
      <c r="AO19" s="100"/>
      <c r="AP19" s="100"/>
      <c r="AQ19" s="100"/>
      <c r="AR19" s="100"/>
      <c r="AS19" s="100"/>
      <c r="AT19" s="100"/>
    </row>
    <row r="20" spans="1:46" ht="16.3">
      <c r="A20" s="246" t="s">
        <v>2</v>
      </c>
      <c r="B20" s="274">
        <f>SUM(J20+K20+L20+M20+N20+S20+V20+W20+X20+AA20+AI20+AJ20+AI20+AM20+AP20+AQ20+AS20+AT20+AU20+AV20)</f>
        <v>1</v>
      </c>
      <c r="C20" s="215">
        <f t="shared" ref="C20:C23" si="3">B20</f>
        <v>1</v>
      </c>
      <c r="D20" s="133"/>
      <c r="E20" s="134"/>
      <c r="F20" s="135"/>
      <c r="G20" s="136"/>
      <c r="H20" s="96"/>
      <c r="I20" s="105"/>
      <c r="J20" s="104"/>
      <c r="K20" s="75"/>
      <c r="L20" s="75"/>
      <c r="M20" s="75"/>
      <c r="N20" s="75"/>
      <c r="O20" s="97"/>
      <c r="P20" s="108"/>
      <c r="Q20" s="109"/>
      <c r="R20" s="109"/>
      <c r="S20" s="100"/>
      <c r="T20" s="106">
        <v>1</v>
      </c>
      <c r="U20" s="137">
        <v>1</v>
      </c>
      <c r="V20" s="100">
        <v>1</v>
      </c>
      <c r="W20" s="100"/>
      <c r="X20" s="100"/>
      <c r="Y20" s="110"/>
      <c r="Z20" s="110"/>
      <c r="AA20" s="100"/>
      <c r="AB20" s="109"/>
      <c r="AC20" s="109"/>
      <c r="AD20" s="108"/>
      <c r="AE20" s="109"/>
      <c r="AF20" s="109"/>
      <c r="AG20" s="108"/>
      <c r="AH20" s="111"/>
      <c r="AI20" s="100"/>
      <c r="AJ20" s="110"/>
      <c r="AK20" s="110"/>
      <c r="AL20" s="100"/>
      <c r="AM20" s="100"/>
      <c r="AN20" s="100"/>
      <c r="AO20" s="100"/>
      <c r="AP20" s="100"/>
      <c r="AQ20" s="100"/>
      <c r="AR20" s="100"/>
      <c r="AS20" s="100"/>
      <c r="AT20" s="100"/>
    </row>
    <row r="21" spans="1:46" ht="16.3">
      <c r="A21" s="83" t="s">
        <v>363</v>
      </c>
      <c r="B21" s="273">
        <f>SUM(B19+B20)</f>
        <v>1</v>
      </c>
      <c r="C21" s="214">
        <f t="shared" si="3"/>
        <v>1</v>
      </c>
      <c r="D21" s="133"/>
      <c r="E21" s="134"/>
      <c r="F21" s="135"/>
      <c r="G21" s="136"/>
      <c r="H21" s="96"/>
      <c r="I21" s="105"/>
      <c r="J21" s="104"/>
      <c r="K21" s="75"/>
      <c r="L21" s="75"/>
      <c r="M21" s="75"/>
      <c r="N21" s="75"/>
      <c r="O21" s="97"/>
      <c r="P21" s="108"/>
      <c r="Q21" s="109"/>
      <c r="R21" s="109"/>
      <c r="S21" s="100"/>
      <c r="T21" s="106"/>
      <c r="U21" s="137"/>
      <c r="V21" s="100"/>
      <c r="W21" s="100"/>
      <c r="X21" s="100"/>
      <c r="Y21" s="110"/>
      <c r="Z21" s="110"/>
      <c r="AA21" s="100"/>
      <c r="AB21" s="109"/>
      <c r="AC21" s="109"/>
      <c r="AD21" s="108"/>
      <c r="AE21" s="109"/>
      <c r="AF21" s="109"/>
      <c r="AG21" s="108"/>
      <c r="AH21" s="111"/>
      <c r="AI21" s="100"/>
      <c r="AJ21" s="110"/>
      <c r="AK21" s="110"/>
      <c r="AL21" s="100"/>
      <c r="AM21" s="100"/>
      <c r="AN21" s="100"/>
      <c r="AO21" s="100"/>
      <c r="AP21" s="100"/>
      <c r="AQ21" s="100"/>
      <c r="AR21" s="100"/>
      <c r="AS21" s="100"/>
      <c r="AT21" s="100"/>
    </row>
    <row r="22" spans="1:46" ht="16.3">
      <c r="A22" s="83" t="s">
        <v>3</v>
      </c>
      <c r="B22" s="273">
        <f>SUM(J22+K22+L22+M22+N22+S22+V22+W22+X22+AA22+AI22+AJ22+AI22+AM22+AP22+AQ22+AS22+AT22+AU22+AV22)</f>
        <v>0</v>
      </c>
      <c r="C22" s="214">
        <f t="shared" si="3"/>
        <v>0</v>
      </c>
      <c r="D22" s="133"/>
      <c r="E22" s="134"/>
      <c r="F22" s="135"/>
      <c r="G22" s="136"/>
      <c r="H22" s="96">
        <v>1</v>
      </c>
      <c r="I22" s="105"/>
      <c r="J22" s="104"/>
      <c r="K22" s="75"/>
      <c r="L22" s="75"/>
      <c r="M22" s="75"/>
      <c r="N22" s="75"/>
      <c r="O22" s="97"/>
      <c r="P22" s="108"/>
      <c r="Q22" s="109"/>
      <c r="R22" s="109"/>
      <c r="S22" s="100"/>
      <c r="T22" s="106">
        <v>1</v>
      </c>
      <c r="U22" s="137"/>
      <c r="V22" s="100"/>
      <c r="W22" s="100"/>
      <c r="X22" s="100"/>
      <c r="Y22" s="110"/>
      <c r="Z22" s="110"/>
      <c r="AA22" s="100"/>
      <c r="AB22" s="109"/>
      <c r="AC22" s="109"/>
      <c r="AD22" s="108"/>
      <c r="AE22" s="109"/>
      <c r="AF22" s="109"/>
      <c r="AG22" s="108"/>
      <c r="AH22" s="111"/>
      <c r="AI22" s="100"/>
      <c r="AJ22" s="110"/>
      <c r="AK22" s="110"/>
      <c r="AL22" s="100"/>
      <c r="AM22" s="100"/>
      <c r="AN22" s="100"/>
      <c r="AO22" s="100"/>
      <c r="AP22" s="100"/>
      <c r="AQ22" s="100"/>
      <c r="AR22" s="100"/>
      <c r="AS22" s="100"/>
      <c r="AT22" s="100"/>
    </row>
    <row r="23" spans="1:46" ht="17" thickBot="1">
      <c r="A23" s="85" t="s">
        <v>4</v>
      </c>
      <c r="B23" s="275">
        <f>SUM(J23+K23+L23+M23+N23+S23+V23+W23+X23+AA23+AI23+AJ23+AI23+AM23+AP23+AQ23+AS23+AT23+AU23+AV23)</f>
        <v>0</v>
      </c>
      <c r="C23" s="217">
        <f t="shared" si="3"/>
        <v>0</v>
      </c>
      <c r="D23" s="144"/>
      <c r="E23" s="145"/>
      <c r="F23" s="146"/>
      <c r="G23" s="147"/>
      <c r="H23" s="114">
        <v>5</v>
      </c>
      <c r="I23" s="127"/>
      <c r="J23" s="113"/>
      <c r="K23" s="112"/>
      <c r="L23" s="112"/>
      <c r="M23" s="112"/>
      <c r="N23" s="112"/>
      <c r="O23" s="115"/>
      <c r="P23" s="117"/>
      <c r="Q23" s="118"/>
      <c r="R23" s="118"/>
      <c r="S23" s="116"/>
      <c r="T23" s="119">
        <v>5</v>
      </c>
      <c r="U23" s="148"/>
      <c r="V23" s="116"/>
      <c r="W23" s="116"/>
      <c r="X23" s="116"/>
      <c r="Y23" s="120"/>
      <c r="Z23" s="120"/>
      <c r="AA23" s="116"/>
      <c r="AB23" s="118"/>
      <c r="AC23" s="118"/>
      <c r="AD23" s="117"/>
      <c r="AE23" s="118"/>
      <c r="AF23" s="118"/>
      <c r="AG23" s="117"/>
      <c r="AH23" s="121"/>
      <c r="AI23" s="116"/>
      <c r="AJ23" s="120"/>
      <c r="AK23" s="120"/>
      <c r="AL23" s="116"/>
      <c r="AM23" s="116"/>
      <c r="AN23" s="116"/>
      <c r="AO23" s="116"/>
      <c r="AP23" s="116"/>
      <c r="AQ23" s="116"/>
      <c r="AR23" s="116"/>
      <c r="AS23" s="116"/>
      <c r="AT23" s="116"/>
    </row>
    <row r="24" spans="1:46" ht="21.1">
      <c r="A24" s="82" t="s">
        <v>75</v>
      </c>
      <c r="B24" s="273"/>
      <c r="C24" s="214"/>
      <c r="D24" s="133"/>
      <c r="E24" s="134"/>
      <c r="F24" s="135"/>
      <c r="G24" s="136"/>
      <c r="H24" s="96" t="s">
        <v>501</v>
      </c>
      <c r="I24" s="105"/>
      <c r="J24" s="104">
        <v>14</v>
      </c>
      <c r="K24" s="75">
        <v>14</v>
      </c>
      <c r="L24" s="75">
        <v>14</v>
      </c>
      <c r="M24" s="75" t="s">
        <v>383</v>
      </c>
      <c r="N24" s="75">
        <v>14</v>
      </c>
      <c r="O24" s="97" t="s">
        <v>775</v>
      </c>
      <c r="P24" s="108"/>
      <c r="Q24" s="109" t="s">
        <v>775</v>
      </c>
      <c r="R24" s="109" t="s">
        <v>339</v>
      </c>
      <c r="S24" s="100" t="s">
        <v>339</v>
      </c>
      <c r="T24" s="106" t="s">
        <v>339</v>
      </c>
      <c r="U24" s="137" t="s">
        <v>339</v>
      </c>
      <c r="V24" s="100" t="s">
        <v>339</v>
      </c>
      <c r="W24" s="100" t="s">
        <v>339</v>
      </c>
      <c r="X24" s="100" t="s">
        <v>339</v>
      </c>
      <c r="Y24" s="110" t="s">
        <v>339</v>
      </c>
      <c r="Z24" s="110" t="s">
        <v>339</v>
      </c>
      <c r="AA24" s="100" t="s">
        <v>339</v>
      </c>
      <c r="AB24" s="109" t="s">
        <v>775</v>
      </c>
      <c r="AC24" s="109" t="s">
        <v>775</v>
      </c>
      <c r="AD24" s="108"/>
      <c r="AE24" s="109" t="s">
        <v>775</v>
      </c>
      <c r="AF24" s="109" t="s">
        <v>775</v>
      </c>
      <c r="AG24" s="108"/>
      <c r="AH24" s="111"/>
      <c r="AI24" s="100"/>
      <c r="AJ24" s="110"/>
      <c r="AK24" s="110"/>
      <c r="AL24" s="100"/>
      <c r="AM24" s="100"/>
      <c r="AN24" s="100"/>
      <c r="AO24" s="100"/>
      <c r="AP24" s="100"/>
      <c r="AQ24" s="100"/>
      <c r="AR24" s="100"/>
      <c r="AS24" s="100"/>
      <c r="AT24" s="100"/>
    </row>
    <row r="25" spans="1:46" ht="16.3">
      <c r="A25" s="246" t="s">
        <v>1</v>
      </c>
      <c r="B25" s="274">
        <f>SUM(J25+K25+L25+M25+N25+S25+V25+W25+X25+AA25+AI25+AJ25+AI25+AM25+AP25+AQ25+AS25+AT25+AU25+AV25+AN25)+69</f>
        <v>74</v>
      </c>
      <c r="C25" s="215">
        <f>B25</f>
        <v>74</v>
      </c>
      <c r="D25" s="133"/>
      <c r="E25" s="134"/>
      <c r="F25" s="135"/>
      <c r="G25" s="136"/>
      <c r="H25" s="96"/>
      <c r="I25" s="105"/>
      <c r="J25" s="104">
        <v>1</v>
      </c>
      <c r="K25" s="75">
        <v>1</v>
      </c>
      <c r="L25" s="75">
        <v>1</v>
      </c>
      <c r="M25" s="75">
        <v>1</v>
      </c>
      <c r="N25" s="75">
        <v>1</v>
      </c>
      <c r="O25" s="97"/>
      <c r="P25" s="108"/>
      <c r="Q25" s="109"/>
      <c r="R25" s="109"/>
      <c r="S25" s="100"/>
      <c r="T25" s="106"/>
      <c r="U25" s="137"/>
      <c r="V25" s="100"/>
      <c r="W25" s="100"/>
      <c r="X25" s="100"/>
      <c r="Y25" s="110"/>
      <c r="Z25" s="110"/>
      <c r="AA25" s="100"/>
      <c r="AB25" s="109"/>
      <c r="AC25" s="109"/>
      <c r="AD25" s="108"/>
      <c r="AE25" s="109"/>
      <c r="AF25" s="109"/>
      <c r="AG25" s="108"/>
      <c r="AH25" s="111"/>
      <c r="AI25" s="100"/>
      <c r="AJ25" s="110"/>
      <c r="AK25" s="110"/>
      <c r="AL25" s="100"/>
      <c r="AM25" s="100"/>
      <c r="AN25" s="100"/>
      <c r="AO25" s="100"/>
      <c r="AP25" s="100"/>
      <c r="AQ25" s="100"/>
      <c r="AR25" s="100"/>
      <c r="AS25" s="100"/>
      <c r="AT25" s="100"/>
    </row>
    <row r="26" spans="1:46" ht="16.3">
      <c r="A26" s="246" t="s">
        <v>2</v>
      </c>
      <c r="B26" s="274">
        <f>SUM(J26+K26+L26+M26+N26+S26+V26+W26+X26+AA26+AI26+AJ26+AI26+AM26+AP26+AQ26+AS26+AT26+AU26+AV26)+4</f>
        <v>4</v>
      </c>
      <c r="C26" s="215">
        <f t="shared" ref="C26:C29" si="4">B26</f>
        <v>4</v>
      </c>
      <c r="D26" s="133"/>
      <c r="E26" s="134"/>
      <c r="F26" s="135"/>
      <c r="G26" s="136"/>
      <c r="H26" s="96"/>
      <c r="I26" s="105"/>
      <c r="J26" s="104"/>
      <c r="K26" s="75"/>
      <c r="L26" s="75"/>
      <c r="M26" s="75"/>
      <c r="N26" s="75"/>
      <c r="O26" s="97"/>
      <c r="P26" s="108"/>
      <c r="Q26" s="109"/>
      <c r="R26" s="109"/>
      <c r="S26" s="100"/>
      <c r="T26" s="106"/>
      <c r="U26" s="137"/>
      <c r="V26" s="100"/>
      <c r="W26" s="100"/>
      <c r="X26" s="100"/>
      <c r="Y26" s="110"/>
      <c r="Z26" s="110"/>
      <c r="AA26" s="100"/>
      <c r="AB26" s="109"/>
      <c r="AC26" s="109"/>
      <c r="AD26" s="108"/>
      <c r="AE26" s="109"/>
      <c r="AF26" s="109"/>
      <c r="AG26" s="108"/>
      <c r="AH26" s="111"/>
      <c r="AI26" s="100"/>
      <c r="AJ26" s="110"/>
      <c r="AK26" s="110"/>
      <c r="AL26" s="100"/>
      <c r="AM26" s="100"/>
      <c r="AN26" s="100"/>
      <c r="AO26" s="100"/>
      <c r="AP26" s="100"/>
      <c r="AQ26" s="100"/>
      <c r="AR26" s="100"/>
      <c r="AS26" s="100"/>
      <c r="AT26" s="100"/>
    </row>
    <row r="27" spans="1:46" ht="16.3">
      <c r="A27" s="83" t="s">
        <v>363</v>
      </c>
      <c r="B27" s="273">
        <f>SUM(B25+B26)</f>
        <v>78</v>
      </c>
      <c r="C27" s="214">
        <f t="shared" si="4"/>
        <v>78</v>
      </c>
      <c r="D27" s="133"/>
      <c r="E27" s="134"/>
      <c r="F27" s="135"/>
      <c r="G27" s="136"/>
      <c r="H27" s="96"/>
      <c r="I27" s="105"/>
      <c r="J27" s="104"/>
      <c r="K27" s="75"/>
      <c r="L27" s="75"/>
      <c r="M27" s="75"/>
      <c r="N27" s="75"/>
      <c r="O27" s="97"/>
      <c r="P27" s="108"/>
      <c r="Q27" s="109"/>
      <c r="R27" s="109"/>
      <c r="S27" s="100"/>
      <c r="T27" s="106"/>
      <c r="U27" s="137"/>
      <c r="V27" s="100"/>
      <c r="W27" s="100"/>
      <c r="X27" s="100"/>
      <c r="Y27" s="110"/>
      <c r="Z27" s="110"/>
      <c r="AA27" s="100"/>
      <c r="AB27" s="109"/>
      <c r="AC27" s="109"/>
      <c r="AD27" s="108"/>
      <c r="AE27" s="109"/>
      <c r="AF27" s="109"/>
      <c r="AG27" s="108"/>
      <c r="AH27" s="111"/>
      <c r="AI27" s="100"/>
      <c r="AJ27" s="110"/>
      <c r="AK27" s="110"/>
      <c r="AL27" s="100"/>
      <c r="AM27" s="100"/>
      <c r="AN27" s="100"/>
      <c r="AO27" s="100"/>
      <c r="AP27" s="100"/>
      <c r="AQ27" s="100"/>
      <c r="AR27" s="100"/>
      <c r="AS27" s="100"/>
      <c r="AT27" s="100"/>
    </row>
    <row r="28" spans="1:46" ht="16.3">
      <c r="A28" s="83" t="s">
        <v>3</v>
      </c>
      <c r="B28" s="273">
        <f>SUM(J28+K28+L28+M28+N28+S28+V28+W28+X28+AA28+AI28+AJ28+AI28+AM28+AP28+AQ28+AS28+AT28+AU28+AV28)+32</f>
        <v>37</v>
      </c>
      <c r="C28" s="214">
        <f t="shared" si="4"/>
        <v>37</v>
      </c>
      <c r="D28" s="133"/>
      <c r="E28" s="134"/>
      <c r="F28" s="135"/>
      <c r="G28" s="136"/>
      <c r="H28" s="96"/>
      <c r="I28" s="105"/>
      <c r="J28" s="104">
        <v>1</v>
      </c>
      <c r="K28" s="75"/>
      <c r="L28" s="168">
        <v>3</v>
      </c>
      <c r="M28" s="75"/>
      <c r="N28" s="75">
        <v>1</v>
      </c>
      <c r="O28" s="97"/>
      <c r="P28" s="108"/>
      <c r="Q28" s="109"/>
      <c r="R28" s="109"/>
      <c r="S28" s="100"/>
      <c r="T28" s="106"/>
      <c r="U28" s="137"/>
      <c r="V28" s="100"/>
      <c r="W28" s="100"/>
      <c r="X28" s="100"/>
      <c r="Y28" s="110"/>
      <c r="Z28" s="110"/>
      <c r="AA28" s="100"/>
      <c r="AB28" s="109"/>
      <c r="AC28" s="109"/>
      <c r="AD28" s="108"/>
      <c r="AE28" s="109"/>
      <c r="AF28" s="109"/>
      <c r="AG28" s="108"/>
      <c r="AH28" s="111"/>
      <c r="AI28" s="100"/>
      <c r="AJ28" s="110"/>
      <c r="AK28" s="110"/>
      <c r="AL28" s="100"/>
      <c r="AM28" s="100"/>
      <c r="AN28" s="100"/>
      <c r="AO28" s="100"/>
      <c r="AP28" s="100"/>
      <c r="AQ28" s="100"/>
      <c r="AR28" s="100"/>
      <c r="AS28" s="100"/>
      <c r="AT28" s="100"/>
    </row>
    <row r="29" spans="1:46" ht="17" thickBot="1">
      <c r="A29" s="85" t="s">
        <v>4</v>
      </c>
      <c r="B29" s="275">
        <f>SUM(J29+K29+L29+M29+N29+S29+V29+W29+X29+AA29+AI29+AJ29+AI29+AM29+AP29+AQ29+AS29+AT29+AU29+AV29)+160</f>
        <v>185</v>
      </c>
      <c r="C29" s="217">
        <f t="shared" si="4"/>
        <v>185</v>
      </c>
      <c r="D29" s="144"/>
      <c r="E29" s="145"/>
      <c r="F29" s="146"/>
      <c r="G29" s="147"/>
      <c r="H29" s="114"/>
      <c r="I29" s="127"/>
      <c r="J29" s="113">
        <v>5</v>
      </c>
      <c r="K29" s="112"/>
      <c r="L29" s="112">
        <v>15</v>
      </c>
      <c r="M29" s="112"/>
      <c r="N29" s="112">
        <v>5</v>
      </c>
      <c r="O29" s="115"/>
      <c r="P29" s="117"/>
      <c r="Q29" s="118"/>
      <c r="R29" s="118"/>
      <c r="S29" s="112"/>
      <c r="T29" s="119"/>
      <c r="U29" s="148"/>
      <c r="V29" s="116"/>
      <c r="W29" s="116"/>
      <c r="X29" s="116"/>
      <c r="Y29" s="110"/>
      <c r="Z29" s="110"/>
      <c r="AA29" s="100"/>
      <c r="AB29" s="109"/>
      <c r="AC29" s="109"/>
      <c r="AD29" s="108"/>
      <c r="AE29" s="109"/>
      <c r="AF29" s="109"/>
      <c r="AG29" s="108"/>
      <c r="AH29" s="111"/>
      <c r="AI29" s="100"/>
      <c r="AJ29" s="110"/>
      <c r="AK29" s="110"/>
      <c r="AL29" s="100"/>
      <c r="AM29" s="100"/>
      <c r="AN29" s="100"/>
      <c r="AO29" s="100"/>
      <c r="AP29" s="100"/>
      <c r="AQ29" s="100"/>
      <c r="AR29" s="100"/>
      <c r="AS29" s="100"/>
      <c r="AT29" s="100"/>
    </row>
    <row r="30" spans="1:46" ht="21.1">
      <c r="A30" s="82" t="s">
        <v>80</v>
      </c>
      <c r="B30" s="273"/>
      <c r="C30" s="214"/>
      <c r="D30" s="133"/>
      <c r="E30" s="134"/>
      <c r="F30" s="135"/>
      <c r="G30" s="136"/>
      <c r="H30" s="96"/>
      <c r="I30" s="105"/>
      <c r="J30" s="104" t="s">
        <v>375</v>
      </c>
      <c r="K30" s="75" t="s">
        <v>375</v>
      </c>
      <c r="L30" s="75">
        <v>11</v>
      </c>
      <c r="M30" s="75">
        <v>11</v>
      </c>
      <c r="N30" s="75" t="s">
        <v>375</v>
      </c>
      <c r="O30" s="97"/>
      <c r="P30" s="98"/>
      <c r="Q30" s="99"/>
      <c r="R30" s="109"/>
      <c r="S30" s="100"/>
      <c r="T30" s="106" t="s">
        <v>379</v>
      </c>
      <c r="U30" s="137" t="s">
        <v>878</v>
      </c>
      <c r="V30" s="102" t="s">
        <v>379</v>
      </c>
      <c r="W30" s="102" t="s">
        <v>339</v>
      </c>
      <c r="X30" s="100" t="s">
        <v>339</v>
      </c>
      <c r="Y30" s="101" t="s">
        <v>339</v>
      </c>
      <c r="Z30" s="101" t="s">
        <v>339</v>
      </c>
      <c r="AA30" s="102" t="s">
        <v>375</v>
      </c>
      <c r="AB30" s="99"/>
      <c r="AC30" s="99" t="s">
        <v>993</v>
      </c>
      <c r="AD30" s="98"/>
      <c r="AE30" s="99">
        <v>14</v>
      </c>
      <c r="AF30" s="99" t="s">
        <v>367</v>
      </c>
      <c r="AG30" s="98"/>
      <c r="AH30" s="103"/>
      <c r="AI30" s="102"/>
      <c r="AJ30" s="101"/>
      <c r="AK30" s="101"/>
      <c r="AL30" s="102"/>
      <c r="AM30" s="102"/>
      <c r="AN30" s="102"/>
      <c r="AO30" s="102"/>
      <c r="AP30" s="102"/>
      <c r="AQ30" s="102"/>
      <c r="AR30" s="102"/>
      <c r="AS30" s="102"/>
      <c r="AT30" s="102"/>
    </row>
    <row r="31" spans="1:46" ht="16.3">
      <c r="A31" s="246" t="s">
        <v>1</v>
      </c>
      <c r="B31" s="274">
        <f>SUM(J31+K31+L31+M31+N31+S31+V31+W31+X31+AA31+AI31+AJ31+AI31+AM31+AP31+AQ31+AS31+AT31+AU31+AV31+AN31)+58</f>
        <v>61</v>
      </c>
      <c r="C31" s="215">
        <f>B31</f>
        <v>61</v>
      </c>
      <c r="D31" s="139"/>
      <c r="E31" s="140"/>
      <c r="F31" s="135"/>
      <c r="G31" s="136"/>
      <c r="H31" s="96"/>
      <c r="I31" s="105"/>
      <c r="J31" s="104"/>
      <c r="K31" s="75"/>
      <c r="L31" s="75">
        <v>1</v>
      </c>
      <c r="M31" s="75">
        <v>1</v>
      </c>
      <c r="N31" s="75"/>
      <c r="O31" s="97"/>
      <c r="P31" s="108"/>
      <c r="Q31" s="109"/>
      <c r="R31" s="109"/>
      <c r="S31" s="100"/>
      <c r="T31" s="106">
        <v>1</v>
      </c>
      <c r="U31" s="137">
        <v>1</v>
      </c>
      <c r="V31" s="100">
        <v>1</v>
      </c>
      <c r="W31" s="100"/>
      <c r="X31" s="100"/>
      <c r="Y31" s="110"/>
      <c r="Z31" s="110"/>
      <c r="AA31" s="100"/>
      <c r="AB31" s="109"/>
      <c r="AC31" s="109"/>
      <c r="AD31" s="108"/>
      <c r="AE31" s="109">
        <v>1</v>
      </c>
      <c r="AF31" s="109">
        <v>1</v>
      </c>
      <c r="AG31" s="108"/>
      <c r="AH31" s="111"/>
      <c r="AI31" s="100"/>
      <c r="AJ31" s="110"/>
      <c r="AK31" s="110"/>
      <c r="AL31" s="100"/>
      <c r="AM31" s="100"/>
      <c r="AN31" s="100"/>
      <c r="AO31" s="100"/>
      <c r="AP31" s="100"/>
      <c r="AQ31" s="100"/>
      <c r="AR31" s="100"/>
      <c r="AS31" s="100"/>
      <c r="AT31" s="100"/>
    </row>
    <row r="32" spans="1:46" ht="16.3">
      <c r="A32" s="246" t="s">
        <v>2</v>
      </c>
      <c r="B32" s="274">
        <f>SUM(J32+K32+L32+M32+N32+S32+V32+W32+X32+AA32+AI32+AJ32+AI32+AM32+AP32+AQ32+AS32+AT32+AU32+AV32)+27</f>
        <v>31</v>
      </c>
      <c r="C32" s="215">
        <f t="shared" ref="C32:C36" si="5">B32</f>
        <v>31</v>
      </c>
      <c r="D32" s="139"/>
      <c r="E32" s="140"/>
      <c r="F32" s="135"/>
      <c r="G32" s="136"/>
      <c r="H32" s="96"/>
      <c r="I32" s="105"/>
      <c r="J32" s="104">
        <v>1</v>
      </c>
      <c r="K32" s="75">
        <v>1</v>
      </c>
      <c r="L32" s="75"/>
      <c r="M32" s="75"/>
      <c r="N32" s="75">
        <v>1</v>
      </c>
      <c r="O32" s="97"/>
      <c r="P32" s="108"/>
      <c r="Q32" s="109"/>
      <c r="R32" s="109"/>
      <c r="S32" s="100"/>
      <c r="T32" s="106"/>
      <c r="U32" s="137"/>
      <c r="V32" s="100"/>
      <c r="W32" s="100"/>
      <c r="X32" s="100"/>
      <c r="Y32" s="110"/>
      <c r="Z32" s="110"/>
      <c r="AA32" s="100">
        <v>1</v>
      </c>
      <c r="AB32" s="109"/>
      <c r="AC32" s="109"/>
      <c r="AD32" s="108"/>
      <c r="AE32" s="109"/>
      <c r="AF32" s="109"/>
      <c r="AG32" s="108"/>
      <c r="AH32" s="111"/>
      <c r="AI32" s="100"/>
      <c r="AJ32" s="110"/>
      <c r="AK32" s="110"/>
      <c r="AL32" s="100"/>
      <c r="AM32" s="100"/>
      <c r="AN32" s="100"/>
      <c r="AO32" s="100"/>
      <c r="AP32" s="100"/>
      <c r="AQ32" s="100"/>
      <c r="AR32" s="100"/>
      <c r="AS32" s="100"/>
      <c r="AT32" s="100"/>
    </row>
    <row r="33" spans="1:46" ht="16.3">
      <c r="A33" s="83" t="s">
        <v>363</v>
      </c>
      <c r="B33" s="273">
        <f>SUM(B31+B32)</f>
        <v>92</v>
      </c>
      <c r="C33" s="214">
        <f t="shared" si="5"/>
        <v>92</v>
      </c>
      <c r="D33" s="133"/>
      <c r="E33" s="134"/>
      <c r="F33" s="135"/>
      <c r="G33" s="136"/>
      <c r="H33" s="96"/>
      <c r="I33" s="105"/>
      <c r="J33" s="104"/>
      <c r="K33" s="75"/>
      <c r="L33" s="75"/>
      <c r="M33" s="75"/>
      <c r="N33" s="75"/>
      <c r="O33" s="97"/>
      <c r="P33" s="108"/>
      <c r="Q33" s="109"/>
      <c r="R33" s="109"/>
      <c r="S33" s="100"/>
      <c r="T33" s="106"/>
      <c r="U33" s="137"/>
      <c r="V33" s="100"/>
      <c r="W33" s="100"/>
      <c r="X33" s="100"/>
      <c r="Y33" s="110"/>
      <c r="Z33" s="110"/>
      <c r="AA33" s="100"/>
      <c r="AB33" s="109"/>
      <c r="AC33" s="109"/>
      <c r="AD33" s="108"/>
      <c r="AE33" s="109"/>
      <c r="AF33" s="109"/>
      <c r="AG33" s="108"/>
      <c r="AH33" s="111"/>
      <c r="AI33" s="100"/>
      <c r="AJ33" s="110"/>
      <c r="AK33" s="110"/>
      <c r="AL33" s="100"/>
      <c r="AM33" s="100"/>
      <c r="AN33" s="100"/>
      <c r="AO33" s="100"/>
      <c r="AP33" s="100"/>
      <c r="AQ33" s="100"/>
      <c r="AR33" s="100"/>
      <c r="AS33" s="100"/>
      <c r="AT33" s="100"/>
    </row>
    <row r="34" spans="1:46" ht="16.3">
      <c r="A34" s="246" t="s">
        <v>362</v>
      </c>
      <c r="B34" s="274">
        <f>SUM(J34+K34+L34+M34+N34+S34+V34+W34+X34+AA34+AI34+AJ34+AI34+AM34+AP34+AQ34+AS34+AT34+AU34+AV34)+3</f>
        <v>3</v>
      </c>
      <c r="C34" s="215">
        <f t="shared" si="5"/>
        <v>3</v>
      </c>
      <c r="D34" s="133"/>
      <c r="E34" s="134"/>
      <c r="F34" s="135"/>
      <c r="G34" s="136"/>
      <c r="H34" s="96"/>
      <c r="I34" s="105"/>
      <c r="J34" s="104"/>
      <c r="K34" s="75"/>
      <c r="L34" s="75"/>
      <c r="M34" s="75"/>
      <c r="N34" s="75"/>
      <c r="O34" s="97"/>
      <c r="P34" s="108"/>
      <c r="Q34" s="109"/>
      <c r="R34" s="109"/>
      <c r="S34" s="100"/>
      <c r="T34" s="106"/>
      <c r="U34" s="137">
        <v>1</v>
      </c>
      <c r="V34" s="100"/>
      <c r="W34" s="100"/>
      <c r="X34" s="100"/>
      <c r="Y34" s="110"/>
      <c r="Z34" s="110"/>
      <c r="AA34" s="100"/>
      <c r="AB34" s="109"/>
      <c r="AC34" s="109"/>
      <c r="AD34" s="108"/>
      <c r="AE34" s="109"/>
      <c r="AF34" s="109"/>
      <c r="AG34" s="108"/>
      <c r="AH34" s="111"/>
      <c r="AI34" s="100"/>
      <c r="AJ34" s="110"/>
      <c r="AK34" s="11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1:46" ht="16.3">
      <c r="A35" s="83" t="s">
        <v>3</v>
      </c>
      <c r="B35" s="273">
        <f>SUM(J35+K35+L35+M35+N35+S35+V35+W35+X35+AA35+AI35+AJ35+AI35+AM35+AP35+AQ35+AS35+AT35+AU35+AV35)+29</f>
        <v>32</v>
      </c>
      <c r="C35" s="214">
        <f t="shared" si="5"/>
        <v>32</v>
      </c>
      <c r="D35" s="133"/>
      <c r="E35" s="134"/>
      <c r="F35" s="135"/>
      <c r="G35" s="136"/>
      <c r="H35" s="96"/>
      <c r="I35" s="105"/>
      <c r="J35" s="104"/>
      <c r="K35" s="75"/>
      <c r="L35" s="75">
        <v>2</v>
      </c>
      <c r="M35" s="75"/>
      <c r="N35" s="75"/>
      <c r="O35" s="97"/>
      <c r="P35" s="108"/>
      <c r="Q35" s="109"/>
      <c r="R35" s="109"/>
      <c r="S35" s="100"/>
      <c r="T35" s="106"/>
      <c r="U35" s="137">
        <v>1</v>
      </c>
      <c r="V35" s="100">
        <v>1</v>
      </c>
      <c r="W35" s="100"/>
      <c r="X35" s="100"/>
      <c r="Y35" s="110"/>
      <c r="Z35" s="110"/>
      <c r="AA35" s="100"/>
      <c r="AB35" s="109"/>
      <c r="AC35" s="109"/>
      <c r="AD35" s="108"/>
      <c r="AE35" s="109"/>
      <c r="AF35" s="109">
        <v>1</v>
      </c>
      <c r="AG35" s="108"/>
      <c r="AH35" s="111"/>
      <c r="AI35" s="100"/>
      <c r="AJ35" s="110"/>
      <c r="AK35" s="110"/>
      <c r="AL35" s="100"/>
      <c r="AM35" s="100"/>
      <c r="AN35" s="100"/>
      <c r="AO35" s="100"/>
      <c r="AP35" s="100"/>
      <c r="AQ35" s="100"/>
      <c r="AR35" s="100"/>
      <c r="AS35" s="100"/>
      <c r="AT35" s="100"/>
    </row>
    <row r="36" spans="1:46" ht="17" thickBot="1">
      <c r="A36" s="85" t="s">
        <v>4</v>
      </c>
      <c r="B36" s="275">
        <f>SUM(J36+K36+L36+M36+N36+S36+V36+W36+X36+AA36+AI36+AJ36+AI36+AM36+AP36+AQ36+AS36+AT36+AU36+AV36)+145</f>
        <v>160</v>
      </c>
      <c r="C36" s="217">
        <f t="shared" si="5"/>
        <v>160</v>
      </c>
      <c r="D36" s="144"/>
      <c r="E36" s="145"/>
      <c r="F36" s="146"/>
      <c r="G36" s="147"/>
      <c r="H36" s="114"/>
      <c r="I36" s="127"/>
      <c r="J36" s="113"/>
      <c r="K36" s="112"/>
      <c r="L36" s="112">
        <v>10</v>
      </c>
      <c r="M36" s="112"/>
      <c r="N36" s="112"/>
      <c r="O36" s="115"/>
      <c r="P36" s="117"/>
      <c r="Q36" s="118"/>
      <c r="R36" s="118"/>
      <c r="S36" s="112"/>
      <c r="T36" s="119"/>
      <c r="U36" s="148">
        <v>5</v>
      </c>
      <c r="V36" s="116">
        <v>5</v>
      </c>
      <c r="W36" s="116"/>
      <c r="X36" s="116"/>
      <c r="Y36" s="120"/>
      <c r="Z36" s="120"/>
      <c r="AA36" s="116"/>
      <c r="AB36" s="118"/>
      <c r="AC36" s="118"/>
      <c r="AD36" s="117"/>
      <c r="AE36" s="118"/>
      <c r="AF36" s="118">
        <v>5</v>
      </c>
      <c r="AG36" s="117"/>
      <c r="AH36" s="121"/>
      <c r="AI36" s="116"/>
      <c r="AJ36" s="120"/>
      <c r="AK36" s="120"/>
      <c r="AL36" s="116"/>
      <c r="AM36" s="116"/>
      <c r="AN36" s="116"/>
      <c r="AO36" s="116"/>
      <c r="AP36" s="116"/>
      <c r="AQ36" s="116"/>
      <c r="AR36" s="116"/>
      <c r="AS36" s="116"/>
      <c r="AT36" s="116"/>
    </row>
    <row r="37" spans="1:46" ht="21.1">
      <c r="A37" s="82" t="s">
        <v>76</v>
      </c>
      <c r="B37" s="273"/>
      <c r="C37" s="214"/>
      <c r="D37" s="133"/>
      <c r="E37" s="134"/>
      <c r="F37" s="135"/>
      <c r="G37" s="136"/>
      <c r="H37" s="96">
        <v>14</v>
      </c>
      <c r="I37" s="105"/>
      <c r="J37" s="104">
        <v>11</v>
      </c>
      <c r="K37" s="75" t="s">
        <v>367</v>
      </c>
      <c r="L37" s="75" t="s">
        <v>375</v>
      </c>
      <c r="M37" s="75" t="s">
        <v>715</v>
      </c>
      <c r="N37" s="75" t="s">
        <v>367</v>
      </c>
      <c r="O37" s="97"/>
      <c r="P37" s="108"/>
      <c r="Q37" s="109">
        <v>14</v>
      </c>
      <c r="R37" s="109"/>
      <c r="S37" s="100">
        <v>14</v>
      </c>
      <c r="T37" s="106">
        <v>14</v>
      </c>
      <c r="U37" s="137">
        <v>14</v>
      </c>
      <c r="V37" s="100">
        <v>14</v>
      </c>
      <c r="W37" s="100">
        <v>14</v>
      </c>
      <c r="X37" s="100">
        <v>14</v>
      </c>
      <c r="Y37" s="110" t="s">
        <v>367</v>
      </c>
      <c r="Z37" s="110"/>
      <c r="AA37" s="100">
        <v>14</v>
      </c>
      <c r="AB37" s="109"/>
      <c r="AC37" s="109"/>
      <c r="AD37" s="108"/>
      <c r="AE37" s="109" t="s">
        <v>375</v>
      </c>
      <c r="AF37" s="109" t="s">
        <v>433</v>
      </c>
      <c r="AG37" s="108"/>
      <c r="AH37" s="111"/>
      <c r="AI37" s="100"/>
      <c r="AJ37" s="110"/>
      <c r="AK37" s="110"/>
      <c r="AL37" s="100"/>
      <c r="AM37" s="100"/>
      <c r="AN37" s="100"/>
      <c r="AO37" s="100"/>
      <c r="AP37" s="100"/>
      <c r="AQ37" s="100"/>
      <c r="AR37" s="100"/>
      <c r="AS37" s="100"/>
      <c r="AT37" s="100"/>
    </row>
    <row r="38" spans="1:46" ht="16.3">
      <c r="A38" s="246" t="s">
        <v>1</v>
      </c>
      <c r="B38" s="274">
        <f>SUM(J38+K38+L38+M38+N38+S38+V38+W38+X38+AA38+AI38+AJ38+AI38+AM38+AP38+AQ38+AS38+AT38+AU38+AV38+AN38)+32</f>
        <v>41</v>
      </c>
      <c r="C38" s="215">
        <f>SUM(J38+K38+L38+M38+N38+S38+W38+X38+V38+AA38+AJ38+AI38+AJ38+AN38+AQ38+AM38+AT38+AU38+AV38+AW38+AP38+AS38)+96</f>
        <v>105</v>
      </c>
      <c r="D38" s="139"/>
      <c r="E38" s="134"/>
      <c r="F38" s="135"/>
      <c r="G38" s="136"/>
      <c r="H38" s="96">
        <v>1</v>
      </c>
      <c r="I38" s="105"/>
      <c r="J38" s="104">
        <v>1</v>
      </c>
      <c r="K38" s="75">
        <v>1</v>
      </c>
      <c r="L38" s="75"/>
      <c r="M38" s="75">
        <v>1</v>
      </c>
      <c r="N38" s="75">
        <v>1</v>
      </c>
      <c r="O38" s="97"/>
      <c r="P38" s="108"/>
      <c r="Q38" s="109">
        <v>1</v>
      </c>
      <c r="R38" s="109"/>
      <c r="S38" s="100">
        <v>1</v>
      </c>
      <c r="T38" s="106">
        <v>1</v>
      </c>
      <c r="U38" s="137">
        <v>1</v>
      </c>
      <c r="V38" s="100">
        <v>1</v>
      </c>
      <c r="W38" s="100">
        <v>1</v>
      </c>
      <c r="X38" s="100">
        <v>1</v>
      </c>
      <c r="Y38" s="110">
        <v>1</v>
      </c>
      <c r="Z38" s="110"/>
      <c r="AA38" s="100">
        <v>1</v>
      </c>
      <c r="AB38" s="109"/>
      <c r="AC38" s="109"/>
      <c r="AD38" s="108"/>
      <c r="AE38" s="109"/>
      <c r="AF38" s="109">
        <v>1</v>
      </c>
      <c r="AG38" s="108"/>
      <c r="AH38" s="111"/>
      <c r="AI38" s="100"/>
      <c r="AJ38" s="110"/>
      <c r="AK38" s="110"/>
      <c r="AL38" s="100"/>
      <c r="AM38" s="100"/>
      <c r="AN38" s="100"/>
      <c r="AO38" s="100"/>
      <c r="AP38" s="100"/>
      <c r="AQ38" s="100"/>
      <c r="AR38" s="100"/>
      <c r="AS38" s="100"/>
      <c r="AT38" s="100"/>
    </row>
    <row r="39" spans="1:46" ht="16.3">
      <c r="A39" s="246" t="s">
        <v>2</v>
      </c>
      <c r="B39" s="274">
        <f>SUM(J39+K39+L39+M39+N39+S39+V39+W39+X39+AA39+AI39+AJ39+AI39+AM39+AP39+AQ39+AS39+AT39+AU39+AV39)+11</f>
        <v>12</v>
      </c>
      <c r="C39" s="215">
        <f>SUM(J39+K39+L39+M39+N39+S39+W39+X39+V39+AA39+AJ39+AI39+AJ39+AN39+AQ39+AM39+AT39+AU39+AV39+AW39+AP39+AS39)+15</f>
        <v>16</v>
      </c>
      <c r="D39" s="139"/>
      <c r="E39" s="134"/>
      <c r="F39" s="135"/>
      <c r="G39" s="136"/>
      <c r="H39" s="96"/>
      <c r="I39" s="105"/>
      <c r="J39" s="104"/>
      <c r="K39" s="75"/>
      <c r="L39" s="75">
        <v>1</v>
      </c>
      <c r="M39" s="75"/>
      <c r="N39" s="75"/>
      <c r="O39" s="97"/>
      <c r="P39" s="108"/>
      <c r="Q39" s="109"/>
      <c r="R39" s="109"/>
      <c r="S39" s="100"/>
      <c r="T39" s="106"/>
      <c r="U39" s="137"/>
      <c r="V39" s="100"/>
      <c r="W39" s="100"/>
      <c r="X39" s="100"/>
      <c r="Y39" s="110"/>
      <c r="Z39" s="110"/>
      <c r="AA39" s="100"/>
      <c r="AB39" s="109"/>
      <c r="AC39" s="109"/>
      <c r="AD39" s="108"/>
      <c r="AE39" s="109">
        <v>1</v>
      </c>
      <c r="AF39" s="109"/>
      <c r="AG39" s="108"/>
      <c r="AH39" s="111"/>
      <c r="AI39" s="100"/>
      <c r="AJ39" s="110"/>
      <c r="AK39" s="110"/>
      <c r="AL39" s="100"/>
      <c r="AM39" s="100"/>
      <c r="AN39" s="100"/>
      <c r="AO39" s="100"/>
      <c r="AP39" s="100"/>
      <c r="AQ39" s="100"/>
      <c r="AR39" s="100"/>
      <c r="AS39" s="100"/>
      <c r="AT39" s="100"/>
    </row>
    <row r="40" spans="1:46" ht="16.3">
      <c r="A40" s="83" t="s">
        <v>363</v>
      </c>
      <c r="B40" s="273">
        <f>SUM(B38+B39)</f>
        <v>53</v>
      </c>
      <c r="C40" s="214">
        <f>SUM(C38+C39)</f>
        <v>121</v>
      </c>
      <c r="D40" s="133"/>
      <c r="E40" s="134"/>
      <c r="F40" s="135"/>
      <c r="G40" s="136"/>
      <c r="H40" s="96"/>
      <c r="I40" s="105"/>
      <c r="J40" s="104"/>
      <c r="K40" s="75"/>
      <c r="L40" s="75"/>
      <c r="M40" s="75"/>
      <c r="N40" s="75"/>
      <c r="O40" s="97"/>
      <c r="P40" s="108"/>
      <c r="Q40" s="109"/>
      <c r="R40" s="109"/>
      <c r="S40" s="100"/>
      <c r="T40" s="106"/>
      <c r="U40" s="137"/>
      <c r="V40" s="100"/>
      <c r="W40" s="100"/>
      <c r="X40" s="100"/>
      <c r="Y40" s="110"/>
      <c r="Z40" s="110"/>
      <c r="AA40" s="100"/>
      <c r="AB40" s="109"/>
      <c r="AC40" s="109"/>
      <c r="AD40" s="108"/>
      <c r="AE40" s="109"/>
      <c r="AF40" s="109"/>
      <c r="AG40" s="108"/>
      <c r="AH40" s="111"/>
      <c r="AI40" s="100"/>
      <c r="AJ40" s="110"/>
      <c r="AK40" s="110"/>
      <c r="AL40" s="100"/>
      <c r="AM40" s="100"/>
      <c r="AN40" s="100"/>
      <c r="AO40" s="100"/>
      <c r="AP40" s="100"/>
      <c r="AQ40" s="100"/>
      <c r="AR40" s="100"/>
      <c r="AS40" s="100"/>
      <c r="AT40" s="100"/>
    </row>
    <row r="41" spans="1:46" ht="16.3">
      <c r="A41" s="246" t="s">
        <v>362</v>
      </c>
      <c r="B41" s="274">
        <f>SUM(J41+K41+L41+M41+N41+S41+V41+W41+X41+AA41+AI41+AJ41+AI41+AM41+AP41+AQ41+AS41+AT41+AU41+AV41)</f>
        <v>1</v>
      </c>
      <c r="C41" s="215">
        <f>SUM(J41+K41+L41+M41+N41+S41+W41+X41+V41+AA41+AJ41+AI41+AJ41+AN41+AQ41+AM41+AT41+AU41+AV41+AW41+AP41+AS41)+3</f>
        <v>4</v>
      </c>
      <c r="D41" s="133"/>
      <c r="E41" s="134"/>
      <c r="F41" s="135"/>
      <c r="G41" s="136"/>
      <c r="H41" s="96"/>
      <c r="I41" s="105"/>
      <c r="J41" s="104"/>
      <c r="K41" s="75"/>
      <c r="L41" s="75"/>
      <c r="M41" s="75">
        <v>1</v>
      </c>
      <c r="N41" s="75"/>
      <c r="O41" s="97"/>
      <c r="P41" s="108"/>
      <c r="Q41" s="109"/>
      <c r="R41" s="109"/>
      <c r="S41" s="100"/>
      <c r="T41" s="106"/>
      <c r="U41" s="137"/>
      <c r="V41" s="100"/>
      <c r="W41" s="100"/>
      <c r="X41" s="100"/>
      <c r="Y41" s="110"/>
      <c r="Z41" s="110"/>
      <c r="AA41" s="100"/>
      <c r="AB41" s="109"/>
      <c r="AC41" s="109"/>
      <c r="AD41" s="108"/>
      <c r="AE41" s="109"/>
      <c r="AF41" s="109">
        <v>1</v>
      </c>
      <c r="AG41" s="108"/>
      <c r="AH41" s="111"/>
      <c r="AI41" s="100"/>
      <c r="AJ41" s="110"/>
      <c r="AK41" s="110"/>
      <c r="AL41" s="100"/>
      <c r="AM41" s="100"/>
      <c r="AN41" s="100"/>
      <c r="AO41" s="100"/>
      <c r="AP41" s="100"/>
      <c r="AQ41" s="100"/>
      <c r="AR41" s="100"/>
      <c r="AS41" s="100"/>
      <c r="AT41" s="100"/>
    </row>
    <row r="42" spans="1:46" ht="16.3">
      <c r="A42" s="83" t="s">
        <v>3</v>
      </c>
      <c r="B42" s="273">
        <f>SUM(J42+K42+L42+M42+N42+S42+V42+W42+X42+AA42+AI42+AJ42+AI42+AM42+AP42+AQ42+AS42+AT42+AU42+AV42)+12</f>
        <v>18</v>
      </c>
      <c r="C42" s="214">
        <f>SUM(J42+K42+L42+M42+N42+S42+W42+X42+V42+AA42+AJ42+AI42+AJ42+AN42+AQ42+AM42+AT42+AU42+AV42+AW42+AP42+AS42)+33</f>
        <v>39</v>
      </c>
      <c r="D42" s="133"/>
      <c r="E42" s="134"/>
      <c r="F42" s="135"/>
      <c r="G42" s="136"/>
      <c r="H42" s="96">
        <v>1</v>
      </c>
      <c r="I42" s="105"/>
      <c r="J42" s="104"/>
      <c r="K42" s="75"/>
      <c r="L42" s="75"/>
      <c r="M42" s="75"/>
      <c r="N42" s="75">
        <v>1</v>
      </c>
      <c r="O42" s="97"/>
      <c r="P42" s="108"/>
      <c r="Q42" s="109">
        <v>1</v>
      </c>
      <c r="R42" s="109"/>
      <c r="S42" s="100"/>
      <c r="T42" s="106"/>
      <c r="U42" s="137">
        <v>1</v>
      </c>
      <c r="V42" s="100">
        <v>2</v>
      </c>
      <c r="W42" s="100"/>
      <c r="X42" s="100">
        <v>1</v>
      </c>
      <c r="Y42" s="110">
        <v>2</v>
      </c>
      <c r="Z42" s="110"/>
      <c r="AA42" s="100">
        <v>2</v>
      </c>
      <c r="AB42" s="109"/>
      <c r="AC42" s="109"/>
      <c r="AD42" s="108"/>
      <c r="AE42" s="109"/>
      <c r="AF42" s="109"/>
      <c r="AG42" s="108"/>
      <c r="AH42" s="111"/>
      <c r="AI42" s="100"/>
      <c r="AJ42" s="110"/>
      <c r="AK42" s="110"/>
      <c r="AL42" s="100"/>
      <c r="AM42" s="100"/>
      <c r="AN42" s="100"/>
      <c r="AO42" s="100"/>
      <c r="AP42" s="100"/>
      <c r="AQ42" s="100"/>
      <c r="AR42" s="100"/>
      <c r="AS42" s="100"/>
      <c r="AT42" s="100"/>
    </row>
    <row r="43" spans="1:46" ht="17" thickBot="1">
      <c r="A43" s="85" t="s">
        <v>4</v>
      </c>
      <c r="B43" s="275">
        <f>SUM(J43+K43+L43+M43+N43+S43+V43+W43+X43+AA43+AI43+AJ43+AI43+AM43+AP43+AQ43+AS43+AT43+AU43+AV43)+60</f>
        <v>90</v>
      </c>
      <c r="C43" s="217">
        <f>SUM(J43+K43+L43+M43+N43+S43+W43+X43+V43+AA43+AJ43+AI43+AJ43+AN43+AQ43+AM43+AT43+AU43+AV43+AW43+AP43+AS43)+165</f>
        <v>195</v>
      </c>
      <c r="D43" s="144"/>
      <c r="E43" s="145"/>
      <c r="F43" s="146"/>
      <c r="G43" s="147"/>
      <c r="H43" s="114">
        <v>5</v>
      </c>
      <c r="I43" s="127"/>
      <c r="J43" s="113"/>
      <c r="K43" s="112"/>
      <c r="L43" s="112"/>
      <c r="M43" s="112"/>
      <c r="N43" s="112">
        <v>5</v>
      </c>
      <c r="O43" s="115"/>
      <c r="P43" s="117"/>
      <c r="Q43" s="118">
        <v>5</v>
      </c>
      <c r="R43" s="118"/>
      <c r="S43" s="112"/>
      <c r="T43" s="119"/>
      <c r="U43" s="148">
        <v>5</v>
      </c>
      <c r="V43" s="116">
        <v>10</v>
      </c>
      <c r="W43" s="116"/>
      <c r="X43" s="116">
        <v>5</v>
      </c>
      <c r="Y43" s="120">
        <v>10</v>
      </c>
      <c r="Z43" s="120"/>
      <c r="AA43" s="116">
        <v>10</v>
      </c>
      <c r="AB43" s="118"/>
      <c r="AC43" s="118"/>
      <c r="AD43" s="117"/>
      <c r="AE43" s="118"/>
      <c r="AF43" s="118"/>
      <c r="AG43" s="117"/>
      <c r="AH43" s="121"/>
      <c r="AI43" s="116"/>
      <c r="AJ43" s="120"/>
      <c r="AK43" s="120"/>
      <c r="AL43" s="116"/>
      <c r="AM43" s="116"/>
      <c r="AN43" s="116"/>
      <c r="AO43" s="116"/>
      <c r="AP43" s="116"/>
      <c r="AQ43" s="116"/>
      <c r="AR43" s="116"/>
      <c r="AS43" s="116"/>
      <c r="AT43" s="116"/>
    </row>
    <row r="44" spans="1:46" ht="21.1">
      <c r="A44" s="86" t="s">
        <v>241</v>
      </c>
      <c r="B44" s="273"/>
      <c r="C44" s="214"/>
      <c r="D44" s="133"/>
      <c r="E44" s="134"/>
      <c r="F44" s="135"/>
      <c r="G44" s="136"/>
      <c r="H44" s="96"/>
      <c r="I44" s="105"/>
      <c r="J44" s="104"/>
      <c r="K44" s="75"/>
      <c r="L44" s="75"/>
      <c r="M44" s="75"/>
      <c r="N44" s="75"/>
      <c r="O44" s="97">
        <v>11</v>
      </c>
      <c r="P44" s="108"/>
      <c r="Q44" s="109">
        <v>11</v>
      </c>
      <c r="R44" s="109">
        <v>15</v>
      </c>
      <c r="S44" s="100">
        <v>11</v>
      </c>
      <c r="T44" s="106">
        <v>11</v>
      </c>
      <c r="U44" s="137" t="s">
        <v>367</v>
      </c>
      <c r="V44" s="100">
        <v>11</v>
      </c>
      <c r="W44" s="100">
        <v>11</v>
      </c>
      <c r="X44" s="100" t="s">
        <v>918</v>
      </c>
      <c r="Y44" s="110" t="s">
        <v>717</v>
      </c>
      <c r="Z44" s="110" t="s">
        <v>931</v>
      </c>
      <c r="AA44" s="100" t="s">
        <v>367</v>
      </c>
      <c r="AB44" s="109"/>
      <c r="AC44" s="109">
        <v>11</v>
      </c>
      <c r="AD44" s="108"/>
      <c r="AE44" s="109">
        <v>11</v>
      </c>
      <c r="AF44" s="109" t="s">
        <v>375</v>
      </c>
      <c r="AG44" s="108"/>
      <c r="AH44" s="111"/>
      <c r="AI44" s="100"/>
      <c r="AJ44" s="110"/>
      <c r="AK44" s="110"/>
      <c r="AL44" s="100"/>
      <c r="AM44" s="100"/>
      <c r="AN44" s="100"/>
      <c r="AO44" s="100"/>
      <c r="AP44" s="100"/>
      <c r="AQ44" s="100"/>
      <c r="AR44" s="100"/>
      <c r="AS44" s="100"/>
      <c r="AT44" s="100"/>
    </row>
    <row r="45" spans="1:46" ht="16.3">
      <c r="A45" s="246" t="s">
        <v>1</v>
      </c>
      <c r="B45" s="274">
        <f>SUM(J45+K45+L45+M45+N45+S45+V45+W45+X45+AA45+AI45+AJ45+AI45+AM45+AP45+AQ45+AS45+AT45+AU45+AV45+AN45)+1</f>
        <v>6</v>
      </c>
      <c r="C45" s="215">
        <f>B45</f>
        <v>6</v>
      </c>
      <c r="D45" s="133"/>
      <c r="E45" s="134"/>
      <c r="F45" s="135"/>
      <c r="G45" s="136"/>
      <c r="H45" s="96"/>
      <c r="I45" s="105"/>
      <c r="J45" s="104"/>
      <c r="K45" s="75"/>
      <c r="L45" s="75"/>
      <c r="M45" s="75"/>
      <c r="N45" s="75"/>
      <c r="O45" s="97">
        <v>1</v>
      </c>
      <c r="P45" s="108"/>
      <c r="Q45" s="109">
        <v>1</v>
      </c>
      <c r="R45" s="109">
        <v>1</v>
      </c>
      <c r="S45" s="100">
        <v>1</v>
      </c>
      <c r="T45" s="106">
        <v>1</v>
      </c>
      <c r="U45" s="137">
        <v>1</v>
      </c>
      <c r="V45" s="100">
        <v>1</v>
      </c>
      <c r="W45" s="100">
        <v>1</v>
      </c>
      <c r="X45" s="100">
        <v>1</v>
      </c>
      <c r="Y45" s="110"/>
      <c r="Z45" s="110">
        <v>1</v>
      </c>
      <c r="AA45" s="100">
        <v>1</v>
      </c>
      <c r="AB45" s="109"/>
      <c r="AC45" s="109">
        <v>1</v>
      </c>
      <c r="AD45" s="108"/>
      <c r="AE45" s="109">
        <v>1</v>
      </c>
      <c r="AF45" s="109"/>
      <c r="AG45" s="108"/>
      <c r="AH45" s="111"/>
      <c r="AI45" s="100"/>
      <c r="AJ45" s="110"/>
      <c r="AK45" s="110"/>
      <c r="AL45" s="100"/>
      <c r="AM45" s="100"/>
      <c r="AN45" s="100"/>
      <c r="AO45" s="100"/>
      <c r="AP45" s="100"/>
      <c r="AQ45" s="100"/>
      <c r="AR45" s="100"/>
      <c r="AS45" s="100"/>
      <c r="AT45" s="100"/>
    </row>
    <row r="46" spans="1:46" ht="16.3">
      <c r="A46" s="246" t="s">
        <v>2</v>
      </c>
      <c r="B46" s="274">
        <f>SUM(J46+K46+L46+M46+N46+S46+V46+W46+X46+AA46+AI46+AJ46+AI46+AM46+AP46+AQ46+AS46+AT46+AU46+AV46)+5</f>
        <v>5</v>
      </c>
      <c r="C46" s="215">
        <f t="shared" ref="C46:C50" si="6">B46</f>
        <v>5</v>
      </c>
      <c r="D46" s="133"/>
      <c r="E46" s="134"/>
      <c r="F46" s="135"/>
      <c r="G46" s="136"/>
      <c r="H46" s="96"/>
      <c r="I46" s="105"/>
      <c r="J46" s="104"/>
      <c r="K46" s="75"/>
      <c r="L46" s="75"/>
      <c r="M46" s="75"/>
      <c r="N46" s="75"/>
      <c r="O46" s="97"/>
      <c r="P46" s="108"/>
      <c r="Q46" s="109"/>
      <c r="R46" s="109"/>
      <c r="S46" s="100"/>
      <c r="T46" s="106"/>
      <c r="U46" s="137"/>
      <c r="V46" s="100"/>
      <c r="W46" s="100"/>
      <c r="X46" s="100"/>
      <c r="Y46" s="110"/>
      <c r="Z46" s="110"/>
      <c r="AA46" s="100"/>
      <c r="AB46" s="109"/>
      <c r="AC46" s="109"/>
      <c r="AD46" s="108"/>
      <c r="AE46" s="109"/>
      <c r="AF46" s="109">
        <v>1</v>
      </c>
      <c r="AG46" s="108"/>
      <c r="AH46" s="111"/>
      <c r="AI46" s="100"/>
      <c r="AJ46" s="110"/>
      <c r="AK46" s="110"/>
      <c r="AL46" s="100"/>
      <c r="AM46" s="100"/>
      <c r="AN46" s="100"/>
      <c r="AO46" s="100"/>
      <c r="AP46" s="100"/>
      <c r="AQ46" s="100"/>
      <c r="AR46" s="100"/>
      <c r="AS46" s="100"/>
      <c r="AT46" s="100"/>
    </row>
    <row r="47" spans="1:46" ht="16.3">
      <c r="A47" s="83" t="s">
        <v>363</v>
      </c>
      <c r="B47" s="273">
        <f>SUM(B45+B46)</f>
        <v>11</v>
      </c>
      <c r="C47" s="214">
        <f t="shared" si="6"/>
        <v>11</v>
      </c>
      <c r="D47" s="133"/>
      <c r="E47" s="134"/>
      <c r="F47" s="135"/>
      <c r="G47" s="136"/>
      <c r="H47" s="96"/>
      <c r="I47" s="105"/>
      <c r="J47" s="104"/>
      <c r="K47" s="75"/>
      <c r="L47" s="75"/>
      <c r="M47" s="75"/>
      <c r="N47" s="75"/>
      <c r="O47" s="97"/>
      <c r="P47" s="108"/>
      <c r="Q47" s="109"/>
      <c r="R47" s="109"/>
      <c r="S47" s="100"/>
      <c r="T47" s="106"/>
      <c r="U47" s="137"/>
      <c r="V47" s="100"/>
      <c r="W47" s="100"/>
      <c r="X47" s="100"/>
      <c r="Y47" s="110"/>
      <c r="Z47" s="110"/>
      <c r="AA47" s="100"/>
      <c r="AB47" s="109"/>
      <c r="AC47" s="109"/>
      <c r="AD47" s="108"/>
      <c r="AE47" s="109"/>
      <c r="AF47" s="109"/>
      <c r="AG47" s="108"/>
      <c r="AH47" s="111"/>
      <c r="AI47" s="100"/>
      <c r="AJ47" s="110"/>
      <c r="AK47" s="110"/>
      <c r="AL47" s="100"/>
      <c r="AM47" s="100"/>
      <c r="AN47" s="100"/>
      <c r="AO47" s="100"/>
      <c r="AP47" s="100"/>
      <c r="AQ47" s="100"/>
      <c r="AR47" s="100"/>
      <c r="AS47" s="100"/>
      <c r="AT47" s="100"/>
    </row>
    <row r="48" spans="1:46" ht="16.3">
      <c r="A48" s="246" t="s">
        <v>362</v>
      </c>
      <c r="B48" s="274">
        <f>SUM(J48+K48+L48+M48+N48+S48+V48+W48+X48+AA48+AI48+AJ48+AI48+AM48+AP48+AQ48+AS48+AT48+AU48+AV48)+1</f>
        <v>1</v>
      </c>
      <c r="C48" s="215">
        <f t="shared" si="6"/>
        <v>1</v>
      </c>
      <c r="D48" s="133"/>
      <c r="E48" s="134"/>
      <c r="F48" s="135"/>
      <c r="G48" s="136"/>
      <c r="H48" s="96"/>
      <c r="I48" s="105"/>
      <c r="J48" s="104"/>
      <c r="K48" s="75"/>
      <c r="L48" s="75"/>
      <c r="M48" s="75"/>
      <c r="N48" s="75"/>
      <c r="O48" s="97"/>
      <c r="P48" s="108"/>
      <c r="Q48" s="109"/>
      <c r="R48" s="109"/>
      <c r="S48" s="100"/>
      <c r="T48" s="106"/>
      <c r="U48" s="137"/>
      <c r="V48" s="100"/>
      <c r="W48" s="100"/>
      <c r="X48" s="100"/>
      <c r="Y48" s="110"/>
      <c r="Z48" s="110">
        <v>1</v>
      </c>
      <c r="AA48" s="100"/>
      <c r="AB48" s="109"/>
      <c r="AC48" s="109"/>
      <c r="AD48" s="108"/>
      <c r="AE48" s="109"/>
      <c r="AF48" s="109"/>
      <c r="AG48" s="108"/>
      <c r="AH48" s="111"/>
      <c r="AI48" s="100"/>
      <c r="AJ48" s="110"/>
      <c r="AK48" s="110"/>
      <c r="AL48" s="100"/>
      <c r="AM48" s="100"/>
      <c r="AN48" s="100"/>
      <c r="AO48" s="100"/>
      <c r="AP48" s="100"/>
      <c r="AQ48" s="100"/>
      <c r="AR48" s="100"/>
      <c r="AS48" s="100"/>
      <c r="AT48" s="100"/>
    </row>
    <row r="49" spans="1:46" ht="16.3">
      <c r="A49" s="83" t="s">
        <v>3</v>
      </c>
      <c r="B49" s="273">
        <f>SUM(J49+K49+L49+M49+N49+S49+V49+W49+X49+AA49+AI49+AJ49+AI49+AM49+AP49+AQ49+AS49+AT49+AU49+AV49)</f>
        <v>2</v>
      </c>
      <c r="C49" s="214">
        <f t="shared" si="6"/>
        <v>2</v>
      </c>
      <c r="D49" s="133"/>
      <c r="E49" s="134"/>
      <c r="F49" s="135"/>
      <c r="G49" s="136"/>
      <c r="H49" s="96"/>
      <c r="I49" s="105"/>
      <c r="J49" s="104"/>
      <c r="K49" s="75"/>
      <c r="L49" s="75"/>
      <c r="M49" s="75"/>
      <c r="N49" s="75"/>
      <c r="O49" s="97"/>
      <c r="P49" s="108"/>
      <c r="Q49" s="109"/>
      <c r="R49" s="109"/>
      <c r="S49" s="100">
        <v>1</v>
      </c>
      <c r="T49" s="106"/>
      <c r="U49" s="137">
        <v>1</v>
      </c>
      <c r="V49" s="100"/>
      <c r="W49" s="100">
        <v>1</v>
      </c>
      <c r="X49" s="100"/>
      <c r="Y49" s="110"/>
      <c r="Z49" s="110"/>
      <c r="AA49" s="100"/>
      <c r="AB49" s="109"/>
      <c r="AC49" s="109"/>
      <c r="AD49" s="108"/>
      <c r="AE49" s="109">
        <v>2</v>
      </c>
      <c r="AF49" s="109"/>
      <c r="AG49" s="108"/>
      <c r="AH49" s="111"/>
      <c r="AI49" s="100"/>
      <c r="AJ49" s="110"/>
      <c r="AK49" s="110"/>
      <c r="AL49" s="100"/>
      <c r="AM49" s="100"/>
      <c r="AN49" s="100"/>
      <c r="AO49" s="100"/>
      <c r="AP49" s="100"/>
      <c r="AQ49" s="100"/>
      <c r="AR49" s="100"/>
      <c r="AS49" s="100"/>
      <c r="AT49" s="100"/>
    </row>
    <row r="50" spans="1:46" ht="17" thickBot="1">
      <c r="A50" s="85" t="s">
        <v>4</v>
      </c>
      <c r="B50" s="275">
        <f>SUM(J50+K50+L50+M50+N50+S50+V50+W50+X50+AA50+AI50+AJ50+AI50+AM50+AP50+AQ50+AS50+AT50+AU50+AV50)</f>
        <v>10</v>
      </c>
      <c r="C50" s="217">
        <f t="shared" si="6"/>
        <v>10</v>
      </c>
      <c r="D50" s="144"/>
      <c r="E50" s="145"/>
      <c r="F50" s="146"/>
      <c r="G50" s="147"/>
      <c r="H50" s="114"/>
      <c r="I50" s="127"/>
      <c r="J50" s="113"/>
      <c r="K50" s="112"/>
      <c r="L50" s="112"/>
      <c r="M50" s="112"/>
      <c r="N50" s="112"/>
      <c r="O50" s="115"/>
      <c r="P50" s="117"/>
      <c r="Q50" s="118"/>
      <c r="R50" s="118"/>
      <c r="S50" s="116">
        <v>5</v>
      </c>
      <c r="T50" s="119"/>
      <c r="U50" s="148">
        <v>5</v>
      </c>
      <c r="V50" s="116"/>
      <c r="W50" s="116">
        <v>5</v>
      </c>
      <c r="X50" s="116"/>
      <c r="Y50" s="120"/>
      <c r="Z50" s="120"/>
      <c r="AA50" s="116"/>
      <c r="AB50" s="118"/>
      <c r="AC50" s="118"/>
      <c r="AD50" s="117"/>
      <c r="AE50" s="118">
        <v>10</v>
      </c>
      <c r="AF50" s="118"/>
      <c r="AG50" s="117"/>
      <c r="AH50" s="121"/>
      <c r="AI50" s="116"/>
      <c r="AJ50" s="120"/>
      <c r="AK50" s="120"/>
      <c r="AL50" s="116"/>
      <c r="AM50" s="116"/>
      <c r="AN50" s="116"/>
      <c r="AO50" s="116"/>
      <c r="AP50" s="116"/>
      <c r="AQ50" s="116"/>
      <c r="AR50" s="116"/>
      <c r="AS50" s="116"/>
      <c r="AT50" s="116"/>
    </row>
    <row r="51" spans="1:46" ht="21.1">
      <c r="A51" s="82" t="s">
        <v>240</v>
      </c>
      <c r="B51" s="273"/>
      <c r="C51" s="214"/>
      <c r="D51" s="133"/>
      <c r="E51" s="134"/>
      <c r="F51" s="135"/>
      <c r="G51" s="136"/>
      <c r="H51" s="96">
        <v>11</v>
      </c>
      <c r="I51" s="105"/>
      <c r="J51" s="104"/>
      <c r="K51" s="75"/>
      <c r="L51" s="75"/>
      <c r="M51" s="75"/>
      <c r="N51" s="75"/>
      <c r="O51" s="97">
        <v>14</v>
      </c>
      <c r="P51" s="108"/>
      <c r="Q51" s="109"/>
      <c r="R51" s="109">
        <v>14</v>
      </c>
      <c r="S51" s="100"/>
      <c r="T51" s="106"/>
      <c r="U51" s="137"/>
      <c r="V51" s="100"/>
      <c r="W51" s="100"/>
      <c r="X51" s="100"/>
      <c r="Y51" s="110">
        <v>14</v>
      </c>
      <c r="Z51" s="110">
        <v>14</v>
      </c>
      <c r="AA51" s="100"/>
      <c r="AB51" s="109"/>
      <c r="AC51" s="109"/>
      <c r="AD51" s="108"/>
      <c r="AE51" s="109"/>
      <c r="AF51" s="109"/>
      <c r="AG51" s="108"/>
      <c r="AH51" s="111"/>
      <c r="AI51" s="100"/>
      <c r="AJ51" s="110"/>
      <c r="AK51" s="110"/>
      <c r="AL51" s="100"/>
      <c r="AM51" s="100"/>
      <c r="AN51" s="100"/>
      <c r="AO51" s="100"/>
      <c r="AP51" s="100"/>
      <c r="AQ51" s="100"/>
      <c r="AR51" s="100"/>
      <c r="AS51" s="100"/>
      <c r="AT51" s="100"/>
    </row>
    <row r="52" spans="1:46" ht="16.3">
      <c r="A52" s="246" t="s">
        <v>1</v>
      </c>
      <c r="B52" s="274">
        <f>SUM(J52+K52+L52+M52+N52+S52+V52+W52+X52+AA52+AI52+AJ52+AI52+AM52+AP52+AQ52+AS52+AT52+AU52+AV52+AN52)</f>
        <v>0</v>
      </c>
      <c r="C52" s="215">
        <f>B52</f>
        <v>0</v>
      </c>
      <c r="D52" s="133"/>
      <c r="E52" s="134"/>
      <c r="F52" s="135"/>
      <c r="G52" s="136"/>
      <c r="H52" s="96">
        <v>1</v>
      </c>
      <c r="I52" s="105"/>
      <c r="J52" s="104"/>
      <c r="K52" s="75"/>
      <c r="L52" s="75"/>
      <c r="M52" s="75"/>
      <c r="N52" s="75"/>
      <c r="O52" s="97">
        <v>1</v>
      </c>
      <c r="P52" s="108"/>
      <c r="Q52" s="109"/>
      <c r="R52" s="109">
        <v>1</v>
      </c>
      <c r="S52" s="100"/>
      <c r="T52" s="106"/>
      <c r="U52" s="137"/>
      <c r="V52" s="100"/>
      <c r="W52" s="100"/>
      <c r="X52" s="100"/>
      <c r="Y52" s="110">
        <v>1</v>
      </c>
      <c r="Z52" s="110">
        <v>1</v>
      </c>
      <c r="AA52" s="100"/>
      <c r="AB52" s="109"/>
      <c r="AC52" s="109"/>
      <c r="AD52" s="108"/>
      <c r="AE52" s="109"/>
      <c r="AF52" s="109"/>
      <c r="AG52" s="108"/>
      <c r="AH52" s="111"/>
      <c r="AI52" s="100"/>
      <c r="AJ52" s="110"/>
      <c r="AK52" s="110"/>
      <c r="AL52" s="100"/>
      <c r="AM52" s="100"/>
      <c r="AN52" s="100"/>
      <c r="AO52" s="100"/>
      <c r="AP52" s="100"/>
      <c r="AQ52" s="100"/>
      <c r="AR52" s="100"/>
      <c r="AS52" s="100"/>
      <c r="AT52" s="100"/>
    </row>
    <row r="53" spans="1:46" ht="16.3">
      <c r="A53" s="246" t="s">
        <v>2</v>
      </c>
      <c r="B53" s="274">
        <f>SUM(J53+K53+L53+M53+N53+S53+V53+W53+X53+AA53+AI53+AJ53+AI53+AM53+AP53+AQ53+AS53+AT53+AU53+AV53)</f>
        <v>0</v>
      </c>
      <c r="C53" s="215">
        <f t="shared" ref="C53:C56" si="7">B53</f>
        <v>0</v>
      </c>
      <c r="D53" s="133"/>
      <c r="E53" s="134"/>
      <c r="F53" s="135"/>
      <c r="G53" s="136"/>
      <c r="H53" s="96"/>
      <c r="I53" s="105"/>
      <c r="J53" s="104"/>
      <c r="K53" s="75"/>
      <c r="L53" s="75"/>
      <c r="M53" s="75"/>
      <c r="N53" s="75"/>
      <c r="O53" s="97"/>
      <c r="P53" s="108"/>
      <c r="Q53" s="109"/>
      <c r="R53" s="109"/>
      <c r="S53" s="100"/>
      <c r="T53" s="106"/>
      <c r="U53" s="137"/>
      <c r="V53" s="100"/>
      <c r="W53" s="100"/>
      <c r="X53" s="100"/>
      <c r="Y53" s="110"/>
      <c r="Z53" s="110"/>
      <c r="AA53" s="100"/>
      <c r="AB53" s="109"/>
      <c r="AC53" s="109"/>
      <c r="AD53" s="108"/>
      <c r="AE53" s="109"/>
      <c r="AF53" s="109"/>
      <c r="AG53" s="108"/>
      <c r="AH53" s="111"/>
      <c r="AI53" s="100"/>
      <c r="AJ53" s="110"/>
      <c r="AK53" s="110"/>
      <c r="AL53" s="100"/>
      <c r="AM53" s="100"/>
      <c r="AN53" s="100"/>
      <c r="AO53" s="100"/>
      <c r="AP53" s="100"/>
      <c r="AQ53" s="100"/>
      <c r="AR53" s="100"/>
      <c r="AS53" s="100"/>
      <c r="AT53" s="100"/>
    </row>
    <row r="54" spans="1:46" ht="16.3">
      <c r="A54" s="83" t="s">
        <v>363</v>
      </c>
      <c r="B54" s="273">
        <f>SUM(B52+B53)</f>
        <v>0</v>
      </c>
      <c r="C54" s="214">
        <f t="shared" si="7"/>
        <v>0</v>
      </c>
      <c r="D54" s="133"/>
      <c r="E54" s="134"/>
      <c r="F54" s="135"/>
      <c r="G54" s="136"/>
      <c r="H54" s="96"/>
      <c r="I54" s="105"/>
      <c r="J54" s="104"/>
      <c r="K54" s="75"/>
      <c r="L54" s="75"/>
      <c r="M54" s="75"/>
      <c r="N54" s="75"/>
      <c r="O54" s="97"/>
      <c r="P54" s="108"/>
      <c r="Q54" s="109"/>
      <c r="R54" s="109"/>
      <c r="S54" s="100"/>
      <c r="T54" s="106"/>
      <c r="U54" s="137"/>
      <c r="V54" s="100"/>
      <c r="W54" s="100"/>
      <c r="X54" s="100"/>
      <c r="Y54" s="110"/>
      <c r="Z54" s="110"/>
      <c r="AA54" s="100"/>
      <c r="AB54" s="109"/>
      <c r="AC54" s="109"/>
      <c r="AD54" s="108"/>
      <c r="AE54" s="109"/>
      <c r="AF54" s="109"/>
      <c r="AG54" s="108"/>
      <c r="AH54" s="111"/>
      <c r="AI54" s="100"/>
      <c r="AJ54" s="110"/>
      <c r="AK54" s="110"/>
      <c r="AL54" s="100"/>
      <c r="AM54" s="100"/>
      <c r="AN54" s="100"/>
      <c r="AO54" s="100"/>
      <c r="AP54" s="100"/>
      <c r="AQ54" s="100"/>
      <c r="AR54" s="100"/>
      <c r="AS54" s="100"/>
      <c r="AT54" s="100"/>
    </row>
    <row r="55" spans="1:46" ht="16.3">
      <c r="A55" s="83" t="s">
        <v>3</v>
      </c>
      <c r="B55" s="273">
        <f>SUM(J55+K55+L55+M55+N55+S55+V55+W55+X55+AA55+AI55+AJ55+AI55+AM55+AP55+AQ55+AS55+AT55+AU55+AV55)</f>
        <v>0</v>
      </c>
      <c r="C55" s="214">
        <f t="shared" si="7"/>
        <v>0</v>
      </c>
      <c r="D55" s="133"/>
      <c r="E55" s="134"/>
      <c r="F55" s="135"/>
      <c r="G55" s="136"/>
      <c r="H55" s="96"/>
      <c r="I55" s="105"/>
      <c r="J55" s="104"/>
      <c r="K55" s="75"/>
      <c r="L55" s="75"/>
      <c r="M55" s="75"/>
      <c r="N55" s="75"/>
      <c r="O55" s="162"/>
      <c r="P55" s="108"/>
      <c r="Q55" s="109"/>
      <c r="R55" s="109"/>
      <c r="S55" s="100"/>
      <c r="T55" s="106"/>
      <c r="U55" s="137"/>
      <c r="V55" s="100"/>
      <c r="W55" s="100"/>
      <c r="X55" s="100"/>
      <c r="Y55" s="110"/>
      <c r="Z55" s="110"/>
      <c r="AA55" s="100"/>
      <c r="AB55" s="109"/>
      <c r="AC55" s="109"/>
      <c r="AD55" s="108"/>
      <c r="AE55" s="109"/>
      <c r="AF55" s="109"/>
      <c r="AG55" s="108"/>
      <c r="AH55" s="111"/>
      <c r="AI55" s="100"/>
      <c r="AJ55" s="110"/>
      <c r="AK55" s="110"/>
      <c r="AL55" s="100"/>
      <c r="AM55" s="100"/>
      <c r="AN55" s="100"/>
      <c r="AO55" s="100"/>
      <c r="AP55" s="100"/>
      <c r="AQ55" s="100"/>
      <c r="AR55" s="100"/>
      <c r="AS55" s="100"/>
      <c r="AT55" s="100"/>
    </row>
    <row r="56" spans="1:46" ht="17" thickBot="1">
      <c r="A56" s="85" t="s">
        <v>4</v>
      </c>
      <c r="B56" s="275">
        <f>SUM(J56+K56+L56+M56+N56+S56+V56+W56+X56+AA56+AI56+AJ56+AI56+AM56+AP56+AQ56+AS56+AT56+AU56+AV56)</f>
        <v>0</v>
      </c>
      <c r="C56" s="217">
        <f t="shared" si="7"/>
        <v>0</v>
      </c>
      <c r="D56" s="144"/>
      <c r="E56" s="145"/>
      <c r="F56" s="146"/>
      <c r="G56" s="147"/>
      <c r="H56" s="114"/>
      <c r="I56" s="127"/>
      <c r="J56" s="113"/>
      <c r="K56" s="112"/>
      <c r="L56" s="112"/>
      <c r="M56" s="112"/>
      <c r="N56" s="112"/>
      <c r="O56" s="115"/>
      <c r="P56" s="117"/>
      <c r="Q56" s="118"/>
      <c r="R56" s="118"/>
      <c r="S56" s="116"/>
      <c r="T56" s="119"/>
      <c r="U56" s="148"/>
      <c r="V56" s="116"/>
      <c r="W56" s="116"/>
      <c r="X56" s="116"/>
      <c r="Y56" s="120"/>
      <c r="Z56" s="120"/>
      <c r="AA56" s="116"/>
      <c r="AB56" s="118"/>
      <c r="AC56" s="118"/>
      <c r="AD56" s="117"/>
      <c r="AE56" s="118"/>
      <c r="AF56" s="118"/>
      <c r="AG56" s="117"/>
      <c r="AH56" s="121"/>
      <c r="AI56" s="116"/>
      <c r="AJ56" s="120"/>
      <c r="AK56" s="120"/>
      <c r="AL56" s="116"/>
      <c r="AM56" s="116"/>
      <c r="AN56" s="116"/>
      <c r="AO56" s="116"/>
      <c r="AP56" s="116"/>
      <c r="AQ56" s="116"/>
      <c r="AR56" s="116"/>
      <c r="AS56" s="112"/>
      <c r="AT56" s="116"/>
    </row>
    <row r="57" spans="1:46" ht="21.1">
      <c r="A57" s="82" t="s">
        <v>1018</v>
      </c>
      <c r="B57" s="273"/>
      <c r="C57" s="214"/>
      <c r="D57" s="133"/>
      <c r="E57" s="134"/>
      <c r="F57" s="135"/>
      <c r="G57" s="136"/>
      <c r="H57" s="96"/>
      <c r="I57" s="105"/>
      <c r="J57" s="104"/>
      <c r="K57" s="75"/>
      <c r="L57" s="75"/>
      <c r="M57" s="75"/>
      <c r="N57" s="75"/>
      <c r="O57" s="97"/>
      <c r="P57" s="108"/>
      <c r="Q57" s="109"/>
      <c r="R57" s="109"/>
      <c r="S57" s="100"/>
      <c r="T57" s="106"/>
      <c r="U57" s="137"/>
      <c r="V57" s="100"/>
      <c r="W57" s="100"/>
      <c r="X57" s="100"/>
      <c r="Y57" s="110"/>
      <c r="Z57" s="110"/>
      <c r="AA57" s="100"/>
      <c r="AB57" s="109"/>
      <c r="AC57" s="109" t="s">
        <v>375</v>
      </c>
      <c r="AD57" s="108"/>
      <c r="AE57" s="109"/>
      <c r="AF57" s="109"/>
      <c r="AG57" s="108"/>
      <c r="AH57" s="111"/>
      <c r="AI57" s="100"/>
      <c r="AJ57" s="110"/>
      <c r="AK57" s="110"/>
      <c r="AL57" s="100"/>
      <c r="AM57" s="100"/>
      <c r="AN57" s="100"/>
      <c r="AO57" s="100"/>
      <c r="AP57" s="100"/>
      <c r="AQ57" s="100"/>
      <c r="AR57" s="100"/>
      <c r="AS57" s="100"/>
      <c r="AT57" s="100"/>
    </row>
    <row r="58" spans="1:46" ht="16.3">
      <c r="A58" s="246" t="s">
        <v>1</v>
      </c>
      <c r="B58" s="274">
        <f>SUM(J58+K58+L58+M58+N58+S58+V58+W58+X58+AA58+AI58+AJ58+AI58+AM58+AP58+AQ58+AS58+AT58+AU58+AV58+AN58)</f>
        <v>0</v>
      </c>
      <c r="C58" s="215">
        <f>B58</f>
        <v>0</v>
      </c>
      <c r="D58" s="133"/>
      <c r="E58" s="134"/>
      <c r="F58" s="135"/>
      <c r="G58" s="136"/>
      <c r="H58" s="96"/>
      <c r="I58" s="105"/>
      <c r="J58" s="104"/>
      <c r="K58" s="75"/>
      <c r="L58" s="75"/>
      <c r="M58" s="75"/>
      <c r="N58" s="75"/>
      <c r="O58" s="97"/>
      <c r="P58" s="108"/>
      <c r="Q58" s="109"/>
      <c r="R58" s="109"/>
      <c r="S58" s="100"/>
      <c r="T58" s="106"/>
      <c r="U58" s="137"/>
      <c r="V58" s="100"/>
      <c r="W58" s="100"/>
      <c r="X58" s="100"/>
      <c r="Y58" s="110"/>
      <c r="Z58" s="110"/>
      <c r="AA58" s="100"/>
      <c r="AB58" s="109"/>
      <c r="AC58" s="109"/>
      <c r="AD58" s="108"/>
      <c r="AE58" s="109"/>
      <c r="AF58" s="109"/>
      <c r="AG58" s="108"/>
      <c r="AH58" s="111"/>
      <c r="AI58" s="100"/>
      <c r="AJ58" s="110"/>
      <c r="AK58" s="110"/>
      <c r="AL58" s="100"/>
      <c r="AM58" s="100"/>
      <c r="AN58" s="100"/>
      <c r="AO58" s="100"/>
      <c r="AP58" s="100"/>
      <c r="AQ58" s="100"/>
      <c r="AR58" s="100"/>
      <c r="AS58" s="100"/>
      <c r="AT58" s="100"/>
    </row>
    <row r="59" spans="1:46" ht="16.3">
      <c r="A59" s="246" t="s">
        <v>2</v>
      </c>
      <c r="B59" s="274">
        <f>SUM(J59+K59+L59+M59+N59+S59+V59+W59+X59+AA59+AI59+AJ59+AI59+AM59+AP59+AQ59+AS59+AT59+AU59+AV59)</f>
        <v>0</v>
      </c>
      <c r="C59" s="215">
        <f t="shared" ref="C59:C62" si="8">B59</f>
        <v>0</v>
      </c>
      <c r="D59" s="133"/>
      <c r="E59" s="134"/>
      <c r="F59" s="135"/>
      <c r="G59" s="136"/>
      <c r="H59" s="96"/>
      <c r="I59" s="105"/>
      <c r="J59" s="104"/>
      <c r="K59" s="75"/>
      <c r="L59" s="75"/>
      <c r="M59" s="75"/>
      <c r="N59" s="75"/>
      <c r="O59" s="97"/>
      <c r="P59" s="108"/>
      <c r="Q59" s="109"/>
      <c r="R59" s="109"/>
      <c r="S59" s="100"/>
      <c r="T59" s="106"/>
      <c r="U59" s="137"/>
      <c r="V59" s="100"/>
      <c r="W59" s="100"/>
      <c r="X59" s="100"/>
      <c r="Y59" s="110"/>
      <c r="Z59" s="110"/>
      <c r="AA59" s="100"/>
      <c r="AB59" s="109"/>
      <c r="AC59" s="109">
        <v>1</v>
      </c>
      <c r="AD59" s="108"/>
      <c r="AE59" s="109"/>
      <c r="AF59" s="109"/>
      <c r="AG59" s="108"/>
      <c r="AH59" s="111"/>
      <c r="AI59" s="100"/>
      <c r="AJ59" s="110"/>
      <c r="AK59" s="110"/>
      <c r="AL59" s="100"/>
      <c r="AM59" s="100"/>
      <c r="AN59" s="100"/>
      <c r="AO59" s="100"/>
      <c r="AP59" s="100"/>
      <c r="AQ59" s="100"/>
      <c r="AR59" s="100"/>
      <c r="AS59" s="100"/>
      <c r="AT59" s="100"/>
    </row>
    <row r="60" spans="1:46" ht="16.3">
      <c r="A60" s="83" t="s">
        <v>363</v>
      </c>
      <c r="B60" s="273">
        <f>SUM(B58+B59)</f>
        <v>0</v>
      </c>
      <c r="C60" s="214">
        <f t="shared" si="8"/>
        <v>0</v>
      </c>
      <c r="D60" s="133"/>
      <c r="E60" s="134"/>
      <c r="F60" s="135"/>
      <c r="G60" s="136"/>
      <c r="H60" s="96"/>
      <c r="I60" s="105"/>
      <c r="J60" s="104"/>
      <c r="K60" s="75"/>
      <c r="L60" s="75"/>
      <c r="M60" s="75"/>
      <c r="N60" s="75"/>
      <c r="O60" s="97"/>
      <c r="P60" s="108"/>
      <c r="Q60" s="109"/>
      <c r="R60" s="109"/>
      <c r="S60" s="100"/>
      <c r="T60" s="106"/>
      <c r="U60" s="137"/>
      <c r="V60" s="100"/>
      <c r="W60" s="100"/>
      <c r="X60" s="100"/>
      <c r="Y60" s="110"/>
      <c r="Z60" s="110"/>
      <c r="AA60" s="100"/>
      <c r="AB60" s="109"/>
      <c r="AC60" s="109"/>
      <c r="AD60" s="108"/>
      <c r="AE60" s="109"/>
      <c r="AF60" s="109"/>
      <c r="AG60" s="108"/>
      <c r="AH60" s="111"/>
      <c r="AI60" s="100"/>
      <c r="AJ60" s="110"/>
      <c r="AK60" s="110"/>
      <c r="AL60" s="100"/>
      <c r="AM60" s="100"/>
      <c r="AN60" s="100"/>
      <c r="AO60" s="100"/>
      <c r="AP60" s="100"/>
      <c r="AQ60" s="100"/>
      <c r="AR60" s="100"/>
      <c r="AS60" s="100"/>
      <c r="AT60" s="100"/>
    </row>
    <row r="61" spans="1:46" ht="16.3">
      <c r="A61" s="83" t="s">
        <v>3</v>
      </c>
      <c r="B61" s="273">
        <f>SUM(J61+K61+L61+M61+N61+S61+V61+W61+X61+AA61+AI61+AJ61+AI61+AM61+AP61+AQ61+AS61+AT61+AU61+AV61)</f>
        <v>0</v>
      </c>
      <c r="C61" s="214">
        <f t="shared" si="8"/>
        <v>0</v>
      </c>
      <c r="D61" s="133"/>
      <c r="E61" s="134"/>
      <c r="F61" s="135"/>
      <c r="G61" s="136"/>
      <c r="H61" s="96"/>
      <c r="I61" s="105"/>
      <c r="J61" s="104"/>
      <c r="K61" s="75"/>
      <c r="L61" s="75"/>
      <c r="M61" s="75"/>
      <c r="N61" s="75"/>
      <c r="O61" s="97"/>
      <c r="P61" s="108"/>
      <c r="Q61" s="109"/>
      <c r="R61" s="109"/>
      <c r="S61" s="100"/>
      <c r="T61" s="106"/>
      <c r="U61" s="137"/>
      <c r="V61" s="100"/>
      <c r="W61" s="100"/>
      <c r="X61" s="100"/>
      <c r="Y61" s="110"/>
      <c r="Z61" s="110"/>
      <c r="AA61" s="100"/>
      <c r="AB61" s="109"/>
      <c r="AC61" s="109"/>
      <c r="AD61" s="108"/>
      <c r="AE61" s="109"/>
      <c r="AF61" s="109"/>
      <c r="AG61" s="108"/>
      <c r="AH61" s="111"/>
      <c r="AI61" s="100"/>
      <c r="AJ61" s="110"/>
      <c r="AK61" s="110"/>
      <c r="AL61" s="100"/>
      <c r="AM61" s="100"/>
      <c r="AN61" s="100"/>
      <c r="AO61" s="100"/>
      <c r="AP61" s="100"/>
      <c r="AQ61" s="100"/>
      <c r="AR61" s="100"/>
      <c r="AS61" s="100"/>
      <c r="AT61" s="100"/>
    </row>
    <row r="62" spans="1:46" ht="17" thickBot="1">
      <c r="A62" s="85" t="s">
        <v>4</v>
      </c>
      <c r="B62" s="275">
        <f>SUM(J62+K62+L62+M62+N62+S62+V62+W62+X62+AA62+AI62+AJ62+AI62+AM62+AP62+AQ62+AS62+AT62+AU62+AV62)</f>
        <v>0</v>
      </c>
      <c r="C62" s="217">
        <f t="shared" si="8"/>
        <v>0</v>
      </c>
      <c r="D62" s="144"/>
      <c r="E62" s="145"/>
      <c r="F62" s="146"/>
      <c r="G62" s="147"/>
      <c r="H62" s="114"/>
      <c r="I62" s="127"/>
      <c r="J62" s="113"/>
      <c r="K62" s="112"/>
      <c r="L62" s="112"/>
      <c r="M62" s="112"/>
      <c r="N62" s="112"/>
      <c r="O62" s="115"/>
      <c r="P62" s="117"/>
      <c r="Q62" s="118"/>
      <c r="R62" s="118"/>
      <c r="S62" s="116"/>
      <c r="T62" s="119"/>
      <c r="U62" s="148"/>
      <c r="V62" s="116"/>
      <c r="W62" s="116"/>
      <c r="X62" s="116"/>
      <c r="Y62" s="120"/>
      <c r="Z62" s="120"/>
      <c r="AA62" s="116"/>
      <c r="AB62" s="118"/>
      <c r="AC62" s="118"/>
      <c r="AD62" s="117"/>
      <c r="AE62" s="118"/>
      <c r="AF62" s="118"/>
      <c r="AG62" s="117"/>
      <c r="AH62" s="121"/>
      <c r="AI62" s="116"/>
      <c r="AJ62" s="120"/>
      <c r="AK62" s="120"/>
      <c r="AL62" s="116"/>
      <c r="AM62" s="116"/>
      <c r="AN62" s="116"/>
      <c r="AO62" s="116"/>
      <c r="AP62" s="116"/>
      <c r="AQ62" s="116"/>
      <c r="AR62" s="116"/>
      <c r="AS62" s="116"/>
      <c r="AT62" s="116"/>
    </row>
    <row r="63" spans="1:46" ht="21.1">
      <c r="A63" s="82" t="s">
        <v>831</v>
      </c>
      <c r="B63" s="273"/>
      <c r="C63" s="214"/>
      <c r="D63" s="133"/>
      <c r="E63" s="134"/>
      <c r="F63" s="135"/>
      <c r="G63" s="136"/>
      <c r="H63" s="96" t="s">
        <v>344</v>
      </c>
      <c r="I63" s="105"/>
      <c r="J63" s="104" t="s">
        <v>344</v>
      </c>
      <c r="K63" s="75" t="s">
        <v>344</v>
      </c>
      <c r="L63" s="75" t="s">
        <v>344</v>
      </c>
      <c r="M63" s="75" t="s">
        <v>344</v>
      </c>
      <c r="N63" s="75" t="s">
        <v>344</v>
      </c>
      <c r="O63" s="97" t="s">
        <v>344</v>
      </c>
      <c r="P63" s="108"/>
      <c r="Q63" s="109" t="s">
        <v>719</v>
      </c>
      <c r="R63" s="109" t="s">
        <v>644</v>
      </c>
      <c r="S63" s="100" t="s">
        <v>393</v>
      </c>
      <c r="T63" s="106"/>
      <c r="U63" s="137"/>
      <c r="V63" s="100"/>
      <c r="W63" s="100"/>
      <c r="X63" s="100"/>
      <c r="Y63" s="110"/>
      <c r="Z63" s="110" t="s">
        <v>375</v>
      </c>
      <c r="AA63" s="100"/>
      <c r="AB63" s="109"/>
      <c r="AC63" s="109"/>
      <c r="AD63" s="108"/>
      <c r="AE63" s="109"/>
      <c r="AF63" s="109"/>
      <c r="AG63" s="108"/>
      <c r="AH63" s="111"/>
      <c r="AI63" s="100"/>
      <c r="AJ63" s="110"/>
      <c r="AK63" s="110"/>
      <c r="AL63" s="100"/>
      <c r="AM63" s="100"/>
      <c r="AN63" s="100"/>
      <c r="AO63" s="100"/>
      <c r="AP63" s="100"/>
      <c r="AQ63" s="100"/>
      <c r="AR63" s="100"/>
      <c r="AS63" s="100"/>
      <c r="AT63" s="100"/>
    </row>
    <row r="64" spans="1:46" ht="16.3">
      <c r="A64" s="246" t="s">
        <v>1</v>
      </c>
      <c r="B64" s="274">
        <f>SUM(J64+K64+L64+M64+N64+S64+V64+W64+X64+AA64+AI64+AJ64+AI64+AM64+AP64+AQ64+AS64+AT64+AU64+AV64+AN64)</f>
        <v>0</v>
      </c>
      <c r="C64" s="215">
        <f>B64</f>
        <v>0</v>
      </c>
      <c r="D64" s="133"/>
      <c r="E64" s="134"/>
      <c r="F64" s="135"/>
      <c r="G64" s="136"/>
      <c r="H64" s="96"/>
      <c r="I64" s="105"/>
      <c r="J64" s="104"/>
      <c r="K64" s="75"/>
      <c r="L64" s="75"/>
      <c r="M64" s="75"/>
      <c r="N64" s="75"/>
      <c r="O64" s="97"/>
      <c r="P64" s="108"/>
      <c r="Q64" s="109"/>
      <c r="R64" s="109">
        <v>1</v>
      </c>
      <c r="S64" s="100"/>
      <c r="T64" s="106"/>
      <c r="U64" s="137"/>
      <c r="V64" s="100"/>
      <c r="W64" s="100"/>
      <c r="X64" s="100"/>
      <c r="Y64" s="110"/>
      <c r="Z64" s="110"/>
      <c r="AA64" s="100"/>
      <c r="AB64" s="109"/>
      <c r="AC64" s="109"/>
      <c r="AD64" s="108"/>
      <c r="AE64" s="109"/>
      <c r="AF64" s="109"/>
      <c r="AG64" s="108"/>
      <c r="AH64" s="111"/>
      <c r="AI64" s="100"/>
      <c r="AJ64" s="110"/>
      <c r="AK64" s="110"/>
      <c r="AL64" s="100"/>
      <c r="AM64" s="100"/>
      <c r="AN64" s="100"/>
      <c r="AO64" s="100"/>
      <c r="AP64" s="100"/>
      <c r="AQ64" s="100"/>
      <c r="AR64" s="100"/>
      <c r="AS64" s="100"/>
      <c r="AT64" s="100"/>
    </row>
    <row r="65" spans="1:46" ht="16.3">
      <c r="A65" s="246" t="s">
        <v>2</v>
      </c>
      <c r="B65" s="274">
        <f>SUM(J65+K65+L65+M65+N65+S65+V65+W65+X65+AA65+AI65+AJ65+AI65+AM65+AP65+AQ65+AS65+AT65+AU65+AV65)</f>
        <v>0</v>
      </c>
      <c r="C65" s="215">
        <f t="shared" ref="C65:C68" si="9">B65</f>
        <v>0</v>
      </c>
      <c r="D65" s="133"/>
      <c r="E65" s="134"/>
      <c r="F65" s="135"/>
      <c r="G65" s="136"/>
      <c r="H65" s="96"/>
      <c r="I65" s="105"/>
      <c r="J65" s="104"/>
      <c r="K65" s="75"/>
      <c r="L65" s="75"/>
      <c r="M65" s="75"/>
      <c r="N65" s="75"/>
      <c r="O65" s="97"/>
      <c r="P65" s="108"/>
      <c r="Q65" s="109"/>
      <c r="R65" s="109"/>
      <c r="S65" s="100"/>
      <c r="T65" s="106"/>
      <c r="U65" s="137"/>
      <c r="V65" s="100"/>
      <c r="W65" s="100"/>
      <c r="X65" s="100"/>
      <c r="Y65" s="110"/>
      <c r="Z65" s="110">
        <v>1</v>
      </c>
      <c r="AA65" s="100"/>
      <c r="AB65" s="109"/>
      <c r="AC65" s="109"/>
      <c r="AD65" s="108"/>
      <c r="AE65" s="109"/>
      <c r="AF65" s="109"/>
      <c r="AG65" s="108"/>
      <c r="AH65" s="111"/>
      <c r="AI65" s="100"/>
      <c r="AJ65" s="110"/>
      <c r="AK65" s="110"/>
      <c r="AL65" s="100"/>
      <c r="AM65" s="100"/>
      <c r="AN65" s="100"/>
      <c r="AO65" s="100"/>
      <c r="AP65" s="100"/>
      <c r="AQ65" s="100"/>
      <c r="AR65" s="100"/>
      <c r="AS65" s="100"/>
      <c r="AT65" s="100"/>
    </row>
    <row r="66" spans="1:46" ht="16.3">
      <c r="A66" s="83" t="s">
        <v>363</v>
      </c>
      <c r="B66" s="273">
        <f>SUM(B64+B65)</f>
        <v>0</v>
      </c>
      <c r="C66" s="214">
        <f t="shared" si="9"/>
        <v>0</v>
      </c>
      <c r="D66" s="133"/>
      <c r="E66" s="134"/>
      <c r="F66" s="135"/>
      <c r="G66" s="136"/>
      <c r="H66" s="96"/>
      <c r="I66" s="105"/>
      <c r="J66" s="104"/>
      <c r="K66" s="75"/>
      <c r="L66" s="75"/>
      <c r="M66" s="75"/>
      <c r="N66" s="75"/>
      <c r="O66" s="97"/>
      <c r="P66" s="108"/>
      <c r="Q66" s="109"/>
      <c r="R66" s="109"/>
      <c r="S66" s="100"/>
      <c r="T66" s="106"/>
      <c r="U66" s="137"/>
      <c r="V66" s="100"/>
      <c r="W66" s="100"/>
      <c r="X66" s="100"/>
      <c r="Y66" s="110"/>
      <c r="Z66" s="110"/>
      <c r="AA66" s="100"/>
      <c r="AB66" s="109"/>
      <c r="AC66" s="109"/>
      <c r="AD66" s="108"/>
      <c r="AE66" s="109"/>
      <c r="AF66" s="109"/>
      <c r="AG66" s="108"/>
      <c r="AH66" s="111"/>
      <c r="AI66" s="100"/>
      <c r="AJ66" s="110"/>
      <c r="AK66" s="110"/>
      <c r="AL66" s="100"/>
      <c r="AM66" s="100"/>
      <c r="AN66" s="100"/>
      <c r="AO66" s="100"/>
      <c r="AP66" s="100"/>
      <c r="AQ66" s="100"/>
      <c r="AR66" s="100"/>
      <c r="AS66" s="100"/>
      <c r="AT66" s="100"/>
    </row>
    <row r="67" spans="1:46" ht="16.3">
      <c r="A67" s="83" t="s">
        <v>3</v>
      </c>
      <c r="B67" s="273">
        <f>SUM(J67+K67+L67+M67+N67+S67+V67+W67+X67+AA67+AI67+AJ67+AI67+AM67+AP67+AQ67+AS67+AT67+AU67+AV67)</f>
        <v>0</v>
      </c>
      <c r="C67" s="214">
        <f t="shared" si="9"/>
        <v>0</v>
      </c>
      <c r="D67" s="133"/>
      <c r="E67" s="134"/>
      <c r="F67" s="135"/>
      <c r="G67" s="136"/>
      <c r="H67" s="96"/>
      <c r="I67" s="105"/>
      <c r="J67" s="104"/>
      <c r="K67" s="75"/>
      <c r="L67" s="75"/>
      <c r="M67" s="75"/>
      <c r="N67" s="75"/>
      <c r="O67" s="97"/>
      <c r="P67" s="108"/>
      <c r="Q67" s="109"/>
      <c r="R67" s="109"/>
      <c r="S67" s="100"/>
      <c r="T67" s="106"/>
      <c r="U67" s="137"/>
      <c r="V67" s="100"/>
      <c r="W67" s="100"/>
      <c r="X67" s="100"/>
      <c r="Y67" s="110"/>
      <c r="Z67" s="110"/>
      <c r="AA67" s="100"/>
      <c r="AB67" s="109"/>
      <c r="AC67" s="109"/>
      <c r="AD67" s="108"/>
      <c r="AE67" s="109"/>
      <c r="AF67" s="109"/>
      <c r="AG67" s="108"/>
      <c r="AH67" s="111"/>
      <c r="AI67" s="100"/>
      <c r="AJ67" s="110"/>
      <c r="AK67" s="110"/>
      <c r="AL67" s="100"/>
      <c r="AM67" s="100"/>
      <c r="AN67" s="100"/>
      <c r="AO67" s="100"/>
      <c r="AP67" s="100"/>
      <c r="AQ67" s="100"/>
      <c r="AR67" s="100"/>
      <c r="AS67" s="100"/>
      <c r="AT67" s="100"/>
    </row>
    <row r="68" spans="1:46" ht="17" thickBot="1">
      <c r="A68" s="85" t="s">
        <v>4</v>
      </c>
      <c r="B68" s="275">
        <f>SUM(J68+K68+L68+M68+N68+S68+V68+W68+X68+AA68+AI68+AJ68+AI68+AM68+AP68+AQ68+AS68+AT68+AU68+AV68)</f>
        <v>0</v>
      </c>
      <c r="C68" s="217">
        <f t="shared" si="9"/>
        <v>0</v>
      </c>
      <c r="D68" s="144"/>
      <c r="E68" s="145"/>
      <c r="F68" s="146"/>
      <c r="G68" s="147"/>
      <c r="H68" s="114"/>
      <c r="I68" s="127"/>
      <c r="J68" s="113"/>
      <c r="K68" s="112"/>
      <c r="L68" s="112"/>
      <c r="M68" s="112"/>
      <c r="N68" s="112"/>
      <c r="O68" s="115"/>
      <c r="P68" s="117"/>
      <c r="Q68" s="118"/>
      <c r="R68" s="118"/>
      <c r="S68" s="116"/>
      <c r="T68" s="119"/>
      <c r="U68" s="148"/>
      <c r="V68" s="116"/>
      <c r="W68" s="116"/>
      <c r="X68" s="116"/>
      <c r="Y68" s="120"/>
      <c r="Z68" s="120"/>
      <c r="AA68" s="116"/>
      <c r="AB68" s="118"/>
      <c r="AC68" s="118"/>
      <c r="AD68" s="117"/>
      <c r="AE68" s="118"/>
      <c r="AF68" s="118"/>
      <c r="AG68" s="117"/>
      <c r="AH68" s="121"/>
      <c r="AI68" s="116"/>
      <c r="AJ68" s="120"/>
      <c r="AK68" s="120"/>
      <c r="AL68" s="116"/>
      <c r="AM68" s="116"/>
      <c r="AN68" s="116"/>
      <c r="AO68" s="116"/>
      <c r="AP68" s="116"/>
      <c r="AQ68" s="116"/>
      <c r="AR68" s="116"/>
      <c r="AS68" s="116"/>
      <c r="AT68" s="116"/>
    </row>
    <row r="69" spans="1:46" ht="21.1">
      <c r="A69" s="82" t="s">
        <v>846</v>
      </c>
      <c r="B69" s="273"/>
      <c r="C69" s="214"/>
      <c r="D69" s="133"/>
      <c r="E69" s="134"/>
      <c r="F69" s="135"/>
      <c r="G69" s="136"/>
      <c r="H69" s="96" t="s">
        <v>344</v>
      </c>
      <c r="I69" s="105"/>
      <c r="J69" s="104" t="s">
        <v>344</v>
      </c>
      <c r="K69" s="75" t="s">
        <v>344</v>
      </c>
      <c r="L69" s="75" t="s">
        <v>344</v>
      </c>
      <c r="M69" s="75" t="s">
        <v>344</v>
      </c>
      <c r="N69" s="75" t="s">
        <v>344</v>
      </c>
      <c r="O69" s="97" t="s">
        <v>344</v>
      </c>
      <c r="P69" s="108"/>
      <c r="Q69" s="109" t="s">
        <v>344</v>
      </c>
      <c r="R69" s="109" t="s">
        <v>344</v>
      </c>
      <c r="S69" s="100" t="s">
        <v>719</v>
      </c>
      <c r="T69" s="106" t="s">
        <v>432</v>
      </c>
      <c r="U69" s="137" t="s">
        <v>375</v>
      </c>
      <c r="V69" s="100"/>
      <c r="W69" s="100" t="s">
        <v>375</v>
      </c>
      <c r="X69" s="100" t="s">
        <v>375</v>
      </c>
      <c r="Y69" s="110" t="s">
        <v>375</v>
      </c>
      <c r="Z69" s="110"/>
      <c r="AA69" s="100"/>
      <c r="AB69" s="109" t="s">
        <v>367</v>
      </c>
      <c r="AC69" s="109"/>
      <c r="AD69" s="108"/>
      <c r="AE69" s="109"/>
      <c r="AF69" s="109"/>
      <c r="AG69" s="108"/>
      <c r="AH69" s="111"/>
      <c r="AI69" s="100"/>
      <c r="AJ69" s="110"/>
      <c r="AK69" s="110"/>
      <c r="AL69" s="100"/>
      <c r="AM69" s="100"/>
      <c r="AN69" s="100"/>
      <c r="AO69" s="100"/>
      <c r="AP69" s="100"/>
      <c r="AQ69" s="100"/>
      <c r="AR69" s="100"/>
      <c r="AS69" s="100"/>
      <c r="AT69" s="100"/>
    </row>
    <row r="70" spans="1:46" ht="16.3">
      <c r="A70" s="246" t="s">
        <v>1</v>
      </c>
      <c r="B70" s="274">
        <f>SUM(J70+K70+L70+M70+N70+S70+V70+W70+X70+AA70+AI70+AJ70+AI70+AM70+AP70+AQ70+AS70+AT70+AU70+AV70+AN70)</f>
        <v>0</v>
      </c>
      <c r="C70" s="215">
        <f>B70</f>
        <v>0</v>
      </c>
      <c r="D70" s="133"/>
      <c r="E70" s="134"/>
      <c r="F70" s="135"/>
      <c r="G70" s="136"/>
      <c r="H70" s="96"/>
      <c r="I70" s="105"/>
      <c r="J70" s="104"/>
      <c r="K70" s="75"/>
      <c r="L70" s="75"/>
      <c r="M70" s="75"/>
      <c r="N70" s="75"/>
      <c r="O70" s="97"/>
      <c r="P70" s="108"/>
      <c r="Q70" s="109"/>
      <c r="R70" s="109"/>
      <c r="S70" s="100"/>
      <c r="T70" s="106"/>
      <c r="U70" s="137"/>
      <c r="V70" s="100"/>
      <c r="W70" s="100"/>
      <c r="X70" s="100"/>
      <c r="Y70" s="110"/>
      <c r="Z70" s="110"/>
      <c r="AA70" s="100"/>
      <c r="AB70" s="109">
        <v>1</v>
      </c>
      <c r="AC70" s="109"/>
      <c r="AD70" s="108"/>
      <c r="AE70" s="109"/>
      <c r="AF70" s="109"/>
      <c r="AG70" s="108"/>
      <c r="AH70" s="111"/>
      <c r="AI70" s="100"/>
      <c r="AJ70" s="110"/>
      <c r="AK70" s="110"/>
      <c r="AL70" s="100"/>
      <c r="AM70" s="100"/>
      <c r="AN70" s="100"/>
      <c r="AO70" s="100"/>
      <c r="AP70" s="100"/>
      <c r="AQ70" s="100"/>
      <c r="AR70" s="100"/>
      <c r="AS70" s="100"/>
      <c r="AT70" s="100"/>
    </row>
    <row r="71" spans="1:46" ht="16.3">
      <c r="A71" s="246" t="s">
        <v>2</v>
      </c>
      <c r="B71" s="274">
        <f>SUM(J71+K71+L71+M71+N71+S71+V71+W71+X71+AA71+AI71+AJ71+AI71+AM71+AP71+AQ71+AS71+AT71+AU71+AV71)</f>
        <v>2</v>
      </c>
      <c r="C71" s="215">
        <f t="shared" ref="C71:C74" si="10">B71</f>
        <v>2</v>
      </c>
      <c r="D71" s="133"/>
      <c r="E71" s="134"/>
      <c r="F71" s="135"/>
      <c r="G71" s="136"/>
      <c r="H71" s="96"/>
      <c r="I71" s="105"/>
      <c r="J71" s="104"/>
      <c r="K71" s="75"/>
      <c r="L71" s="75"/>
      <c r="M71" s="75"/>
      <c r="N71" s="75"/>
      <c r="O71" s="97"/>
      <c r="P71" s="108"/>
      <c r="Q71" s="109"/>
      <c r="R71" s="109"/>
      <c r="S71" s="100"/>
      <c r="T71" s="106">
        <v>1</v>
      </c>
      <c r="U71" s="137">
        <v>1</v>
      </c>
      <c r="V71" s="100"/>
      <c r="W71" s="100">
        <v>1</v>
      </c>
      <c r="X71" s="100">
        <v>1</v>
      </c>
      <c r="Y71" s="110">
        <v>1</v>
      </c>
      <c r="Z71" s="110"/>
      <c r="AA71" s="100"/>
      <c r="AB71" s="109"/>
      <c r="AC71" s="109"/>
      <c r="AD71" s="108"/>
      <c r="AE71" s="109"/>
      <c r="AF71" s="109"/>
      <c r="AG71" s="108"/>
      <c r="AH71" s="111"/>
      <c r="AI71" s="100"/>
      <c r="AJ71" s="110"/>
      <c r="AK71" s="110"/>
      <c r="AL71" s="100"/>
      <c r="AM71" s="100"/>
      <c r="AN71" s="100"/>
      <c r="AO71" s="100"/>
      <c r="AP71" s="100"/>
      <c r="AQ71" s="100"/>
      <c r="AR71" s="100"/>
      <c r="AS71" s="100"/>
      <c r="AT71" s="100"/>
    </row>
    <row r="72" spans="1:46" ht="16.3">
      <c r="A72" s="83" t="s">
        <v>363</v>
      </c>
      <c r="B72" s="273">
        <f>SUM(B70+B71)</f>
        <v>2</v>
      </c>
      <c r="C72" s="214">
        <f t="shared" si="10"/>
        <v>2</v>
      </c>
      <c r="D72" s="133"/>
      <c r="E72" s="134"/>
      <c r="F72" s="135"/>
      <c r="G72" s="136"/>
      <c r="H72" s="96"/>
      <c r="I72" s="105"/>
      <c r="J72" s="104"/>
      <c r="K72" s="75"/>
      <c r="L72" s="75"/>
      <c r="M72" s="75"/>
      <c r="N72" s="75"/>
      <c r="O72" s="97"/>
      <c r="P72" s="108"/>
      <c r="Q72" s="109"/>
      <c r="R72" s="109"/>
      <c r="S72" s="100"/>
      <c r="T72" s="106"/>
      <c r="U72" s="137"/>
      <c r="V72" s="100"/>
      <c r="W72" s="100"/>
      <c r="X72" s="100"/>
      <c r="Y72" s="110"/>
      <c r="Z72" s="110"/>
      <c r="AA72" s="100"/>
      <c r="AB72" s="109"/>
      <c r="AC72" s="109"/>
      <c r="AD72" s="108"/>
      <c r="AE72" s="109"/>
      <c r="AF72" s="109"/>
      <c r="AG72" s="108"/>
      <c r="AH72" s="111"/>
      <c r="AI72" s="100"/>
      <c r="AJ72" s="110"/>
      <c r="AK72" s="110"/>
      <c r="AL72" s="100"/>
      <c r="AM72" s="100"/>
      <c r="AN72" s="100"/>
      <c r="AO72" s="100"/>
      <c r="AP72" s="100"/>
      <c r="AQ72" s="100"/>
      <c r="AR72" s="100"/>
      <c r="AS72" s="100"/>
      <c r="AT72" s="100"/>
    </row>
    <row r="73" spans="1:46" ht="16.3">
      <c r="A73" s="83" t="s">
        <v>3</v>
      </c>
      <c r="B73" s="273">
        <f>SUM(J73+K73+L73+M73+N73+S73+V73+W73+X73+AA73+AI73+AJ73+AI73+AM73+AP73+AQ73+AS73+AT73+AU73+AV73)</f>
        <v>0</v>
      </c>
      <c r="C73" s="214">
        <f t="shared" si="10"/>
        <v>0</v>
      </c>
      <c r="D73" s="133"/>
      <c r="E73" s="134"/>
      <c r="F73" s="135"/>
      <c r="G73" s="136"/>
      <c r="H73" s="96"/>
      <c r="I73" s="105"/>
      <c r="J73" s="104"/>
      <c r="K73" s="75"/>
      <c r="L73" s="75"/>
      <c r="M73" s="75"/>
      <c r="N73" s="75"/>
      <c r="O73" s="97"/>
      <c r="P73" s="108"/>
      <c r="Q73" s="109"/>
      <c r="R73" s="109"/>
      <c r="S73" s="100"/>
      <c r="T73" s="106"/>
      <c r="U73" s="137"/>
      <c r="V73" s="100"/>
      <c r="W73" s="100"/>
      <c r="X73" s="100"/>
      <c r="Y73" s="110"/>
      <c r="Z73" s="110"/>
      <c r="AA73" s="100"/>
      <c r="AB73" s="109">
        <v>1</v>
      </c>
      <c r="AC73" s="109"/>
      <c r="AD73" s="108"/>
      <c r="AE73" s="109"/>
      <c r="AF73" s="109"/>
      <c r="AG73" s="108"/>
      <c r="AH73" s="111"/>
      <c r="AI73" s="100"/>
      <c r="AJ73" s="110"/>
      <c r="AK73" s="110"/>
      <c r="AL73" s="100"/>
      <c r="AM73" s="100"/>
      <c r="AN73" s="100"/>
      <c r="AO73" s="100"/>
      <c r="AP73" s="100"/>
      <c r="AQ73" s="100"/>
      <c r="AR73" s="100"/>
      <c r="AS73" s="100"/>
      <c r="AT73" s="100"/>
    </row>
    <row r="74" spans="1:46" ht="17" thickBot="1">
      <c r="A74" s="85" t="s">
        <v>4</v>
      </c>
      <c r="B74" s="275">
        <f>SUM(J74+K74+L74+M74+N74+S74+V74+W74+X74+AA74+AI74+AJ74+AI74+AM74+AP74+AQ74+AS74+AT74+AU74+AV74)</f>
        <v>0</v>
      </c>
      <c r="C74" s="217">
        <f t="shared" si="10"/>
        <v>0</v>
      </c>
      <c r="D74" s="144"/>
      <c r="E74" s="145"/>
      <c r="F74" s="146"/>
      <c r="G74" s="147"/>
      <c r="H74" s="114"/>
      <c r="I74" s="127"/>
      <c r="J74" s="113"/>
      <c r="K74" s="112"/>
      <c r="L74" s="112"/>
      <c r="M74" s="112"/>
      <c r="N74" s="112"/>
      <c r="O74" s="115"/>
      <c r="P74" s="117"/>
      <c r="Q74" s="118"/>
      <c r="R74" s="118"/>
      <c r="S74" s="116"/>
      <c r="T74" s="119"/>
      <c r="U74" s="148"/>
      <c r="V74" s="116"/>
      <c r="W74" s="116"/>
      <c r="X74" s="116"/>
      <c r="Y74" s="120"/>
      <c r="Z74" s="120"/>
      <c r="AA74" s="116"/>
      <c r="AB74" s="118">
        <v>5</v>
      </c>
      <c r="AC74" s="118"/>
      <c r="AD74" s="117"/>
      <c r="AE74" s="118"/>
      <c r="AF74" s="118"/>
      <c r="AG74" s="117"/>
      <c r="AH74" s="121"/>
      <c r="AI74" s="116"/>
      <c r="AJ74" s="120"/>
      <c r="AK74" s="120"/>
      <c r="AL74" s="116"/>
      <c r="AM74" s="116"/>
      <c r="AN74" s="116"/>
      <c r="AO74" s="116"/>
      <c r="AP74" s="116"/>
      <c r="AQ74" s="116"/>
      <c r="AR74" s="116"/>
      <c r="AS74" s="116"/>
      <c r="AT74" s="116"/>
    </row>
    <row r="75" spans="1:46" ht="21.1">
      <c r="A75" s="82" t="s">
        <v>484</v>
      </c>
      <c r="B75" s="273"/>
      <c r="C75" s="214"/>
      <c r="D75" s="133"/>
      <c r="E75" s="134"/>
      <c r="F75" s="135"/>
      <c r="G75" s="136"/>
      <c r="H75" s="96"/>
      <c r="I75" s="105"/>
      <c r="J75" s="104"/>
      <c r="K75" s="75"/>
      <c r="L75" s="75"/>
      <c r="M75" s="75"/>
      <c r="N75" s="75"/>
      <c r="O75" s="97" t="s">
        <v>393</v>
      </c>
      <c r="P75" s="108"/>
      <c r="Q75" s="109"/>
      <c r="R75" s="109" t="s">
        <v>375</v>
      </c>
      <c r="S75" s="100"/>
      <c r="T75" s="106"/>
      <c r="U75" s="137"/>
      <c r="V75" s="100"/>
      <c r="W75" s="100"/>
      <c r="X75" s="100"/>
      <c r="Y75" s="110"/>
      <c r="Z75" s="110"/>
      <c r="AA75" s="100"/>
      <c r="AB75" s="109">
        <v>14</v>
      </c>
      <c r="AC75" s="109">
        <v>14</v>
      </c>
      <c r="AD75" s="108"/>
      <c r="AE75" s="109"/>
      <c r="AF75" s="109"/>
      <c r="AG75" s="108"/>
      <c r="AH75" s="111"/>
      <c r="AI75" s="100"/>
      <c r="AJ75" s="110"/>
      <c r="AK75" s="110"/>
      <c r="AL75" s="100"/>
      <c r="AM75" s="100"/>
      <c r="AN75" s="100"/>
      <c r="AO75" s="100"/>
      <c r="AP75" s="100"/>
      <c r="AQ75" s="100"/>
      <c r="AR75" s="100"/>
      <c r="AS75" s="100"/>
      <c r="AT75" s="100"/>
    </row>
    <row r="76" spans="1:46" ht="16.3">
      <c r="A76" s="246" t="s">
        <v>1</v>
      </c>
      <c r="B76" s="274">
        <f>SUM(J76+K76+L76+M76+N76+S76+V76+W76+X76+AA76+AI76+AJ76+AI76+AM76+AP76+AQ76+AS76+AT76+AU76+AV76+AN76)</f>
        <v>0</v>
      </c>
      <c r="C76" s="215">
        <f>B76</f>
        <v>0</v>
      </c>
      <c r="D76" s="133"/>
      <c r="E76" s="134"/>
      <c r="F76" s="135"/>
      <c r="G76" s="136"/>
      <c r="H76" s="96"/>
      <c r="I76" s="105"/>
      <c r="J76" s="104"/>
      <c r="K76" s="75"/>
      <c r="L76" s="75"/>
      <c r="M76" s="75"/>
      <c r="N76" s="75"/>
      <c r="O76" s="97"/>
      <c r="P76" s="108"/>
      <c r="Q76" s="109"/>
      <c r="R76" s="109"/>
      <c r="S76" s="100"/>
      <c r="T76" s="106"/>
      <c r="U76" s="137"/>
      <c r="V76" s="100"/>
      <c r="W76" s="100"/>
      <c r="X76" s="100"/>
      <c r="Y76" s="110"/>
      <c r="Z76" s="110"/>
      <c r="AA76" s="100"/>
      <c r="AB76" s="109">
        <v>1</v>
      </c>
      <c r="AC76" s="109">
        <v>1</v>
      </c>
      <c r="AD76" s="108"/>
      <c r="AE76" s="109"/>
      <c r="AF76" s="109"/>
      <c r="AG76" s="108"/>
      <c r="AH76" s="111"/>
      <c r="AI76" s="100"/>
      <c r="AJ76" s="110"/>
      <c r="AK76" s="110"/>
      <c r="AL76" s="100"/>
      <c r="AM76" s="100"/>
      <c r="AN76" s="100"/>
      <c r="AO76" s="100"/>
      <c r="AP76" s="100"/>
      <c r="AQ76" s="100"/>
      <c r="AR76" s="100"/>
      <c r="AS76" s="100"/>
      <c r="AT76" s="100"/>
    </row>
    <row r="77" spans="1:46" ht="16.3">
      <c r="A77" s="246" t="s">
        <v>2</v>
      </c>
      <c r="B77" s="274">
        <f>SUM(J77+K77+L77+M77+N77+S77+V77+W77+X77+AA77+AI77+AJ77+AI77+AM77+AP77+AQ77+AS77+AT77+AU77+AV77)</f>
        <v>0</v>
      </c>
      <c r="C77" s="215">
        <f t="shared" ref="C77:C80" si="11">B77</f>
        <v>0</v>
      </c>
      <c r="D77" s="133"/>
      <c r="E77" s="134"/>
      <c r="F77" s="135"/>
      <c r="G77" s="136"/>
      <c r="H77" s="96"/>
      <c r="I77" s="105"/>
      <c r="J77" s="104"/>
      <c r="K77" s="75"/>
      <c r="L77" s="75"/>
      <c r="M77" s="75"/>
      <c r="N77" s="75"/>
      <c r="O77" s="97"/>
      <c r="P77" s="108"/>
      <c r="Q77" s="109"/>
      <c r="R77" s="109">
        <v>1</v>
      </c>
      <c r="S77" s="100"/>
      <c r="T77" s="106"/>
      <c r="U77" s="137"/>
      <c r="V77" s="100"/>
      <c r="W77" s="100"/>
      <c r="X77" s="100"/>
      <c r="Y77" s="110"/>
      <c r="Z77" s="110"/>
      <c r="AA77" s="100"/>
      <c r="AB77" s="109"/>
      <c r="AC77" s="109"/>
      <c r="AD77" s="108"/>
      <c r="AE77" s="109"/>
      <c r="AF77" s="109"/>
      <c r="AG77" s="108"/>
      <c r="AH77" s="111"/>
      <c r="AI77" s="100"/>
      <c r="AJ77" s="110"/>
      <c r="AK77" s="110"/>
      <c r="AL77" s="100"/>
      <c r="AM77" s="100"/>
      <c r="AN77" s="100"/>
      <c r="AO77" s="100"/>
      <c r="AP77" s="100"/>
      <c r="AQ77" s="100"/>
      <c r="AR77" s="100"/>
      <c r="AS77" s="100"/>
      <c r="AT77" s="100"/>
    </row>
    <row r="78" spans="1:46" ht="16.3">
      <c r="A78" s="83" t="s">
        <v>363</v>
      </c>
      <c r="B78" s="273">
        <f>SUM(B76+B77)</f>
        <v>0</v>
      </c>
      <c r="C78" s="214">
        <f t="shared" si="11"/>
        <v>0</v>
      </c>
      <c r="D78" s="133"/>
      <c r="E78" s="134"/>
      <c r="F78" s="135"/>
      <c r="G78" s="136"/>
      <c r="H78" s="96"/>
      <c r="I78" s="105"/>
      <c r="J78" s="104"/>
      <c r="K78" s="75"/>
      <c r="L78" s="75"/>
      <c r="M78" s="75"/>
      <c r="N78" s="75"/>
      <c r="O78" s="97"/>
      <c r="P78" s="108"/>
      <c r="Q78" s="109"/>
      <c r="R78" s="109"/>
      <c r="S78" s="100"/>
      <c r="T78" s="106"/>
      <c r="U78" s="137"/>
      <c r="V78" s="100"/>
      <c r="W78" s="100"/>
      <c r="X78" s="100"/>
      <c r="Y78" s="110"/>
      <c r="Z78" s="110"/>
      <c r="AA78" s="100"/>
      <c r="AB78" s="109"/>
      <c r="AC78" s="109"/>
      <c r="AD78" s="108"/>
      <c r="AE78" s="109"/>
      <c r="AF78" s="109"/>
      <c r="AG78" s="108"/>
      <c r="AH78" s="111"/>
      <c r="AI78" s="100"/>
      <c r="AJ78" s="110"/>
      <c r="AK78" s="110"/>
      <c r="AL78" s="100"/>
      <c r="AM78" s="100"/>
      <c r="AN78" s="100"/>
      <c r="AO78" s="100"/>
      <c r="AP78" s="100"/>
      <c r="AQ78" s="100"/>
      <c r="AR78" s="100"/>
      <c r="AS78" s="100"/>
      <c r="AT78" s="100"/>
    </row>
    <row r="79" spans="1:46" ht="16.3">
      <c r="A79" s="83" t="s">
        <v>3</v>
      </c>
      <c r="B79" s="273">
        <f>SUM(J79+K79+L79+M79+N79+S79+V79+W79+X79+AA79+AI79+AJ79+AI79+AM79+AP79+AQ79+AS79+AT79+AU79+AV79)</f>
        <v>0</v>
      </c>
      <c r="C79" s="214">
        <f t="shared" si="11"/>
        <v>0</v>
      </c>
      <c r="D79" s="133"/>
      <c r="E79" s="134"/>
      <c r="F79" s="135"/>
      <c r="G79" s="136"/>
      <c r="H79" s="96"/>
      <c r="I79" s="105"/>
      <c r="J79" s="104"/>
      <c r="K79" s="75"/>
      <c r="L79" s="75"/>
      <c r="M79" s="75"/>
      <c r="N79" s="75"/>
      <c r="O79" s="97"/>
      <c r="P79" s="108"/>
      <c r="Q79" s="109"/>
      <c r="R79" s="109"/>
      <c r="S79" s="100"/>
      <c r="T79" s="106"/>
      <c r="U79" s="137"/>
      <c r="V79" s="100"/>
      <c r="W79" s="100"/>
      <c r="X79" s="100"/>
      <c r="Y79" s="110"/>
      <c r="Z79" s="110"/>
      <c r="AA79" s="100"/>
      <c r="AB79" s="109"/>
      <c r="AC79" s="109">
        <v>1</v>
      </c>
      <c r="AD79" s="108"/>
      <c r="AE79" s="109"/>
      <c r="AF79" s="109"/>
      <c r="AG79" s="108"/>
      <c r="AH79" s="111"/>
      <c r="AI79" s="100"/>
      <c r="AJ79" s="110"/>
      <c r="AK79" s="110"/>
      <c r="AL79" s="100"/>
      <c r="AM79" s="100"/>
      <c r="AN79" s="100"/>
      <c r="AO79" s="100"/>
      <c r="AP79" s="100"/>
      <c r="AQ79" s="100"/>
      <c r="AR79" s="100"/>
      <c r="AS79" s="100"/>
      <c r="AT79" s="100"/>
    </row>
    <row r="80" spans="1:46" ht="17" thickBot="1">
      <c r="A80" s="85" t="s">
        <v>4</v>
      </c>
      <c r="B80" s="275">
        <f>SUM(J80+K80+L80+M80+N80+S80+V80+W80+X80+AA80+AI80+AJ80+AI80+AM80+AP80+AQ80+AS80+AT80+AU80+AV80)</f>
        <v>0</v>
      </c>
      <c r="C80" s="217">
        <f t="shared" si="11"/>
        <v>0</v>
      </c>
      <c r="D80" s="144"/>
      <c r="E80" s="145"/>
      <c r="F80" s="146"/>
      <c r="G80" s="147"/>
      <c r="H80" s="114"/>
      <c r="I80" s="127"/>
      <c r="J80" s="113"/>
      <c r="K80" s="112"/>
      <c r="L80" s="112"/>
      <c r="M80" s="112"/>
      <c r="N80" s="112"/>
      <c r="O80" s="115"/>
      <c r="P80" s="117"/>
      <c r="Q80" s="118"/>
      <c r="R80" s="118"/>
      <c r="S80" s="116"/>
      <c r="T80" s="119"/>
      <c r="U80" s="148"/>
      <c r="V80" s="116"/>
      <c r="W80" s="116"/>
      <c r="X80" s="116"/>
      <c r="Y80" s="120"/>
      <c r="Z80" s="120"/>
      <c r="AA80" s="116"/>
      <c r="AB80" s="118"/>
      <c r="AC80" s="118">
        <v>5</v>
      </c>
      <c r="AD80" s="117"/>
      <c r="AE80" s="118"/>
      <c r="AF80" s="118"/>
      <c r="AG80" s="117"/>
      <c r="AH80" s="121"/>
      <c r="AI80" s="116"/>
      <c r="AJ80" s="120"/>
      <c r="AK80" s="120"/>
      <c r="AL80" s="116"/>
      <c r="AM80" s="116"/>
      <c r="AN80" s="116"/>
      <c r="AO80" s="116"/>
      <c r="AP80" s="116"/>
      <c r="AQ80" s="116"/>
      <c r="AR80" s="116"/>
      <c r="AS80" s="116"/>
      <c r="AT80" s="116"/>
    </row>
    <row r="81" spans="1:46" ht="21.1">
      <c r="A81" s="82" t="s">
        <v>807</v>
      </c>
      <c r="B81" s="273"/>
      <c r="C81" s="214"/>
      <c r="D81" s="133"/>
      <c r="E81" s="134"/>
      <c r="F81" s="135"/>
      <c r="G81" s="136"/>
      <c r="H81" s="96"/>
      <c r="I81" s="105"/>
      <c r="J81" s="104"/>
      <c r="K81" s="75"/>
      <c r="L81" s="75"/>
      <c r="M81" s="75"/>
      <c r="N81" s="75"/>
      <c r="O81" s="97"/>
      <c r="P81" s="108"/>
      <c r="Q81" s="109">
        <v>13</v>
      </c>
      <c r="R81" s="109">
        <v>12</v>
      </c>
      <c r="S81" s="100"/>
      <c r="T81" s="106"/>
      <c r="U81" s="137">
        <v>13</v>
      </c>
      <c r="V81" s="100">
        <v>13</v>
      </c>
      <c r="W81" s="100"/>
      <c r="X81" s="100"/>
      <c r="Y81" s="110"/>
      <c r="Z81" s="110" t="s">
        <v>375</v>
      </c>
      <c r="AA81" s="100"/>
      <c r="AB81" s="109" t="s">
        <v>451</v>
      </c>
      <c r="AC81" s="109">
        <v>13</v>
      </c>
      <c r="AD81" s="108"/>
      <c r="AE81" s="109" t="s">
        <v>377</v>
      </c>
      <c r="AF81" s="109">
        <v>13</v>
      </c>
      <c r="AG81" s="108"/>
      <c r="AH81" s="111"/>
      <c r="AI81" s="100"/>
      <c r="AJ81" s="110"/>
      <c r="AK81" s="110"/>
      <c r="AL81" s="100"/>
      <c r="AM81" s="100"/>
      <c r="AN81" s="100"/>
      <c r="AO81" s="100"/>
      <c r="AP81" s="100"/>
      <c r="AQ81" s="100"/>
      <c r="AR81" s="100"/>
      <c r="AS81" s="100"/>
      <c r="AT81" s="100"/>
    </row>
    <row r="82" spans="1:46" ht="16.3">
      <c r="A82" s="246" t="s">
        <v>1</v>
      </c>
      <c r="B82" s="274">
        <f>SUM(J82+K82+L82+M82+N82+S82+V82+W82+X82+AA82+AI82+AJ82+AI82+AM82+AP82+AQ82+AS82+AT82+AU82+AV82+AN82)</f>
        <v>1</v>
      </c>
      <c r="C82" s="215">
        <f>B82</f>
        <v>1</v>
      </c>
      <c r="D82" s="133"/>
      <c r="E82" s="134"/>
      <c r="F82" s="135"/>
      <c r="G82" s="136"/>
      <c r="H82" s="96"/>
      <c r="I82" s="105"/>
      <c r="J82" s="104"/>
      <c r="K82" s="75"/>
      <c r="L82" s="75"/>
      <c r="M82" s="75"/>
      <c r="N82" s="75"/>
      <c r="O82" s="97"/>
      <c r="P82" s="108"/>
      <c r="Q82" s="109">
        <v>1</v>
      </c>
      <c r="R82" s="109">
        <v>1</v>
      </c>
      <c r="S82" s="100"/>
      <c r="T82" s="106"/>
      <c r="U82" s="137">
        <v>1</v>
      </c>
      <c r="V82" s="100">
        <v>1</v>
      </c>
      <c r="W82" s="100"/>
      <c r="X82" s="100"/>
      <c r="Y82" s="110"/>
      <c r="Z82" s="110"/>
      <c r="AA82" s="100"/>
      <c r="AB82" s="109">
        <v>1</v>
      </c>
      <c r="AC82" s="109">
        <v>1</v>
      </c>
      <c r="AD82" s="108"/>
      <c r="AE82" s="109">
        <v>1</v>
      </c>
      <c r="AF82" s="109">
        <v>1</v>
      </c>
      <c r="AG82" s="108"/>
      <c r="AH82" s="111"/>
      <c r="AI82" s="100"/>
      <c r="AJ82" s="110"/>
      <c r="AK82" s="110"/>
      <c r="AL82" s="100"/>
      <c r="AM82" s="100"/>
      <c r="AN82" s="100"/>
      <c r="AO82" s="100"/>
      <c r="AP82" s="100"/>
      <c r="AQ82" s="100"/>
      <c r="AR82" s="100"/>
      <c r="AS82" s="100"/>
      <c r="AT82" s="100"/>
    </row>
    <row r="83" spans="1:46" ht="16.3">
      <c r="A83" s="246" t="s">
        <v>2</v>
      </c>
      <c r="B83" s="274">
        <f>SUM(J83+K83+L83+M83+N83+S83+V83+W83+X83+AA83+AI83+AJ83+AI83+AM83+AP83+AQ83+AS83+AT83+AU83+AV83)</f>
        <v>0</v>
      </c>
      <c r="C83" s="215">
        <f t="shared" ref="C83:C87" si="12">B83</f>
        <v>0</v>
      </c>
      <c r="D83" s="133"/>
      <c r="E83" s="134"/>
      <c r="F83" s="135"/>
      <c r="G83" s="136"/>
      <c r="H83" s="96"/>
      <c r="I83" s="105"/>
      <c r="J83" s="104"/>
      <c r="K83" s="75"/>
      <c r="L83" s="75"/>
      <c r="M83" s="75"/>
      <c r="N83" s="75"/>
      <c r="O83" s="97"/>
      <c r="P83" s="108"/>
      <c r="Q83" s="109"/>
      <c r="R83" s="109"/>
      <c r="S83" s="100"/>
      <c r="T83" s="106"/>
      <c r="U83" s="137"/>
      <c r="V83" s="100"/>
      <c r="W83" s="100"/>
      <c r="X83" s="100"/>
      <c r="Y83" s="110"/>
      <c r="Z83" s="110">
        <v>1</v>
      </c>
      <c r="AA83" s="100"/>
      <c r="AB83" s="109"/>
      <c r="AC83" s="109"/>
      <c r="AD83" s="108"/>
      <c r="AE83" s="109"/>
      <c r="AF83" s="109"/>
      <c r="AG83" s="108"/>
      <c r="AH83" s="111"/>
      <c r="AI83" s="100"/>
      <c r="AJ83" s="110"/>
      <c r="AK83" s="110"/>
      <c r="AL83" s="100"/>
      <c r="AM83" s="100"/>
      <c r="AN83" s="100"/>
      <c r="AO83" s="100"/>
      <c r="AP83" s="100"/>
      <c r="AQ83" s="100"/>
      <c r="AR83" s="100"/>
      <c r="AS83" s="100"/>
      <c r="AT83" s="100"/>
    </row>
    <row r="84" spans="1:46" ht="16.3">
      <c r="A84" s="83" t="s">
        <v>363</v>
      </c>
      <c r="B84" s="273">
        <f>SUM(B82+B83)</f>
        <v>1</v>
      </c>
      <c r="C84" s="214">
        <f t="shared" si="12"/>
        <v>1</v>
      </c>
      <c r="D84" s="133"/>
      <c r="E84" s="134"/>
      <c r="F84" s="135"/>
      <c r="G84" s="136"/>
      <c r="H84" s="96"/>
      <c r="I84" s="105"/>
      <c r="J84" s="104"/>
      <c r="K84" s="75"/>
      <c r="L84" s="75"/>
      <c r="M84" s="75"/>
      <c r="N84" s="75"/>
      <c r="O84" s="97"/>
      <c r="P84" s="108"/>
      <c r="Q84" s="109"/>
      <c r="R84" s="109"/>
      <c r="S84" s="100"/>
      <c r="T84" s="106"/>
      <c r="U84" s="137"/>
      <c r="V84" s="100"/>
      <c r="W84" s="100"/>
      <c r="X84" s="100"/>
      <c r="Y84" s="110"/>
      <c r="Z84" s="110"/>
      <c r="AA84" s="100"/>
      <c r="AB84" s="109"/>
      <c r="AC84" s="109"/>
      <c r="AD84" s="108"/>
      <c r="AE84" s="109"/>
      <c r="AF84" s="109"/>
      <c r="AG84" s="108"/>
      <c r="AH84" s="111"/>
      <c r="AI84" s="100"/>
      <c r="AJ84" s="110"/>
      <c r="AK84" s="110"/>
      <c r="AL84" s="100"/>
      <c r="AM84" s="100"/>
      <c r="AN84" s="100"/>
      <c r="AO84" s="100"/>
      <c r="AP84" s="100"/>
      <c r="AQ84" s="100"/>
      <c r="AR84" s="100"/>
      <c r="AS84" s="100"/>
      <c r="AT84" s="100"/>
    </row>
    <row r="85" spans="1:46" ht="16.3">
      <c r="A85" s="83" t="s">
        <v>362</v>
      </c>
      <c r="B85" s="274">
        <f>SUM(J85+K85+L85+M85+N85+S85+V85+W85+X85+AA85+AI85+AJ85+AI85+AM85+AP85+AQ85+AS85+AT85+AU85+AV85)</f>
        <v>0</v>
      </c>
      <c r="C85" s="215">
        <f t="shared" ref="C85" si="13">B85</f>
        <v>0</v>
      </c>
      <c r="D85" s="133"/>
      <c r="E85" s="134"/>
      <c r="F85" s="135"/>
      <c r="G85" s="136"/>
      <c r="H85" s="96"/>
      <c r="I85" s="105"/>
      <c r="J85" s="104"/>
      <c r="K85" s="75"/>
      <c r="L85" s="75"/>
      <c r="M85" s="75"/>
      <c r="N85" s="75"/>
      <c r="O85" s="97"/>
      <c r="P85" s="108"/>
      <c r="Q85" s="109"/>
      <c r="R85" s="109"/>
      <c r="S85" s="100"/>
      <c r="T85" s="106"/>
      <c r="U85" s="137"/>
      <c r="V85" s="100"/>
      <c r="W85" s="100"/>
      <c r="X85" s="100"/>
      <c r="Y85" s="110"/>
      <c r="Z85" s="110"/>
      <c r="AA85" s="100"/>
      <c r="AB85" s="109">
        <v>1</v>
      </c>
      <c r="AC85" s="109"/>
      <c r="AD85" s="108"/>
      <c r="AE85" s="109"/>
      <c r="AF85" s="109"/>
      <c r="AG85" s="108"/>
      <c r="AH85" s="111"/>
      <c r="AI85" s="100"/>
      <c r="AJ85" s="110"/>
      <c r="AK85" s="110"/>
      <c r="AL85" s="100"/>
      <c r="AM85" s="100"/>
      <c r="AN85" s="100"/>
      <c r="AO85" s="100"/>
      <c r="AP85" s="100"/>
      <c r="AQ85" s="100"/>
      <c r="AR85" s="100"/>
      <c r="AS85" s="100"/>
      <c r="AT85" s="100"/>
    </row>
    <row r="86" spans="1:46" ht="16.3">
      <c r="A86" s="83" t="s">
        <v>3</v>
      </c>
      <c r="B86" s="273">
        <f>SUM(J86+K86+L86+M86+N86+S86+V86+W86+X86+AA86+AI86+AJ86+AI86+AM86+AP86+AQ86+AS86+AT86+AU86+AV86)</f>
        <v>0</v>
      </c>
      <c r="C86" s="214">
        <f t="shared" si="12"/>
        <v>0</v>
      </c>
      <c r="D86" s="133"/>
      <c r="E86" s="134"/>
      <c r="F86" s="135"/>
      <c r="G86" s="136"/>
      <c r="H86" s="96"/>
      <c r="I86" s="105"/>
      <c r="J86" s="104"/>
      <c r="K86" s="75"/>
      <c r="L86" s="75"/>
      <c r="M86" s="75"/>
      <c r="N86" s="75"/>
      <c r="O86" s="97"/>
      <c r="P86" s="108"/>
      <c r="Q86" s="109"/>
      <c r="R86" s="109"/>
      <c r="S86" s="100"/>
      <c r="T86" s="106"/>
      <c r="U86" s="137">
        <v>1</v>
      </c>
      <c r="V86" s="100"/>
      <c r="W86" s="100"/>
      <c r="X86" s="100"/>
      <c r="Y86" s="110"/>
      <c r="Z86" s="110"/>
      <c r="AA86" s="100"/>
      <c r="AB86" s="109">
        <v>1</v>
      </c>
      <c r="AC86" s="109"/>
      <c r="AD86" s="108"/>
      <c r="AE86" s="109"/>
      <c r="AF86" s="109">
        <v>1</v>
      </c>
      <c r="AG86" s="108"/>
      <c r="AH86" s="111"/>
      <c r="AI86" s="100"/>
      <c r="AJ86" s="110"/>
      <c r="AK86" s="110"/>
      <c r="AL86" s="100"/>
      <c r="AM86" s="100"/>
      <c r="AN86" s="100"/>
      <c r="AO86" s="100"/>
      <c r="AP86" s="100"/>
      <c r="AQ86" s="100"/>
      <c r="AR86" s="100"/>
      <c r="AS86" s="100"/>
      <c r="AT86" s="100"/>
    </row>
    <row r="87" spans="1:46" ht="17" thickBot="1">
      <c r="A87" s="85" t="s">
        <v>4</v>
      </c>
      <c r="B87" s="275">
        <f>SUM(J87+K87+L87+M87+N87+S87+V87+W87+X87+AA87+AI87+AJ87+AI87+AM87+AP87+AQ87+AS87+AT87+AU87+AV87)</f>
        <v>0</v>
      </c>
      <c r="C87" s="217">
        <f t="shared" si="12"/>
        <v>0</v>
      </c>
      <c r="D87" s="144"/>
      <c r="E87" s="145"/>
      <c r="F87" s="146"/>
      <c r="G87" s="147"/>
      <c r="H87" s="114"/>
      <c r="I87" s="127"/>
      <c r="J87" s="113"/>
      <c r="K87" s="112"/>
      <c r="L87" s="112"/>
      <c r="M87" s="112"/>
      <c r="N87" s="112"/>
      <c r="O87" s="115"/>
      <c r="P87" s="117"/>
      <c r="Q87" s="118"/>
      <c r="R87" s="118"/>
      <c r="S87" s="116"/>
      <c r="T87" s="119"/>
      <c r="U87" s="148">
        <v>5</v>
      </c>
      <c r="V87" s="116"/>
      <c r="W87" s="116"/>
      <c r="X87" s="116"/>
      <c r="Y87" s="120"/>
      <c r="Z87" s="120"/>
      <c r="AA87" s="116"/>
      <c r="AB87" s="118">
        <v>5</v>
      </c>
      <c r="AC87" s="118"/>
      <c r="AD87" s="117"/>
      <c r="AE87" s="118"/>
      <c r="AF87" s="118">
        <v>5</v>
      </c>
      <c r="AG87" s="117"/>
      <c r="AH87" s="121"/>
      <c r="AI87" s="116"/>
      <c r="AJ87" s="120"/>
      <c r="AK87" s="120"/>
      <c r="AL87" s="116"/>
      <c r="AM87" s="116"/>
      <c r="AN87" s="116"/>
      <c r="AO87" s="116"/>
      <c r="AP87" s="116"/>
      <c r="AQ87" s="116"/>
      <c r="AR87" s="116"/>
      <c r="AS87" s="116"/>
      <c r="AT87" s="116"/>
    </row>
    <row r="88" spans="1:46" ht="21.1">
      <c r="A88" s="82" t="s">
        <v>333</v>
      </c>
      <c r="B88" s="273"/>
      <c r="C88" s="214"/>
      <c r="D88" s="133"/>
      <c r="E88" s="134"/>
      <c r="F88" s="135"/>
      <c r="G88" s="136"/>
      <c r="H88" s="96"/>
      <c r="I88" s="105"/>
      <c r="J88" s="104"/>
      <c r="K88" s="75"/>
      <c r="L88" s="75"/>
      <c r="M88" s="75"/>
      <c r="N88" s="75"/>
      <c r="O88" s="97">
        <v>12</v>
      </c>
      <c r="P88" s="108"/>
      <c r="Q88" s="109"/>
      <c r="R88" s="109" t="s">
        <v>375</v>
      </c>
      <c r="S88" s="100"/>
      <c r="T88" s="106"/>
      <c r="U88" s="137"/>
      <c r="V88" s="100"/>
      <c r="W88" s="100"/>
      <c r="X88" s="100"/>
      <c r="Y88" s="110"/>
      <c r="Z88" s="110" t="s">
        <v>984</v>
      </c>
      <c r="AA88" s="100" t="s">
        <v>984</v>
      </c>
      <c r="AB88" s="109"/>
      <c r="AC88" s="109"/>
      <c r="AD88" s="108"/>
      <c r="AE88" s="109"/>
      <c r="AF88" s="109"/>
      <c r="AG88" s="108"/>
      <c r="AH88" s="111"/>
      <c r="AI88" s="100"/>
      <c r="AJ88" s="110"/>
      <c r="AK88" s="110"/>
      <c r="AL88" s="100"/>
      <c r="AM88" s="100"/>
      <c r="AN88" s="100"/>
      <c r="AO88" s="100"/>
      <c r="AP88" s="100"/>
      <c r="AQ88" s="100"/>
      <c r="AR88" s="100"/>
      <c r="AS88" s="100"/>
      <c r="AT88" s="100"/>
    </row>
    <row r="89" spans="1:46" ht="16.3">
      <c r="A89" s="246" t="s">
        <v>1</v>
      </c>
      <c r="B89" s="274">
        <f>SUM(J89+K89+L89+M89+N89+S89+V89+W89+X89+AA89+AI89+AJ89+AI89+AM89+AP89+AQ89+AS89+AT89+AU89+AV89+AN89)</f>
        <v>0</v>
      </c>
      <c r="C89" s="215">
        <f>B89</f>
        <v>0</v>
      </c>
      <c r="D89" s="133"/>
      <c r="E89" s="134"/>
      <c r="F89" s="135"/>
      <c r="G89" s="136"/>
      <c r="H89" s="96"/>
      <c r="I89" s="105"/>
      <c r="J89" s="104"/>
      <c r="K89" s="75"/>
      <c r="L89" s="75"/>
      <c r="M89" s="75"/>
      <c r="N89" s="75"/>
      <c r="O89" s="97">
        <v>1</v>
      </c>
      <c r="P89" s="108"/>
      <c r="Q89" s="109"/>
      <c r="R89" s="109"/>
      <c r="S89" s="100"/>
      <c r="T89" s="106"/>
      <c r="U89" s="137"/>
      <c r="V89" s="100"/>
      <c r="W89" s="100"/>
      <c r="X89" s="100"/>
      <c r="Y89" s="110"/>
      <c r="Z89" s="110"/>
      <c r="AA89" s="100"/>
      <c r="AB89" s="109"/>
      <c r="AC89" s="109"/>
      <c r="AD89" s="108"/>
      <c r="AE89" s="109"/>
      <c r="AF89" s="109"/>
      <c r="AG89" s="108"/>
      <c r="AH89" s="111"/>
      <c r="AI89" s="100"/>
      <c r="AJ89" s="110"/>
      <c r="AK89" s="110"/>
      <c r="AL89" s="100"/>
      <c r="AM89" s="100"/>
      <c r="AN89" s="100"/>
      <c r="AO89" s="100"/>
      <c r="AP89" s="100"/>
      <c r="AQ89" s="100"/>
      <c r="AR89" s="100"/>
      <c r="AS89" s="100"/>
      <c r="AT89" s="100"/>
    </row>
    <row r="90" spans="1:46" ht="16.3">
      <c r="A90" s="246" t="s">
        <v>2</v>
      </c>
      <c r="B90" s="274">
        <f>SUM(J90+K90+L90+M90+N90+S90+V90+W90+X90+AA90+AI90+AJ90+AI90+AM90+AP90+AQ90+AS90+AT90+AU90+AV90)</f>
        <v>0</v>
      </c>
      <c r="C90" s="215">
        <f t="shared" ref="C90:C93" si="14">B90</f>
        <v>0</v>
      </c>
      <c r="D90" s="133"/>
      <c r="E90" s="134"/>
      <c r="F90" s="135"/>
      <c r="G90" s="136"/>
      <c r="H90" s="96"/>
      <c r="I90" s="105"/>
      <c r="J90" s="104"/>
      <c r="K90" s="75"/>
      <c r="L90" s="75"/>
      <c r="M90" s="75"/>
      <c r="N90" s="75"/>
      <c r="O90" s="97"/>
      <c r="P90" s="108"/>
      <c r="Q90" s="109"/>
      <c r="R90" s="109">
        <v>1</v>
      </c>
      <c r="S90" s="100"/>
      <c r="T90" s="106"/>
      <c r="U90" s="137"/>
      <c r="V90" s="100"/>
      <c r="W90" s="100"/>
      <c r="X90" s="100"/>
      <c r="Y90" s="110"/>
      <c r="Z90" s="110"/>
      <c r="AA90" s="100"/>
      <c r="AB90" s="109"/>
      <c r="AC90" s="109"/>
      <c r="AD90" s="108"/>
      <c r="AE90" s="109"/>
      <c r="AF90" s="109"/>
      <c r="AG90" s="108"/>
      <c r="AH90" s="111"/>
      <c r="AI90" s="100"/>
      <c r="AJ90" s="110"/>
      <c r="AK90" s="110"/>
      <c r="AL90" s="100"/>
      <c r="AM90" s="100"/>
      <c r="AN90" s="100"/>
      <c r="AO90" s="100"/>
      <c r="AP90" s="100"/>
      <c r="AQ90" s="100"/>
      <c r="AR90" s="100"/>
      <c r="AS90" s="100"/>
      <c r="AT90" s="100"/>
    </row>
    <row r="91" spans="1:46" ht="16.3">
      <c r="A91" s="83" t="s">
        <v>363</v>
      </c>
      <c r="B91" s="273">
        <f>SUM(B89+B90)</f>
        <v>0</v>
      </c>
      <c r="C91" s="214">
        <f t="shared" si="14"/>
        <v>0</v>
      </c>
      <c r="D91" s="133"/>
      <c r="E91" s="134"/>
      <c r="F91" s="135"/>
      <c r="G91" s="136"/>
      <c r="H91" s="96"/>
      <c r="I91" s="105"/>
      <c r="J91" s="104"/>
      <c r="K91" s="75"/>
      <c r="L91" s="75"/>
      <c r="M91" s="75"/>
      <c r="N91" s="75"/>
      <c r="O91" s="97"/>
      <c r="P91" s="108"/>
      <c r="Q91" s="109"/>
      <c r="R91" s="109"/>
      <c r="S91" s="100"/>
      <c r="T91" s="106"/>
      <c r="U91" s="137"/>
      <c r="V91" s="100"/>
      <c r="W91" s="100"/>
      <c r="X91" s="100"/>
      <c r="Y91" s="110"/>
      <c r="Z91" s="110"/>
      <c r="AA91" s="100"/>
      <c r="AB91" s="109"/>
      <c r="AC91" s="109"/>
      <c r="AD91" s="108"/>
      <c r="AE91" s="109"/>
      <c r="AF91" s="109"/>
      <c r="AG91" s="108"/>
      <c r="AH91" s="111"/>
      <c r="AI91" s="100"/>
      <c r="AJ91" s="110"/>
      <c r="AK91" s="110"/>
      <c r="AL91" s="100"/>
      <c r="AM91" s="100"/>
      <c r="AN91" s="100"/>
      <c r="AO91" s="100"/>
      <c r="AP91" s="100"/>
      <c r="AQ91" s="100"/>
      <c r="AR91" s="100"/>
      <c r="AS91" s="100"/>
      <c r="AT91" s="100"/>
    </row>
    <row r="92" spans="1:46" ht="16.3">
      <c r="A92" s="83" t="s">
        <v>3</v>
      </c>
      <c r="B92" s="273">
        <f>SUM(J92+K92+L92+M92+N92+S92+V92+W92+X92+AA92+AI92+AJ92+AI92+AM92+AP92+AQ92+AS92+AT92+AU92+AV92)</f>
        <v>0</v>
      </c>
      <c r="C92" s="214">
        <f t="shared" si="14"/>
        <v>0</v>
      </c>
      <c r="D92" s="133"/>
      <c r="E92" s="134"/>
      <c r="F92" s="135"/>
      <c r="G92" s="136"/>
      <c r="H92" s="96"/>
      <c r="I92" s="105"/>
      <c r="J92" s="104"/>
      <c r="K92" s="75"/>
      <c r="L92" s="75"/>
      <c r="M92" s="75"/>
      <c r="N92" s="75"/>
      <c r="O92" s="97">
        <v>1</v>
      </c>
      <c r="P92" s="108"/>
      <c r="Q92" s="109"/>
      <c r="R92" s="109"/>
      <c r="S92" s="100"/>
      <c r="T92" s="106"/>
      <c r="U92" s="137"/>
      <c r="V92" s="100"/>
      <c r="W92" s="100"/>
      <c r="X92" s="100"/>
      <c r="Y92" s="110"/>
      <c r="Z92" s="110"/>
      <c r="AA92" s="100"/>
      <c r="AB92" s="109"/>
      <c r="AC92" s="109"/>
      <c r="AD92" s="108"/>
      <c r="AE92" s="109"/>
      <c r="AF92" s="109"/>
      <c r="AG92" s="108"/>
      <c r="AH92" s="111"/>
      <c r="AI92" s="100"/>
      <c r="AJ92" s="110"/>
      <c r="AK92" s="110"/>
      <c r="AL92" s="100"/>
      <c r="AM92" s="100"/>
      <c r="AN92" s="100"/>
      <c r="AO92" s="100"/>
      <c r="AP92" s="100"/>
      <c r="AQ92" s="100"/>
      <c r="AR92" s="100"/>
      <c r="AS92" s="100"/>
      <c r="AT92" s="100"/>
    </row>
    <row r="93" spans="1:46" ht="17" thickBot="1">
      <c r="A93" s="85" t="s">
        <v>4</v>
      </c>
      <c r="B93" s="275">
        <f>SUM(J93+K93+L93+M93+N93+S93+V93+W93+X93+AA93+AI93+AJ93+AI93+AM93+AP93+AQ93+AS93+AT93+AU93+AV93)</f>
        <v>0</v>
      </c>
      <c r="C93" s="217">
        <f t="shared" si="14"/>
        <v>0</v>
      </c>
      <c r="D93" s="144"/>
      <c r="E93" s="145"/>
      <c r="F93" s="146"/>
      <c r="G93" s="147"/>
      <c r="H93" s="114"/>
      <c r="I93" s="127"/>
      <c r="J93" s="113"/>
      <c r="K93" s="112"/>
      <c r="L93" s="112"/>
      <c r="M93" s="112"/>
      <c r="N93" s="112"/>
      <c r="O93" s="115">
        <v>5</v>
      </c>
      <c r="P93" s="117"/>
      <c r="Q93" s="118"/>
      <c r="R93" s="118"/>
      <c r="S93" s="116"/>
      <c r="T93" s="119"/>
      <c r="U93" s="148"/>
      <c r="V93" s="116"/>
      <c r="W93" s="116"/>
      <c r="X93" s="116"/>
      <c r="Y93" s="120"/>
      <c r="Z93" s="120"/>
      <c r="AA93" s="116"/>
      <c r="AB93" s="118"/>
      <c r="AC93" s="118"/>
      <c r="AD93" s="117"/>
      <c r="AE93" s="118"/>
      <c r="AF93" s="118"/>
      <c r="AG93" s="117"/>
      <c r="AH93" s="121"/>
      <c r="AI93" s="116"/>
      <c r="AJ93" s="120"/>
      <c r="AK93" s="120"/>
      <c r="AL93" s="116"/>
      <c r="AM93" s="116"/>
      <c r="AN93" s="116"/>
      <c r="AO93" s="116"/>
      <c r="AP93" s="116"/>
      <c r="AQ93" s="116"/>
      <c r="AR93" s="116"/>
      <c r="AS93" s="116"/>
      <c r="AT93" s="116"/>
    </row>
    <row r="94" spans="1:46" ht="21.1">
      <c r="A94" s="82" t="s">
        <v>290</v>
      </c>
      <c r="B94" s="273"/>
      <c r="C94" s="214"/>
      <c r="D94" s="133"/>
      <c r="E94" s="134"/>
      <c r="F94" s="135"/>
      <c r="G94" s="136"/>
      <c r="H94" s="96">
        <v>12</v>
      </c>
      <c r="I94" s="105"/>
      <c r="J94" s="104" t="s">
        <v>381</v>
      </c>
      <c r="K94" s="75" t="s">
        <v>339</v>
      </c>
      <c r="L94" s="75" t="s">
        <v>339</v>
      </c>
      <c r="M94" s="75" t="s">
        <v>375</v>
      </c>
      <c r="N94" s="75" t="s">
        <v>381</v>
      </c>
      <c r="O94" s="97"/>
      <c r="P94" s="98"/>
      <c r="Q94" s="99" t="s">
        <v>816</v>
      </c>
      <c r="R94" s="109"/>
      <c r="S94" s="100">
        <v>12</v>
      </c>
      <c r="T94" s="106" t="s">
        <v>377</v>
      </c>
      <c r="U94" s="137"/>
      <c r="V94" s="102"/>
      <c r="W94" s="102" t="s">
        <v>375</v>
      </c>
      <c r="X94" s="100" t="s">
        <v>732</v>
      </c>
      <c r="Y94" s="101" t="s">
        <v>937</v>
      </c>
      <c r="Z94" s="101" t="s">
        <v>377</v>
      </c>
      <c r="AA94" s="102" t="s">
        <v>381</v>
      </c>
      <c r="AB94" s="99" t="s">
        <v>816</v>
      </c>
      <c r="AC94" s="99" t="s">
        <v>381</v>
      </c>
      <c r="AD94" s="98"/>
      <c r="AE94" s="99">
        <v>12</v>
      </c>
      <c r="AF94" s="99">
        <v>12</v>
      </c>
      <c r="AG94" s="98"/>
      <c r="AH94" s="103"/>
      <c r="AI94" s="102"/>
      <c r="AJ94" s="101"/>
      <c r="AK94" s="101"/>
      <c r="AL94" s="102"/>
      <c r="AM94" s="102"/>
      <c r="AN94" s="102"/>
      <c r="AO94" s="102"/>
      <c r="AP94" s="102"/>
      <c r="AQ94" s="102"/>
      <c r="AR94" s="102"/>
      <c r="AS94" s="102"/>
      <c r="AT94" s="102"/>
    </row>
    <row r="95" spans="1:46" ht="16.3">
      <c r="A95" s="246" t="s">
        <v>1</v>
      </c>
      <c r="B95" s="274">
        <f>SUM(J95+K95+L95+M95+N95+S95+V95+W95+X95+AA95+AI95+AJ95+AI95+AM95+AP95+AQ95+AS95+AT95+AU95+AV95+AN95)+9</f>
        <v>14</v>
      </c>
      <c r="C95" s="215">
        <f>B95</f>
        <v>14</v>
      </c>
      <c r="D95" s="133"/>
      <c r="E95" s="134"/>
      <c r="F95" s="135"/>
      <c r="G95" s="136"/>
      <c r="H95" s="96">
        <v>1</v>
      </c>
      <c r="I95" s="105"/>
      <c r="J95" s="104">
        <v>1</v>
      </c>
      <c r="K95" s="75"/>
      <c r="L95" s="75"/>
      <c r="M95" s="75"/>
      <c r="N95" s="75">
        <v>1</v>
      </c>
      <c r="O95" s="97"/>
      <c r="P95" s="108"/>
      <c r="Q95" s="109"/>
      <c r="R95" s="109"/>
      <c r="S95" s="100">
        <v>1</v>
      </c>
      <c r="T95" s="106">
        <v>1</v>
      </c>
      <c r="U95" s="137"/>
      <c r="V95" s="100"/>
      <c r="W95" s="100"/>
      <c r="X95" s="100">
        <v>1</v>
      </c>
      <c r="Y95" s="110">
        <v>1</v>
      </c>
      <c r="Z95" s="110">
        <v>1</v>
      </c>
      <c r="AA95" s="100">
        <v>1</v>
      </c>
      <c r="AB95" s="109"/>
      <c r="AC95" s="109">
        <v>1</v>
      </c>
      <c r="AD95" s="108"/>
      <c r="AE95" s="109">
        <v>1</v>
      </c>
      <c r="AF95" s="109">
        <v>1</v>
      </c>
      <c r="AG95" s="108"/>
      <c r="AH95" s="111"/>
      <c r="AI95" s="100"/>
      <c r="AJ95" s="110"/>
      <c r="AK95" s="110"/>
      <c r="AL95" s="100"/>
      <c r="AM95" s="100"/>
      <c r="AN95" s="100"/>
      <c r="AO95" s="100"/>
      <c r="AP95" s="100"/>
      <c r="AQ95" s="100"/>
      <c r="AR95" s="100"/>
      <c r="AS95" s="100"/>
      <c r="AT95" s="100"/>
    </row>
    <row r="96" spans="1:46" ht="16.3">
      <c r="A96" s="246" t="s">
        <v>2</v>
      </c>
      <c r="B96" s="274">
        <f>SUM(J96+K96+L96+M96+N96+S96+V96+W96+X96+AA96+AI96+AJ96+AI96+AM96+AP96+AQ96+AS96+AT96+AU96+AV96)+3</f>
        <v>5</v>
      </c>
      <c r="C96" s="215">
        <f t="shared" ref="C96:C100" si="15">B96</f>
        <v>5</v>
      </c>
      <c r="D96" s="133"/>
      <c r="E96" s="134"/>
      <c r="F96" s="135"/>
      <c r="G96" s="136"/>
      <c r="H96" s="96"/>
      <c r="I96" s="105"/>
      <c r="J96" s="104"/>
      <c r="K96" s="75"/>
      <c r="L96" s="75"/>
      <c r="M96" s="75">
        <v>1</v>
      </c>
      <c r="N96" s="75"/>
      <c r="O96" s="97"/>
      <c r="P96" s="108"/>
      <c r="Q96" s="109"/>
      <c r="R96" s="109"/>
      <c r="S96" s="100"/>
      <c r="T96" s="106"/>
      <c r="U96" s="137"/>
      <c r="V96" s="100"/>
      <c r="W96" s="100">
        <v>1</v>
      </c>
      <c r="X96" s="100"/>
      <c r="Y96" s="110"/>
      <c r="Z96" s="110"/>
      <c r="AA96" s="100"/>
      <c r="AB96" s="109"/>
      <c r="AC96" s="109"/>
      <c r="AD96" s="108"/>
      <c r="AE96" s="109"/>
      <c r="AF96" s="109"/>
      <c r="AG96" s="108"/>
      <c r="AH96" s="111"/>
      <c r="AI96" s="100"/>
      <c r="AJ96" s="110"/>
      <c r="AK96" s="110"/>
      <c r="AL96" s="100"/>
      <c r="AM96" s="100"/>
      <c r="AN96" s="100"/>
      <c r="AO96" s="100"/>
      <c r="AP96" s="100"/>
      <c r="AQ96" s="100"/>
      <c r="AR96" s="100"/>
      <c r="AS96" s="100"/>
      <c r="AT96" s="100"/>
    </row>
    <row r="97" spans="1:46" ht="16.3">
      <c r="A97" s="83" t="s">
        <v>363</v>
      </c>
      <c r="B97" s="273">
        <f>SUM(B95+B96)</f>
        <v>19</v>
      </c>
      <c r="C97" s="214">
        <f t="shared" si="15"/>
        <v>19</v>
      </c>
      <c r="D97" s="133"/>
      <c r="E97" s="134"/>
      <c r="F97" s="135"/>
      <c r="G97" s="136"/>
      <c r="H97" s="96"/>
      <c r="I97" s="105"/>
      <c r="J97" s="104"/>
      <c r="K97" s="75"/>
      <c r="L97" s="75"/>
      <c r="M97" s="75"/>
      <c r="N97" s="75"/>
      <c r="O97" s="97"/>
      <c r="P97" s="108"/>
      <c r="Q97" s="109"/>
      <c r="R97" s="109"/>
      <c r="S97" s="100"/>
      <c r="T97" s="106"/>
      <c r="U97" s="137"/>
      <c r="V97" s="100"/>
      <c r="W97" s="100"/>
      <c r="X97" s="100"/>
      <c r="Y97" s="110"/>
      <c r="Z97" s="110"/>
      <c r="AA97" s="100"/>
      <c r="AB97" s="109"/>
      <c r="AC97" s="109"/>
      <c r="AD97" s="108"/>
      <c r="AE97" s="109"/>
      <c r="AF97" s="109"/>
      <c r="AG97" s="108"/>
      <c r="AH97" s="111"/>
      <c r="AI97" s="100"/>
      <c r="AJ97" s="110"/>
      <c r="AK97" s="110"/>
      <c r="AL97" s="100"/>
      <c r="AM97" s="100"/>
      <c r="AN97" s="100"/>
      <c r="AO97" s="100"/>
      <c r="AP97" s="100"/>
      <c r="AQ97" s="100"/>
      <c r="AR97" s="100"/>
      <c r="AS97" s="100"/>
      <c r="AT97" s="100"/>
    </row>
    <row r="98" spans="1:46" ht="16.3">
      <c r="A98" s="246" t="s">
        <v>362</v>
      </c>
      <c r="B98" s="274">
        <f>SUM(J98+K98+L98+M98+N98+S98+V98+W98+X98+AA98+AI98+AJ98+AI98+AM98+AP98+AQ98+AS98+AT98+AU98+AV98)+1</f>
        <v>2</v>
      </c>
      <c r="C98" s="215">
        <f t="shared" si="15"/>
        <v>2</v>
      </c>
      <c r="D98" s="133"/>
      <c r="E98" s="134"/>
      <c r="F98" s="135"/>
      <c r="G98" s="136"/>
      <c r="H98" s="96"/>
      <c r="I98" s="105"/>
      <c r="J98" s="104"/>
      <c r="K98" s="75"/>
      <c r="L98" s="75"/>
      <c r="M98" s="75"/>
      <c r="N98" s="75"/>
      <c r="O98" s="97"/>
      <c r="P98" s="108"/>
      <c r="Q98" s="109"/>
      <c r="R98" s="109"/>
      <c r="S98" s="100"/>
      <c r="T98" s="106"/>
      <c r="U98" s="137"/>
      <c r="V98" s="100"/>
      <c r="W98" s="100"/>
      <c r="X98" s="100">
        <v>1</v>
      </c>
      <c r="Y98" s="110"/>
      <c r="Z98" s="110"/>
      <c r="AA98" s="100"/>
      <c r="AB98" s="109"/>
      <c r="AC98" s="109"/>
      <c r="AD98" s="108"/>
      <c r="AE98" s="109"/>
      <c r="AF98" s="109"/>
      <c r="AG98" s="108"/>
      <c r="AH98" s="111"/>
      <c r="AI98" s="100"/>
      <c r="AJ98" s="110"/>
      <c r="AK98" s="110"/>
      <c r="AL98" s="100"/>
      <c r="AM98" s="100"/>
      <c r="AN98" s="100"/>
      <c r="AO98" s="100"/>
      <c r="AP98" s="100"/>
      <c r="AQ98" s="100"/>
      <c r="AR98" s="100"/>
      <c r="AS98" s="100"/>
      <c r="AT98" s="100"/>
    </row>
    <row r="99" spans="1:46" ht="16.3">
      <c r="A99" s="83" t="s">
        <v>3</v>
      </c>
      <c r="B99" s="273">
        <f>SUM(J99+K99+L99+M99+N99+S99+V99+W99+X99+AA99+AI99+AJ99+AI99+AM99+AP99+AQ99+AS99+AT99+AU99+AV99)+4</f>
        <v>5</v>
      </c>
      <c r="C99" s="214">
        <f t="shared" si="15"/>
        <v>5</v>
      </c>
      <c r="D99" s="133"/>
      <c r="E99" s="134"/>
      <c r="F99" s="135"/>
      <c r="G99" s="136"/>
      <c r="H99" s="96"/>
      <c r="I99" s="105"/>
      <c r="J99" s="104"/>
      <c r="K99" s="75"/>
      <c r="L99" s="75"/>
      <c r="M99" s="75"/>
      <c r="N99" s="75"/>
      <c r="O99" s="97"/>
      <c r="P99" s="108"/>
      <c r="Q99" s="109"/>
      <c r="R99" s="109"/>
      <c r="S99" s="100"/>
      <c r="T99" s="106"/>
      <c r="U99" s="137"/>
      <c r="V99" s="100"/>
      <c r="W99" s="100">
        <v>1</v>
      </c>
      <c r="X99" s="100"/>
      <c r="Y99" s="110">
        <v>1</v>
      </c>
      <c r="Z99" s="110"/>
      <c r="AA99" s="100"/>
      <c r="AB99" s="109"/>
      <c r="AC99" s="109"/>
      <c r="AD99" s="108"/>
      <c r="AE99" s="109"/>
      <c r="AF99" s="109"/>
      <c r="AG99" s="108"/>
      <c r="AH99" s="111"/>
      <c r="AI99" s="100"/>
      <c r="AJ99" s="110"/>
      <c r="AK99" s="110"/>
      <c r="AL99" s="100"/>
      <c r="AM99" s="100"/>
      <c r="AN99" s="100"/>
      <c r="AO99" s="100"/>
      <c r="AP99" s="100"/>
      <c r="AQ99" s="100"/>
      <c r="AR99" s="100"/>
      <c r="AS99" s="100"/>
      <c r="AT99" s="100"/>
    </row>
    <row r="100" spans="1:46" ht="17" thickBot="1">
      <c r="A100" s="85" t="s">
        <v>4</v>
      </c>
      <c r="B100" s="275">
        <f>SUM(J100+K100+L100+M100+N100+S100+V100+W100+X100+AA100+AI100+AJ100+AI100+AM100+AP100+AQ100+AS100+AT100+AU100+AV100)+20</f>
        <v>25</v>
      </c>
      <c r="C100" s="217">
        <f t="shared" si="15"/>
        <v>25</v>
      </c>
      <c r="D100" s="144"/>
      <c r="E100" s="145"/>
      <c r="F100" s="146"/>
      <c r="G100" s="147"/>
      <c r="H100" s="114"/>
      <c r="I100" s="127"/>
      <c r="J100" s="113"/>
      <c r="K100" s="112"/>
      <c r="L100" s="112"/>
      <c r="M100" s="112"/>
      <c r="N100" s="112"/>
      <c r="O100" s="115"/>
      <c r="P100" s="117"/>
      <c r="Q100" s="118"/>
      <c r="R100" s="118"/>
      <c r="S100" s="112"/>
      <c r="T100" s="119"/>
      <c r="U100" s="148"/>
      <c r="V100" s="116"/>
      <c r="W100" s="116">
        <v>5</v>
      </c>
      <c r="X100" s="116"/>
      <c r="Y100" s="120">
        <v>5</v>
      </c>
      <c r="Z100" s="120"/>
      <c r="AA100" s="116"/>
      <c r="AB100" s="118"/>
      <c r="AC100" s="118"/>
      <c r="AD100" s="117"/>
      <c r="AE100" s="118"/>
      <c r="AF100" s="118"/>
      <c r="AG100" s="117"/>
      <c r="AH100" s="121"/>
      <c r="AI100" s="116"/>
      <c r="AJ100" s="120"/>
      <c r="AK100" s="120"/>
      <c r="AL100" s="116"/>
      <c r="AM100" s="116"/>
      <c r="AN100" s="116"/>
      <c r="AO100" s="116"/>
      <c r="AP100" s="116"/>
      <c r="AQ100" s="116"/>
      <c r="AR100" s="116"/>
      <c r="AS100" s="116"/>
      <c r="AT100" s="116"/>
    </row>
    <row r="101" spans="1:46" ht="21.1">
      <c r="A101" s="82" t="s">
        <v>47</v>
      </c>
      <c r="B101" s="273"/>
      <c r="C101" s="214"/>
      <c r="D101" s="133"/>
      <c r="E101" s="134"/>
      <c r="F101" s="135"/>
      <c r="G101" s="136"/>
      <c r="H101" s="96" t="s">
        <v>375</v>
      </c>
      <c r="I101" s="105"/>
      <c r="J101" s="104"/>
      <c r="K101" s="75" t="s">
        <v>381</v>
      </c>
      <c r="L101" s="75" t="s">
        <v>375</v>
      </c>
      <c r="M101" s="75"/>
      <c r="N101" s="75"/>
      <c r="O101" s="97"/>
      <c r="P101" s="98"/>
      <c r="Q101" s="99"/>
      <c r="R101" s="109"/>
      <c r="S101" s="100"/>
      <c r="T101" s="106"/>
      <c r="U101" s="137"/>
      <c r="V101" s="102"/>
      <c r="W101" s="102"/>
      <c r="X101" s="100"/>
      <c r="Y101" s="101"/>
      <c r="Z101" s="101"/>
      <c r="AA101" s="102"/>
      <c r="AB101" s="99">
        <v>12</v>
      </c>
      <c r="AC101" s="99" t="s">
        <v>375</v>
      </c>
      <c r="AD101" s="98"/>
      <c r="AE101" s="99"/>
      <c r="AF101" s="99"/>
      <c r="AG101" s="98"/>
      <c r="AH101" s="103"/>
      <c r="AI101" s="102"/>
      <c r="AJ101" s="101"/>
      <c r="AK101" s="101"/>
      <c r="AL101" s="102"/>
      <c r="AM101" s="102"/>
      <c r="AN101" s="102"/>
      <c r="AO101" s="102"/>
      <c r="AP101" s="102"/>
      <c r="AQ101" s="102"/>
      <c r="AR101" s="102"/>
      <c r="AS101" s="102"/>
      <c r="AT101" s="102"/>
    </row>
    <row r="102" spans="1:46" ht="16.3">
      <c r="A102" s="246" t="s">
        <v>1</v>
      </c>
      <c r="B102" s="274">
        <f>SUM(J102+K102+L102+M102+N102+S102+V102+W102+X102+AA102+AI102+AJ102+AI102+AM102+AP102+AQ102+AS102+AT102+AU102+AV102+AN102)+14</f>
        <v>15</v>
      </c>
      <c r="C102" s="215">
        <f>SUM(J102+K102+L102+M102+N102+S102+W102+X102+V102+AA102+AJ102+AI102+AJ102+AN102+AQ102+AM102+AT102+AU102+AV102+AW102+AP102+AS102)+41</f>
        <v>42</v>
      </c>
      <c r="D102" s="139"/>
      <c r="E102" s="140"/>
      <c r="F102" s="135"/>
      <c r="G102" s="136"/>
      <c r="H102" s="96"/>
      <c r="I102" s="105"/>
      <c r="J102" s="104"/>
      <c r="K102" s="75">
        <v>1</v>
      </c>
      <c r="L102" s="75"/>
      <c r="M102" s="75"/>
      <c r="N102" s="75"/>
      <c r="O102" s="97"/>
      <c r="P102" s="108"/>
      <c r="Q102" s="109"/>
      <c r="R102" s="109"/>
      <c r="S102" s="100"/>
      <c r="T102" s="106"/>
      <c r="U102" s="137"/>
      <c r="V102" s="100"/>
      <c r="W102" s="100"/>
      <c r="X102" s="100"/>
      <c r="Y102" s="110"/>
      <c r="Z102" s="110"/>
      <c r="AA102" s="100"/>
      <c r="AB102" s="109">
        <v>1</v>
      </c>
      <c r="AC102" s="109"/>
      <c r="AD102" s="108"/>
      <c r="AE102" s="109"/>
      <c r="AF102" s="109"/>
      <c r="AG102" s="108"/>
      <c r="AH102" s="111"/>
      <c r="AI102" s="100"/>
      <c r="AJ102" s="110"/>
      <c r="AK102" s="110"/>
      <c r="AL102" s="100"/>
      <c r="AM102" s="100"/>
      <c r="AN102" s="100"/>
      <c r="AO102" s="100"/>
      <c r="AP102" s="100"/>
      <c r="AQ102" s="100"/>
      <c r="AR102" s="100"/>
      <c r="AS102" s="100"/>
      <c r="AT102" s="100"/>
    </row>
    <row r="103" spans="1:46" ht="16.3">
      <c r="A103" s="246" t="s">
        <v>2</v>
      </c>
      <c r="B103" s="274">
        <f>SUM(J103+K103+L103+M103+N103+S103+V103+W103+X103+AA103+AI103+AJ103+AI103+AM103+AP103+AQ103+AS103+AT103+AU103+AV103)+10</f>
        <v>11</v>
      </c>
      <c r="C103" s="215">
        <f>SUM(J103+K103+L103+M103+N103+S103+W103+X103+V103+AA103+AJ103+AI103+AJ103+AN103+AQ103+AM103+AT103+AU103+AV103+AW103+AP103+AS103)+26</f>
        <v>27</v>
      </c>
      <c r="D103" s="139"/>
      <c r="E103" s="140"/>
      <c r="F103" s="135"/>
      <c r="G103" s="136"/>
      <c r="H103" s="96">
        <v>1</v>
      </c>
      <c r="I103" s="105"/>
      <c r="J103" s="104"/>
      <c r="K103" s="75"/>
      <c r="L103" s="75">
        <v>1</v>
      </c>
      <c r="M103" s="75"/>
      <c r="N103" s="75"/>
      <c r="O103" s="97"/>
      <c r="P103" s="108"/>
      <c r="Q103" s="109"/>
      <c r="R103" s="109"/>
      <c r="S103" s="100"/>
      <c r="T103" s="106"/>
      <c r="U103" s="137"/>
      <c r="V103" s="100"/>
      <c r="W103" s="100"/>
      <c r="X103" s="100"/>
      <c r="Y103" s="110"/>
      <c r="Z103" s="110"/>
      <c r="AA103" s="100"/>
      <c r="AB103" s="109"/>
      <c r="AC103" s="109">
        <v>1</v>
      </c>
      <c r="AD103" s="108"/>
      <c r="AE103" s="109"/>
      <c r="AF103" s="109"/>
      <c r="AG103" s="108"/>
      <c r="AH103" s="111"/>
      <c r="AI103" s="100"/>
      <c r="AJ103" s="110"/>
      <c r="AK103" s="110"/>
      <c r="AL103" s="100"/>
      <c r="AM103" s="100"/>
      <c r="AN103" s="100"/>
      <c r="AO103" s="100"/>
      <c r="AP103" s="100"/>
      <c r="AQ103" s="100"/>
      <c r="AR103" s="100"/>
      <c r="AS103" s="100"/>
      <c r="AT103" s="100"/>
    </row>
    <row r="104" spans="1:46" ht="16.3">
      <c r="A104" s="83" t="s">
        <v>363</v>
      </c>
      <c r="B104" s="273">
        <f>SUM(B102+B103)</f>
        <v>26</v>
      </c>
      <c r="C104" s="214">
        <f>SUM(C102+C103)</f>
        <v>69</v>
      </c>
      <c r="D104" s="133"/>
      <c r="E104" s="134"/>
      <c r="F104" s="135"/>
      <c r="G104" s="136"/>
      <c r="H104" s="96"/>
      <c r="I104" s="105"/>
      <c r="J104" s="104"/>
      <c r="K104" s="75"/>
      <c r="L104" s="75"/>
      <c r="M104" s="75"/>
      <c r="N104" s="75"/>
      <c r="O104" s="97"/>
      <c r="P104" s="108"/>
      <c r="Q104" s="109"/>
      <c r="R104" s="109"/>
      <c r="S104" s="100"/>
      <c r="T104" s="106"/>
      <c r="U104" s="137"/>
      <c r="V104" s="100"/>
      <c r="W104" s="100"/>
      <c r="X104" s="100"/>
      <c r="Y104" s="110"/>
      <c r="Z104" s="110"/>
      <c r="AA104" s="100"/>
      <c r="AB104" s="109"/>
      <c r="AC104" s="109"/>
      <c r="AD104" s="108"/>
      <c r="AE104" s="109"/>
      <c r="AF104" s="109"/>
      <c r="AG104" s="108"/>
      <c r="AH104" s="111"/>
      <c r="AI104" s="100"/>
      <c r="AJ104" s="110"/>
      <c r="AK104" s="110"/>
      <c r="AL104" s="100"/>
      <c r="AM104" s="100"/>
      <c r="AN104" s="100"/>
      <c r="AO104" s="100"/>
      <c r="AP104" s="100"/>
      <c r="AQ104" s="100"/>
      <c r="AR104" s="100"/>
      <c r="AS104" s="100"/>
      <c r="AT104" s="100"/>
    </row>
    <row r="105" spans="1:46" ht="16.3">
      <c r="A105" s="246" t="s">
        <v>362</v>
      </c>
      <c r="B105" s="274">
        <f>SUM(J105+K105+L105+M105+N105+S105+V105+W105+X105+AA105+AI105+AJ105+AI105+AM105+AP105+AQ105+AS105+AT105+AU105+AV105)+1</f>
        <v>1</v>
      </c>
      <c r="C105" s="215">
        <f>SUM(J105+K105+L105+M105+N105+S105+W105+X105+V105+AA105+AJ105+AI105+AJ105+AN105+AQ105+AM105+AT105+AU105+AV105+AW105+AP105+AS105)+2</f>
        <v>2</v>
      </c>
      <c r="D105" s="133"/>
      <c r="E105" s="134"/>
      <c r="F105" s="135"/>
      <c r="G105" s="136"/>
      <c r="H105" s="96"/>
      <c r="I105" s="105"/>
      <c r="J105" s="104"/>
      <c r="K105" s="75"/>
      <c r="L105" s="75"/>
      <c r="M105" s="75"/>
      <c r="N105" s="75"/>
      <c r="O105" s="97"/>
      <c r="P105" s="108"/>
      <c r="Q105" s="109"/>
      <c r="R105" s="109"/>
      <c r="S105" s="100"/>
      <c r="T105" s="106"/>
      <c r="U105" s="137"/>
      <c r="V105" s="100"/>
      <c r="W105" s="100"/>
      <c r="X105" s="100"/>
      <c r="Y105" s="110"/>
      <c r="Z105" s="110"/>
      <c r="AA105" s="100"/>
      <c r="AB105" s="109"/>
      <c r="AC105" s="109"/>
      <c r="AD105" s="108"/>
      <c r="AE105" s="109"/>
      <c r="AF105" s="109"/>
      <c r="AG105" s="108"/>
      <c r="AH105" s="111"/>
      <c r="AI105" s="100"/>
      <c r="AJ105" s="110"/>
      <c r="AK105" s="110"/>
      <c r="AL105" s="100"/>
      <c r="AM105" s="100"/>
      <c r="AN105" s="100"/>
      <c r="AO105" s="100"/>
      <c r="AP105" s="100"/>
      <c r="AQ105" s="100"/>
      <c r="AR105" s="100"/>
      <c r="AS105" s="100"/>
      <c r="AT105" s="100"/>
    </row>
    <row r="106" spans="1:46" ht="16.3">
      <c r="A106" s="246" t="s">
        <v>364</v>
      </c>
      <c r="B106" s="274">
        <f>SUM(J106+K106+L106+M106+N106+S106+V106+W106+X106+AA106+AI106+AJ106+AI106+AM106+AP106+AQ106+AS106+AT106+AU106+AV106)</f>
        <v>0</v>
      </c>
      <c r="C106" s="215">
        <f>SUM(J106+K106+L106+M106+N106+S106+W106+X106+V106+AA106+AJ106+AI106+AJ106+AN106+AQ106+AM106+AT106+AU106+AV106+AW106+AP106+AS106)+1</f>
        <v>1</v>
      </c>
      <c r="D106" s="133"/>
      <c r="E106" s="134"/>
      <c r="F106" s="135"/>
      <c r="G106" s="136"/>
      <c r="H106" s="96"/>
      <c r="I106" s="105"/>
      <c r="J106" s="104"/>
      <c r="K106" s="75"/>
      <c r="L106" s="75"/>
      <c r="M106" s="75"/>
      <c r="N106" s="75"/>
      <c r="O106" s="97"/>
      <c r="P106" s="108"/>
      <c r="Q106" s="109"/>
      <c r="R106" s="109"/>
      <c r="S106" s="100"/>
      <c r="T106" s="106"/>
      <c r="U106" s="137"/>
      <c r="V106" s="100"/>
      <c r="W106" s="100"/>
      <c r="X106" s="100"/>
      <c r="Y106" s="110"/>
      <c r="Z106" s="110"/>
      <c r="AA106" s="100"/>
      <c r="AB106" s="109"/>
      <c r="AC106" s="109"/>
      <c r="AD106" s="108"/>
      <c r="AE106" s="109"/>
      <c r="AF106" s="109"/>
      <c r="AG106" s="108"/>
      <c r="AH106" s="111"/>
      <c r="AI106" s="100"/>
      <c r="AJ106" s="110"/>
      <c r="AK106" s="110"/>
      <c r="AL106" s="100"/>
      <c r="AM106" s="100"/>
      <c r="AN106" s="100"/>
      <c r="AO106" s="100"/>
      <c r="AP106" s="100"/>
      <c r="AQ106" s="100"/>
      <c r="AR106" s="100"/>
      <c r="AS106" s="100"/>
      <c r="AT106" s="100"/>
    </row>
    <row r="107" spans="1:46" ht="16.3">
      <c r="A107" s="246" t="s">
        <v>5</v>
      </c>
      <c r="B107" s="274">
        <f>SUM(J107+K107+L107+M107+N107+S107+V107+W107+X107+AA107+AI107+AJ107+AI107+AM107+AP107+AQ107+AS107+AT107+AU107+AV107)</f>
        <v>0</v>
      </c>
      <c r="C107" s="215">
        <f>SUM(J107+K107+L107+M107+N107+S107+W107+X107+V107+AA107+AJ107+AI107+AJ107+AN107+AQ107+AM107+AT107+AU107+AV107+AW107+AP107+AS107)+8</f>
        <v>8</v>
      </c>
      <c r="D107" s="133"/>
      <c r="E107" s="134"/>
      <c r="F107" s="135"/>
      <c r="G107" s="136"/>
      <c r="H107" s="96"/>
      <c r="I107" s="105"/>
      <c r="J107" s="104"/>
      <c r="K107" s="75"/>
      <c r="L107" s="75"/>
      <c r="M107" s="75"/>
      <c r="N107" s="75"/>
      <c r="O107" s="97"/>
      <c r="P107" s="108"/>
      <c r="Q107" s="109"/>
      <c r="R107" s="109"/>
      <c r="S107" s="100"/>
      <c r="T107" s="106"/>
      <c r="U107" s="137"/>
      <c r="V107" s="100"/>
      <c r="W107" s="100"/>
      <c r="X107" s="100"/>
      <c r="Y107" s="110"/>
      <c r="Z107" s="110"/>
      <c r="AA107" s="100"/>
      <c r="AB107" s="109"/>
      <c r="AC107" s="109"/>
      <c r="AD107" s="108"/>
      <c r="AE107" s="109"/>
      <c r="AF107" s="109"/>
      <c r="AG107" s="108"/>
      <c r="AH107" s="111"/>
      <c r="AI107" s="100"/>
      <c r="AJ107" s="110"/>
      <c r="AK107" s="110"/>
      <c r="AL107" s="100"/>
      <c r="AM107" s="100"/>
      <c r="AN107" s="100"/>
      <c r="AO107" s="100"/>
      <c r="AP107" s="100"/>
      <c r="AQ107" s="100"/>
      <c r="AR107" s="100"/>
      <c r="AS107" s="100"/>
      <c r="AT107" s="100"/>
    </row>
    <row r="108" spans="1:46" ht="16.3">
      <c r="A108" s="246" t="s">
        <v>6</v>
      </c>
      <c r="B108" s="274">
        <f>SUM(J108+K108+L108+M108+N108+S108+V108+W108+X108+AA108+AI108+AJ108+AI108+AM108+AP108+AQ108+AS108+AT108+AU108+AV108)</f>
        <v>0</v>
      </c>
      <c r="C108" s="215">
        <f>SUM(J108+K108+L108+M108+N108+S108+W108+X108+V108+AA108+AJ108+AI108+AJ108+AN108+AQ108+AM108+AT108+AU108+AV108+AW108+AP108+AS108)+11</f>
        <v>11</v>
      </c>
      <c r="D108" s="133"/>
      <c r="E108" s="134"/>
      <c r="F108" s="135"/>
      <c r="G108" s="136"/>
      <c r="H108" s="96"/>
      <c r="I108" s="105"/>
      <c r="J108" s="104"/>
      <c r="K108" s="75"/>
      <c r="L108" s="75"/>
      <c r="M108" s="75"/>
      <c r="N108" s="75"/>
      <c r="O108" s="97"/>
      <c r="P108" s="108"/>
      <c r="Q108" s="109"/>
      <c r="R108" s="109"/>
      <c r="S108" s="100"/>
      <c r="T108" s="106"/>
      <c r="U108" s="137"/>
      <c r="V108" s="100"/>
      <c r="W108" s="100"/>
      <c r="X108" s="100"/>
      <c r="Y108" s="110"/>
      <c r="Z108" s="110"/>
      <c r="AA108" s="100"/>
      <c r="AB108" s="109"/>
      <c r="AC108" s="109"/>
      <c r="AD108" s="108"/>
      <c r="AE108" s="109"/>
      <c r="AF108" s="109"/>
      <c r="AG108" s="108"/>
      <c r="AH108" s="111"/>
      <c r="AI108" s="100"/>
      <c r="AJ108" s="110"/>
      <c r="AK108" s="110"/>
      <c r="AL108" s="100"/>
      <c r="AM108" s="100"/>
      <c r="AN108" s="100"/>
      <c r="AO108" s="100"/>
      <c r="AP108" s="100"/>
      <c r="AQ108" s="100"/>
      <c r="AR108" s="100"/>
      <c r="AS108" s="100"/>
      <c r="AT108" s="100"/>
    </row>
    <row r="109" spans="1:46" ht="16.3">
      <c r="A109" s="246" t="s">
        <v>368</v>
      </c>
      <c r="B109" s="277">
        <v>0</v>
      </c>
      <c r="C109" s="216">
        <f>SUM(C107/C108)*100</f>
        <v>72.727272727272734</v>
      </c>
      <c r="D109" s="133"/>
      <c r="E109" s="134"/>
      <c r="F109" s="135"/>
      <c r="G109" s="136"/>
      <c r="H109" s="96"/>
      <c r="I109" s="105"/>
      <c r="J109" s="104"/>
      <c r="K109" s="75"/>
      <c r="L109" s="75"/>
      <c r="M109" s="75"/>
      <c r="N109" s="75"/>
      <c r="O109" s="97"/>
      <c r="P109" s="108"/>
      <c r="Q109" s="109"/>
      <c r="R109" s="109"/>
      <c r="S109" s="100"/>
      <c r="T109" s="106"/>
      <c r="U109" s="137"/>
      <c r="V109" s="100"/>
      <c r="W109" s="100"/>
      <c r="X109" s="100"/>
      <c r="Y109" s="110"/>
      <c r="Z109" s="110"/>
      <c r="AA109" s="100"/>
      <c r="AB109" s="109"/>
      <c r="AC109" s="109"/>
      <c r="AD109" s="108"/>
      <c r="AE109" s="109"/>
      <c r="AF109" s="109"/>
      <c r="AG109" s="108"/>
      <c r="AH109" s="111"/>
      <c r="AI109" s="100"/>
      <c r="AJ109" s="110"/>
      <c r="AK109" s="110"/>
      <c r="AL109" s="100"/>
      <c r="AM109" s="100"/>
      <c r="AN109" s="100"/>
      <c r="AO109" s="100"/>
      <c r="AP109" s="100"/>
      <c r="AQ109" s="100"/>
      <c r="AR109" s="100"/>
      <c r="AS109" s="100"/>
      <c r="AT109" s="100"/>
    </row>
    <row r="110" spans="1:46" ht="16.3">
      <c r="A110" s="83" t="s">
        <v>3</v>
      </c>
      <c r="B110" s="273">
        <f>SUM(J110+K110+L110+M110+N110+S110+V110+W110+X110+AA110+AI110+AJ110+AI110+AM110+AP110+AQ110+AS110+AT110+AU110+AV110+AN110)</f>
        <v>0</v>
      </c>
      <c r="C110" s="214">
        <f>SUM(J110+K110+L110+M110+N110+S110+W110+X110+V110+AA110+AJ110+AI110+AJ110+AN110+AQ110+AM110+AT110+AU110+AV110+AW110+AP110+AS110)+1</f>
        <v>1</v>
      </c>
      <c r="D110" s="133"/>
      <c r="E110" s="134"/>
      <c r="F110" s="135"/>
      <c r="G110" s="136"/>
      <c r="H110" s="96"/>
      <c r="I110" s="105"/>
      <c r="J110" s="104"/>
      <c r="K110" s="75"/>
      <c r="L110" s="75"/>
      <c r="M110" s="75"/>
      <c r="N110" s="75"/>
      <c r="O110" s="97"/>
      <c r="P110" s="108"/>
      <c r="Q110" s="109"/>
      <c r="R110" s="109"/>
      <c r="S110" s="100"/>
      <c r="T110" s="106"/>
      <c r="U110" s="137"/>
      <c r="V110" s="100"/>
      <c r="W110" s="100"/>
      <c r="X110" s="100"/>
      <c r="Y110" s="110"/>
      <c r="Z110" s="110"/>
      <c r="AA110" s="100"/>
      <c r="AB110" s="109"/>
      <c r="AC110" s="109"/>
      <c r="AD110" s="108"/>
      <c r="AE110" s="109"/>
      <c r="AF110" s="109"/>
      <c r="AG110" s="108"/>
      <c r="AH110" s="111"/>
      <c r="AI110" s="100"/>
      <c r="AJ110" s="110"/>
      <c r="AK110" s="110"/>
      <c r="AL110" s="100"/>
      <c r="AM110" s="100"/>
      <c r="AN110" s="100"/>
      <c r="AO110" s="100"/>
      <c r="AP110" s="100"/>
      <c r="AQ110" s="100"/>
      <c r="AR110" s="100"/>
      <c r="AS110" s="100"/>
      <c r="AT110" s="100"/>
    </row>
    <row r="111" spans="1:46" ht="17" thickBot="1">
      <c r="A111" s="85" t="s">
        <v>4</v>
      </c>
      <c r="B111" s="275">
        <f>SUM(J111+K111+L111+M111+N111+S111+V111+W111+X111+AA111+AI111+AJ111+AI111+AM111+AP111+AQ111+AS111+AT111+AU111+AV111)</f>
        <v>0</v>
      </c>
      <c r="C111" s="217">
        <f>SUM(J111+K111+L111+M111+N111+S111+W111+X111+V111+AA111+AJ111+AI111+AJ111+AN111+AQ111+AM111+AT111+AU111+AV111+AW111+AP111+AS111)+24</f>
        <v>24</v>
      </c>
      <c r="D111" s="144"/>
      <c r="E111" s="145"/>
      <c r="F111" s="146"/>
      <c r="G111" s="147"/>
      <c r="H111" s="114"/>
      <c r="I111" s="127"/>
      <c r="J111" s="113"/>
      <c r="K111" s="112"/>
      <c r="L111" s="112"/>
      <c r="M111" s="112"/>
      <c r="N111" s="112"/>
      <c r="O111" s="115"/>
      <c r="P111" s="117"/>
      <c r="Q111" s="118"/>
      <c r="R111" s="118"/>
      <c r="S111" s="112"/>
      <c r="T111" s="119"/>
      <c r="U111" s="148"/>
      <c r="V111" s="116"/>
      <c r="W111" s="116"/>
      <c r="X111" s="116"/>
      <c r="Y111" s="120"/>
      <c r="Z111" s="120"/>
      <c r="AA111" s="116"/>
      <c r="AB111" s="118"/>
      <c r="AC111" s="118"/>
      <c r="AD111" s="117"/>
      <c r="AE111" s="118"/>
      <c r="AF111" s="118"/>
      <c r="AG111" s="117"/>
      <c r="AH111" s="121"/>
      <c r="AI111" s="116"/>
      <c r="AJ111" s="120"/>
      <c r="AK111" s="120"/>
      <c r="AL111" s="116"/>
      <c r="AM111" s="116"/>
      <c r="AN111" s="116"/>
      <c r="AO111" s="116"/>
      <c r="AP111" s="116"/>
      <c r="AQ111" s="116"/>
      <c r="AR111" s="116"/>
      <c r="AS111" s="116"/>
      <c r="AT111" s="116"/>
    </row>
    <row r="112" spans="1:46" ht="21.1">
      <c r="A112" s="82" t="s">
        <v>709</v>
      </c>
      <c r="B112" s="273"/>
      <c r="C112" s="214"/>
      <c r="D112" s="133"/>
      <c r="E112" s="134"/>
      <c r="F112" s="135"/>
      <c r="G112" s="136"/>
      <c r="H112" s="96"/>
      <c r="I112" s="105"/>
      <c r="J112" s="104"/>
      <c r="K112" s="75" t="s">
        <v>432</v>
      </c>
      <c r="L112" s="75" t="s">
        <v>381</v>
      </c>
      <c r="M112" s="75" t="s">
        <v>381</v>
      </c>
      <c r="N112" s="75" t="s">
        <v>375</v>
      </c>
      <c r="O112" s="97"/>
      <c r="P112" s="108"/>
      <c r="Q112" s="109">
        <v>12</v>
      </c>
      <c r="R112" s="109"/>
      <c r="S112" s="100" t="s">
        <v>375</v>
      </c>
      <c r="T112" s="106">
        <v>12</v>
      </c>
      <c r="U112" s="137" t="s">
        <v>381</v>
      </c>
      <c r="V112" s="100">
        <v>12</v>
      </c>
      <c r="W112" s="100">
        <v>12</v>
      </c>
      <c r="X112" s="100" t="s">
        <v>375</v>
      </c>
      <c r="Y112" s="110" t="s">
        <v>375</v>
      </c>
      <c r="Z112" s="110" t="s">
        <v>763</v>
      </c>
      <c r="AA112" s="100" t="s">
        <v>375</v>
      </c>
      <c r="AB112" s="109" t="s">
        <v>375</v>
      </c>
      <c r="AC112" s="109"/>
      <c r="AD112" s="108"/>
      <c r="AE112" s="109"/>
      <c r="AF112" s="109"/>
      <c r="AG112" s="108"/>
      <c r="AH112" s="111"/>
      <c r="AI112" s="100"/>
      <c r="AJ112" s="110"/>
      <c r="AK112" s="110"/>
      <c r="AL112" s="100"/>
      <c r="AM112" s="100"/>
      <c r="AN112" s="100"/>
      <c r="AO112" s="100"/>
      <c r="AP112" s="100"/>
      <c r="AQ112" s="100"/>
      <c r="AR112" s="100"/>
      <c r="AS112" s="100"/>
      <c r="AT112" s="100"/>
    </row>
    <row r="113" spans="1:46" ht="16.3">
      <c r="A113" s="246" t="s">
        <v>1</v>
      </c>
      <c r="B113" s="274">
        <f>SUM(J113+K113+L113+M113+N113+S113+V113+W113+X113+AA113+AI113+AJ113+AI113+AM113+AP113+AQ113+AS113+AT113+AU113+AV113+AN113)</f>
        <v>4</v>
      </c>
      <c r="C113" s="215">
        <f>B113</f>
        <v>4</v>
      </c>
      <c r="D113" s="133"/>
      <c r="E113" s="134"/>
      <c r="F113" s="135"/>
      <c r="G113" s="136"/>
      <c r="H113" s="96"/>
      <c r="I113" s="105"/>
      <c r="J113" s="104"/>
      <c r="K113" s="75"/>
      <c r="L113" s="75">
        <v>1</v>
      </c>
      <c r="M113" s="75">
        <v>1</v>
      </c>
      <c r="N113" s="75"/>
      <c r="O113" s="97"/>
      <c r="P113" s="108"/>
      <c r="Q113" s="109">
        <v>1</v>
      </c>
      <c r="R113" s="109"/>
      <c r="S113" s="100"/>
      <c r="T113" s="106">
        <v>1</v>
      </c>
      <c r="U113" s="137">
        <v>1</v>
      </c>
      <c r="V113" s="100">
        <v>1</v>
      </c>
      <c r="W113" s="100">
        <v>1</v>
      </c>
      <c r="X113" s="100"/>
      <c r="Y113" s="110"/>
      <c r="Z113" s="110">
        <v>1</v>
      </c>
      <c r="AA113" s="100"/>
      <c r="AB113" s="109"/>
      <c r="AC113" s="109"/>
      <c r="AD113" s="108"/>
      <c r="AE113" s="109"/>
      <c r="AF113" s="109"/>
      <c r="AG113" s="108"/>
      <c r="AH113" s="111"/>
      <c r="AI113" s="100"/>
      <c r="AJ113" s="110"/>
      <c r="AK113" s="110"/>
      <c r="AL113" s="100"/>
      <c r="AM113" s="100"/>
      <c r="AN113" s="100"/>
      <c r="AO113" s="100"/>
      <c r="AP113" s="100"/>
      <c r="AQ113" s="100"/>
      <c r="AR113" s="100"/>
      <c r="AS113" s="100"/>
      <c r="AT113" s="100"/>
    </row>
    <row r="114" spans="1:46" ht="16.3">
      <c r="A114" s="246" t="s">
        <v>2</v>
      </c>
      <c r="B114" s="274">
        <f>SUM(J114+K114+L114+M114+N114+S114+V114+W114+X114+AA114+AI114+AJ114+AI114+AM114+AP114+AQ114+AS114+AT114+AU114+AV114)</f>
        <v>5</v>
      </c>
      <c r="C114" s="215">
        <f t="shared" ref="C114:C117" si="16">B114</f>
        <v>5</v>
      </c>
      <c r="D114" s="133"/>
      <c r="E114" s="134"/>
      <c r="F114" s="135"/>
      <c r="G114" s="136"/>
      <c r="H114" s="96"/>
      <c r="I114" s="105"/>
      <c r="J114" s="104"/>
      <c r="K114" s="75">
        <v>1</v>
      </c>
      <c r="L114" s="75"/>
      <c r="M114" s="75"/>
      <c r="N114" s="75">
        <v>1</v>
      </c>
      <c r="O114" s="97"/>
      <c r="P114" s="108"/>
      <c r="Q114" s="109"/>
      <c r="R114" s="109"/>
      <c r="S114" s="100">
        <v>1</v>
      </c>
      <c r="T114" s="106"/>
      <c r="U114" s="137"/>
      <c r="V114" s="100"/>
      <c r="W114" s="100"/>
      <c r="X114" s="100">
        <v>1</v>
      </c>
      <c r="Y114" s="110">
        <v>1</v>
      </c>
      <c r="Z114" s="110"/>
      <c r="AA114" s="100">
        <v>1</v>
      </c>
      <c r="AB114" s="109">
        <v>1</v>
      </c>
      <c r="AC114" s="109"/>
      <c r="AD114" s="108"/>
      <c r="AE114" s="109"/>
      <c r="AF114" s="109"/>
      <c r="AG114" s="108"/>
      <c r="AH114" s="111"/>
      <c r="AI114" s="100"/>
      <c r="AJ114" s="110"/>
      <c r="AK114" s="110"/>
      <c r="AL114" s="100"/>
      <c r="AM114" s="100"/>
      <c r="AN114" s="100"/>
      <c r="AO114" s="100"/>
      <c r="AP114" s="100"/>
      <c r="AQ114" s="100"/>
      <c r="AR114" s="100"/>
      <c r="AS114" s="100"/>
      <c r="AT114" s="100"/>
    </row>
    <row r="115" spans="1:46" ht="16.3">
      <c r="A115" s="83" t="s">
        <v>363</v>
      </c>
      <c r="B115" s="273">
        <f>SUM(B113+B114)</f>
        <v>9</v>
      </c>
      <c r="C115" s="214">
        <f t="shared" si="16"/>
        <v>9</v>
      </c>
      <c r="D115" s="133"/>
      <c r="E115" s="134"/>
      <c r="F115" s="135"/>
      <c r="G115" s="136"/>
      <c r="H115" s="96"/>
      <c r="I115" s="105"/>
      <c r="J115" s="104"/>
      <c r="K115" s="75"/>
      <c r="L115" s="75"/>
      <c r="M115" s="75"/>
      <c r="N115" s="75"/>
      <c r="O115" s="97"/>
      <c r="P115" s="108"/>
      <c r="Q115" s="109"/>
      <c r="R115" s="109"/>
      <c r="S115" s="100"/>
      <c r="T115" s="106"/>
      <c r="U115" s="137"/>
      <c r="V115" s="100"/>
      <c r="W115" s="100"/>
      <c r="X115" s="100"/>
      <c r="Y115" s="110"/>
      <c r="Z115" s="110"/>
      <c r="AA115" s="100"/>
      <c r="AB115" s="109"/>
      <c r="AC115" s="109"/>
      <c r="AD115" s="108"/>
      <c r="AE115" s="109"/>
      <c r="AF115" s="109"/>
      <c r="AG115" s="108"/>
      <c r="AH115" s="111"/>
      <c r="AI115" s="100"/>
      <c r="AJ115" s="110"/>
      <c r="AK115" s="110"/>
      <c r="AL115" s="100"/>
      <c r="AM115" s="100"/>
      <c r="AN115" s="100"/>
      <c r="AO115" s="100"/>
      <c r="AP115" s="100"/>
      <c r="AQ115" s="100"/>
      <c r="AR115" s="100"/>
      <c r="AS115" s="100"/>
      <c r="AT115" s="100"/>
    </row>
    <row r="116" spans="1:46" ht="16.3">
      <c r="A116" s="83" t="s">
        <v>3</v>
      </c>
      <c r="B116" s="273">
        <f>SUM(J116+K116+L116+M116+N116+S116+V116+W116+X116+AA116+AI116+AJ116+AI116+AM116+AP116+AQ116+AS116+AT116+AU116+AV116)</f>
        <v>0</v>
      </c>
      <c r="C116" s="214">
        <f t="shared" si="16"/>
        <v>0</v>
      </c>
      <c r="D116" s="133"/>
      <c r="E116" s="134"/>
      <c r="F116" s="135"/>
      <c r="G116" s="136"/>
      <c r="H116" s="96"/>
      <c r="I116" s="105"/>
      <c r="J116" s="104"/>
      <c r="K116" s="75"/>
      <c r="L116" s="75"/>
      <c r="M116" s="75"/>
      <c r="N116" s="75"/>
      <c r="O116" s="97"/>
      <c r="P116" s="108"/>
      <c r="Q116" s="109"/>
      <c r="R116" s="109"/>
      <c r="S116" s="100"/>
      <c r="T116" s="106">
        <v>1</v>
      </c>
      <c r="U116" s="137">
        <v>1</v>
      </c>
      <c r="V116" s="100"/>
      <c r="W116" s="100"/>
      <c r="X116" s="100"/>
      <c r="Y116" s="110"/>
      <c r="Z116" s="110"/>
      <c r="AA116" s="100"/>
      <c r="AB116" s="109"/>
      <c r="AC116" s="109"/>
      <c r="AD116" s="108"/>
      <c r="AE116" s="109"/>
      <c r="AF116" s="109"/>
      <c r="AG116" s="108"/>
      <c r="AH116" s="111"/>
      <c r="AI116" s="100"/>
      <c r="AJ116" s="110"/>
      <c r="AK116" s="110"/>
      <c r="AL116" s="100"/>
      <c r="AM116" s="100"/>
      <c r="AN116" s="100"/>
      <c r="AO116" s="100"/>
      <c r="AP116" s="100"/>
      <c r="AQ116" s="100"/>
      <c r="AR116" s="100"/>
      <c r="AS116" s="100"/>
      <c r="AT116" s="100"/>
    </row>
    <row r="117" spans="1:46" ht="17" thickBot="1">
      <c r="A117" s="85" t="s">
        <v>4</v>
      </c>
      <c r="B117" s="275">
        <f>SUM(J117+K117+L117+M117+N117+S117+V117+W117+X117+AA117+AI117+AJ117+AI117+AM117+AP117+AQ117+AS117+AT117+AU117+AV117)</f>
        <v>0</v>
      </c>
      <c r="C117" s="217">
        <f t="shared" si="16"/>
        <v>0</v>
      </c>
      <c r="D117" s="144"/>
      <c r="E117" s="145"/>
      <c r="F117" s="146"/>
      <c r="G117" s="147"/>
      <c r="H117" s="114"/>
      <c r="I117" s="127"/>
      <c r="J117" s="113"/>
      <c r="K117" s="112"/>
      <c r="L117" s="112"/>
      <c r="M117" s="112"/>
      <c r="N117" s="112"/>
      <c r="O117" s="115"/>
      <c r="P117" s="117"/>
      <c r="Q117" s="118"/>
      <c r="R117" s="118"/>
      <c r="S117" s="116"/>
      <c r="T117" s="119">
        <v>5</v>
      </c>
      <c r="U117" s="692">
        <v>5</v>
      </c>
      <c r="V117" s="116"/>
      <c r="W117" s="116"/>
      <c r="X117" s="112"/>
      <c r="Y117" s="120"/>
      <c r="Z117" s="120"/>
      <c r="AA117" s="116"/>
      <c r="AB117" s="118"/>
      <c r="AC117" s="118"/>
      <c r="AD117" s="117"/>
      <c r="AE117" s="118"/>
      <c r="AF117" s="118"/>
      <c r="AG117" s="117"/>
      <c r="AH117" s="121"/>
      <c r="AI117" s="116"/>
      <c r="AJ117" s="120"/>
      <c r="AK117" s="120"/>
      <c r="AL117" s="116"/>
      <c r="AM117" s="116"/>
      <c r="AN117" s="116"/>
      <c r="AO117" s="116"/>
      <c r="AP117" s="116"/>
      <c r="AQ117" s="116"/>
      <c r="AR117" s="116"/>
      <c r="AS117" s="116"/>
      <c r="AT117" s="116"/>
    </row>
    <row r="118" spans="1:46" ht="21.1">
      <c r="A118" s="82" t="s">
        <v>795</v>
      </c>
      <c r="B118" s="273"/>
      <c r="C118" s="214"/>
      <c r="D118" s="133"/>
      <c r="E118" s="134"/>
      <c r="F118" s="135"/>
      <c r="G118" s="136"/>
      <c r="H118" s="96"/>
      <c r="I118" s="105"/>
      <c r="J118" s="104"/>
      <c r="K118" s="75"/>
      <c r="L118" s="75"/>
      <c r="M118" s="75"/>
      <c r="N118" s="75"/>
      <c r="O118" s="97">
        <v>13</v>
      </c>
      <c r="P118" s="108"/>
      <c r="Q118" s="109"/>
      <c r="R118" s="109" t="s">
        <v>377</v>
      </c>
      <c r="S118" s="100"/>
      <c r="T118" s="106"/>
      <c r="U118" s="137"/>
      <c r="V118" s="100"/>
      <c r="W118" s="100"/>
      <c r="X118" s="100"/>
      <c r="Y118" s="110"/>
      <c r="Z118" s="110"/>
      <c r="AA118" s="100"/>
      <c r="AB118" s="109"/>
      <c r="AC118" s="109"/>
      <c r="AD118" s="108"/>
      <c r="AE118" s="109"/>
      <c r="AF118" s="109"/>
      <c r="AG118" s="108"/>
      <c r="AH118" s="111"/>
      <c r="AI118" s="100"/>
      <c r="AJ118" s="110"/>
      <c r="AK118" s="110"/>
      <c r="AL118" s="100"/>
      <c r="AM118" s="100"/>
      <c r="AN118" s="100"/>
      <c r="AO118" s="100"/>
      <c r="AP118" s="100"/>
      <c r="AQ118" s="100"/>
      <c r="AR118" s="100"/>
      <c r="AS118" s="100"/>
      <c r="AT118" s="100"/>
    </row>
    <row r="119" spans="1:46" ht="16.3">
      <c r="A119" s="246" t="s">
        <v>1</v>
      </c>
      <c r="B119" s="274">
        <f>SUM(J119+K119+L119+M119+N119+S119+V119+W119+X119+AA119+AI119+AJ119+AI119+AM119+AP119+AQ119+AS119+AT119+AU119+AV119+AN119)</f>
        <v>0</v>
      </c>
      <c r="C119" s="215">
        <f>B119</f>
        <v>0</v>
      </c>
      <c r="D119" s="133"/>
      <c r="E119" s="134"/>
      <c r="F119" s="135"/>
      <c r="G119" s="136"/>
      <c r="H119" s="96"/>
      <c r="I119" s="105"/>
      <c r="J119" s="104"/>
      <c r="K119" s="75"/>
      <c r="L119" s="75"/>
      <c r="M119" s="75"/>
      <c r="N119" s="75"/>
      <c r="O119" s="97">
        <v>1</v>
      </c>
      <c r="P119" s="108"/>
      <c r="Q119" s="109"/>
      <c r="R119" s="109">
        <v>1</v>
      </c>
      <c r="S119" s="100"/>
      <c r="T119" s="106"/>
      <c r="U119" s="137"/>
      <c r="V119" s="100"/>
      <c r="W119" s="100"/>
      <c r="X119" s="100"/>
      <c r="Y119" s="110"/>
      <c r="Z119" s="110"/>
      <c r="AA119" s="100"/>
      <c r="AB119" s="109"/>
      <c r="AC119" s="109"/>
      <c r="AD119" s="108"/>
      <c r="AE119" s="109"/>
      <c r="AF119" s="109"/>
      <c r="AG119" s="108"/>
      <c r="AH119" s="111"/>
      <c r="AI119" s="100"/>
      <c r="AJ119" s="110"/>
      <c r="AK119" s="110"/>
      <c r="AL119" s="100"/>
      <c r="AM119" s="100"/>
      <c r="AN119" s="100"/>
      <c r="AO119" s="100"/>
      <c r="AP119" s="100"/>
      <c r="AQ119" s="100"/>
      <c r="AR119" s="100"/>
      <c r="AS119" s="100"/>
      <c r="AT119" s="100"/>
    </row>
    <row r="120" spans="1:46" ht="16.3">
      <c r="A120" s="246" t="s">
        <v>2</v>
      </c>
      <c r="B120" s="274">
        <f>SUM(J120+K120+L120+M120+N120+S120+V120+W120+X120+AA120+AI120+AJ120+AI120+AM120+AP120+AQ120+AS120+AT120+AU120+AV120)</f>
        <v>0</v>
      </c>
      <c r="C120" s="215">
        <f t="shared" ref="C120:C123" si="17">B120</f>
        <v>0</v>
      </c>
      <c r="D120" s="133"/>
      <c r="E120" s="134"/>
      <c r="F120" s="135"/>
      <c r="G120" s="136"/>
      <c r="H120" s="96"/>
      <c r="I120" s="105"/>
      <c r="J120" s="104"/>
      <c r="K120" s="75"/>
      <c r="L120" s="75"/>
      <c r="M120" s="75"/>
      <c r="N120" s="75"/>
      <c r="O120" s="97"/>
      <c r="P120" s="108"/>
      <c r="Q120" s="109"/>
      <c r="R120" s="109"/>
      <c r="S120" s="100"/>
      <c r="T120" s="106"/>
      <c r="U120" s="137"/>
      <c r="V120" s="100"/>
      <c r="W120" s="100"/>
      <c r="X120" s="100"/>
      <c r="Y120" s="110"/>
      <c r="Z120" s="110"/>
      <c r="AA120" s="100"/>
      <c r="AB120" s="109"/>
      <c r="AC120" s="109"/>
      <c r="AD120" s="108"/>
      <c r="AE120" s="109"/>
      <c r="AF120" s="109"/>
      <c r="AG120" s="108"/>
      <c r="AH120" s="111"/>
      <c r="AI120" s="100"/>
      <c r="AJ120" s="110"/>
      <c r="AK120" s="110"/>
      <c r="AL120" s="100"/>
      <c r="AM120" s="100"/>
      <c r="AN120" s="100"/>
      <c r="AO120" s="100"/>
      <c r="AP120" s="100"/>
      <c r="AQ120" s="100"/>
      <c r="AR120" s="100"/>
      <c r="AS120" s="100"/>
      <c r="AT120" s="100"/>
    </row>
    <row r="121" spans="1:46" ht="16.3">
      <c r="A121" s="83" t="s">
        <v>363</v>
      </c>
      <c r="B121" s="273">
        <f>SUM(B119+B120)</f>
        <v>0</v>
      </c>
      <c r="C121" s="214">
        <f t="shared" si="17"/>
        <v>0</v>
      </c>
      <c r="D121" s="133"/>
      <c r="E121" s="134"/>
      <c r="F121" s="135"/>
      <c r="G121" s="136"/>
      <c r="H121" s="96"/>
      <c r="I121" s="105"/>
      <c r="J121" s="104"/>
      <c r="K121" s="75"/>
      <c r="L121" s="75"/>
      <c r="M121" s="75"/>
      <c r="N121" s="75"/>
      <c r="O121" s="97"/>
      <c r="P121" s="108"/>
      <c r="Q121" s="109"/>
      <c r="R121" s="109"/>
      <c r="S121" s="100"/>
      <c r="T121" s="106"/>
      <c r="U121" s="137"/>
      <c r="V121" s="100"/>
      <c r="W121" s="100"/>
      <c r="X121" s="100"/>
      <c r="Y121" s="110"/>
      <c r="Z121" s="110"/>
      <c r="AA121" s="100"/>
      <c r="AB121" s="109"/>
      <c r="AC121" s="109"/>
      <c r="AD121" s="108"/>
      <c r="AE121" s="109"/>
      <c r="AF121" s="109"/>
      <c r="AG121" s="108"/>
      <c r="AH121" s="111"/>
      <c r="AI121" s="100"/>
      <c r="AJ121" s="110"/>
      <c r="AK121" s="11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1:46" ht="16.3">
      <c r="A122" s="83" t="s">
        <v>3</v>
      </c>
      <c r="B122" s="273">
        <f>SUM(J122+K122+L122+M122+N122+S122+V122+W122+X122+AA122+AI122+AJ122+AI122+AM122+AP122+AQ122+AS122+AT122+AU122+AV122)</f>
        <v>0</v>
      </c>
      <c r="C122" s="214">
        <f t="shared" si="17"/>
        <v>0</v>
      </c>
      <c r="D122" s="133"/>
      <c r="E122" s="134"/>
      <c r="F122" s="135"/>
      <c r="G122" s="136"/>
      <c r="H122" s="96"/>
      <c r="I122" s="105"/>
      <c r="J122" s="104"/>
      <c r="K122" s="75"/>
      <c r="L122" s="75"/>
      <c r="M122" s="75"/>
      <c r="N122" s="75"/>
      <c r="O122" s="97">
        <v>1</v>
      </c>
      <c r="P122" s="108"/>
      <c r="Q122" s="109"/>
      <c r="R122" s="109"/>
      <c r="S122" s="100"/>
      <c r="T122" s="106"/>
      <c r="U122" s="137"/>
      <c r="V122" s="100"/>
      <c r="W122" s="100"/>
      <c r="X122" s="100"/>
      <c r="Y122" s="110"/>
      <c r="Z122" s="110"/>
      <c r="AA122" s="100"/>
      <c r="AB122" s="109"/>
      <c r="AC122" s="109"/>
      <c r="AD122" s="108"/>
      <c r="AE122" s="109"/>
      <c r="AF122" s="109"/>
      <c r="AG122" s="108"/>
      <c r="AH122" s="111"/>
      <c r="AI122" s="100"/>
      <c r="AJ122" s="110"/>
      <c r="AK122" s="11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1:46" ht="17" thickBot="1">
      <c r="A123" s="85" t="s">
        <v>4</v>
      </c>
      <c r="B123" s="275">
        <f>SUM(J123+K123+L123+M123+N123+S123+V123+W123+X123+AA123+AI123+AJ123+AI123+AM123+AP123+AQ123+AS123+AT123+AU123+AV123)</f>
        <v>0</v>
      </c>
      <c r="C123" s="217">
        <f t="shared" si="17"/>
        <v>0</v>
      </c>
      <c r="D123" s="144"/>
      <c r="E123" s="145"/>
      <c r="F123" s="146"/>
      <c r="G123" s="147"/>
      <c r="H123" s="114"/>
      <c r="I123" s="127"/>
      <c r="J123" s="113"/>
      <c r="K123" s="112"/>
      <c r="L123" s="112"/>
      <c r="M123" s="112"/>
      <c r="N123" s="112"/>
      <c r="O123" s="115">
        <v>5</v>
      </c>
      <c r="P123" s="117"/>
      <c r="Q123" s="118"/>
      <c r="R123" s="118"/>
      <c r="S123" s="116"/>
      <c r="T123" s="119"/>
      <c r="U123" s="148"/>
      <c r="V123" s="116"/>
      <c r="W123" s="116"/>
      <c r="X123" s="116"/>
      <c r="Y123" s="120"/>
      <c r="Z123" s="120"/>
      <c r="AA123" s="116"/>
      <c r="AB123" s="118"/>
      <c r="AC123" s="114"/>
      <c r="AD123" s="117"/>
      <c r="AE123" s="118"/>
      <c r="AF123" s="118"/>
      <c r="AG123" s="117"/>
      <c r="AH123" s="121"/>
      <c r="AI123" s="116"/>
      <c r="AJ123" s="120"/>
      <c r="AK123" s="120"/>
      <c r="AL123" s="116"/>
      <c r="AM123" s="116"/>
      <c r="AN123" s="116"/>
      <c r="AO123" s="116"/>
      <c r="AP123" s="116"/>
      <c r="AQ123" s="116"/>
      <c r="AR123" s="116"/>
      <c r="AS123" s="116"/>
      <c r="AT123" s="116"/>
    </row>
    <row r="124" spans="1:46" ht="21.1">
      <c r="A124" s="82" t="s">
        <v>218</v>
      </c>
      <c r="B124" s="273"/>
      <c r="C124" s="214"/>
      <c r="D124" s="133"/>
      <c r="E124" s="134"/>
      <c r="F124" s="135"/>
      <c r="G124" s="136"/>
      <c r="H124" s="96"/>
      <c r="I124" s="105"/>
      <c r="J124" s="104" t="s">
        <v>682</v>
      </c>
      <c r="K124" s="75">
        <v>10</v>
      </c>
      <c r="L124" s="75">
        <v>10</v>
      </c>
      <c r="M124" s="75">
        <v>10</v>
      </c>
      <c r="N124" s="75">
        <v>10</v>
      </c>
      <c r="O124" s="97" t="s">
        <v>775</v>
      </c>
      <c r="P124" s="108"/>
      <c r="Q124" s="109" t="s">
        <v>775</v>
      </c>
      <c r="R124" s="109" t="s">
        <v>775</v>
      </c>
      <c r="S124" s="100" t="s">
        <v>384</v>
      </c>
      <c r="T124" s="106" t="s">
        <v>339</v>
      </c>
      <c r="U124" s="137" t="s">
        <v>339</v>
      </c>
      <c r="V124" s="100" t="s">
        <v>339</v>
      </c>
      <c r="W124" s="100" t="s">
        <v>384</v>
      </c>
      <c r="X124" s="100">
        <v>10</v>
      </c>
      <c r="Y124" s="110">
        <v>10</v>
      </c>
      <c r="Z124" s="110"/>
      <c r="AA124" s="100">
        <v>10</v>
      </c>
      <c r="AB124" s="109" t="s">
        <v>775</v>
      </c>
      <c r="AC124" s="109" t="s">
        <v>775</v>
      </c>
      <c r="AD124" s="108"/>
      <c r="AE124" s="109" t="s">
        <v>775</v>
      </c>
      <c r="AF124" s="109" t="s">
        <v>775</v>
      </c>
      <c r="AG124" s="108"/>
      <c r="AH124" s="111"/>
      <c r="AI124" s="100"/>
      <c r="AJ124" s="110"/>
      <c r="AK124" s="11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1:46" ht="16.3">
      <c r="A125" s="246" t="s">
        <v>1</v>
      </c>
      <c r="B125" s="274">
        <f>SUM(J125+K125+L125+M125+N125+S125+V125+W125+X125+AA125+AI125+AJ125+AI125+AM125+AP125+AQ125+AS125+AT125+AU125+AV125+AN125)+33</f>
        <v>42</v>
      </c>
      <c r="C125" s="215">
        <f>SUM(J125+K125+L125+M125+N125+S125+W125+X125+V125+AA125+AJ125+AI125+AJ125+AN125+AQ125+AM125+AT125+AU125+AV125+AW125+AP125+AS125)+172</f>
        <v>181</v>
      </c>
      <c r="D125" s="139"/>
      <c r="E125" s="140"/>
      <c r="F125" s="135"/>
      <c r="G125" s="136"/>
      <c r="H125" s="96"/>
      <c r="I125" s="105"/>
      <c r="J125" s="104">
        <v>1</v>
      </c>
      <c r="K125" s="75">
        <v>1</v>
      </c>
      <c r="L125" s="75">
        <v>1</v>
      </c>
      <c r="M125" s="75">
        <v>1</v>
      </c>
      <c r="N125" s="75">
        <v>1</v>
      </c>
      <c r="O125" s="97"/>
      <c r="P125" s="108"/>
      <c r="Q125" s="109"/>
      <c r="R125" s="109"/>
      <c r="S125" s="100">
        <v>1</v>
      </c>
      <c r="T125" s="106"/>
      <c r="U125" s="137"/>
      <c r="V125" s="100"/>
      <c r="W125" s="100">
        <v>1</v>
      </c>
      <c r="X125" s="100">
        <v>1</v>
      </c>
      <c r="Y125" s="110">
        <v>1</v>
      </c>
      <c r="Z125" s="110"/>
      <c r="AA125" s="100">
        <v>1</v>
      </c>
      <c r="AB125" s="109"/>
      <c r="AC125" s="109"/>
      <c r="AD125" s="108"/>
      <c r="AE125" s="109"/>
      <c r="AF125" s="109"/>
      <c r="AG125" s="108"/>
      <c r="AH125" s="111"/>
      <c r="AI125" s="100"/>
      <c r="AJ125" s="110"/>
      <c r="AK125" s="11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1:46" ht="16.3">
      <c r="A126" s="246" t="s">
        <v>2</v>
      </c>
      <c r="B126" s="274">
        <f>SUM(J126+K126+L126+M126+N126+S126+V126+W126+X126+AA126+AI126+AJ126+AI126+AM126+AP126+AQ126+AS126+AT126+AU126+AV126)+1</f>
        <v>1</v>
      </c>
      <c r="C126" s="215">
        <f>SUM(J126+K126+L126+M126+N126+S126+W126+X126+V126+AA126+AJ126+AI126+AJ126+AN126+AQ126+AM126+AT126+AU126+AV126+AW126+AP126+AS126)+20</f>
        <v>20</v>
      </c>
      <c r="D126" s="139"/>
      <c r="E126" s="140"/>
      <c r="F126" s="135"/>
      <c r="G126" s="136"/>
      <c r="H126" s="96"/>
      <c r="I126" s="105"/>
      <c r="J126" s="104"/>
      <c r="K126" s="75"/>
      <c r="L126" s="75"/>
      <c r="M126" s="75"/>
      <c r="N126" s="75"/>
      <c r="O126" s="97"/>
      <c r="P126" s="108"/>
      <c r="Q126" s="109"/>
      <c r="R126" s="109"/>
      <c r="S126" s="100"/>
      <c r="T126" s="106"/>
      <c r="U126" s="137"/>
      <c r="V126" s="100"/>
      <c r="W126" s="100"/>
      <c r="X126" s="100"/>
      <c r="Y126" s="110"/>
      <c r="Z126" s="110"/>
      <c r="AA126" s="100"/>
      <c r="AB126" s="109"/>
      <c r="AC126" s="109"/>
      <c r="AD126" s="108"/>
      <c r="AE126" s="109"/>
      <c r="AF126" s="109"/>
      <c r="AG126" s="108"/>
      <c r="AH126" s="111"/>
      <c r="AI126" s="100"/>
      <c r="AJ126" s="110"/>
      <c r="AK126" s="11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1:46" ht="16.3">
      <c r="A127" s="83" t="s">
        <v>363</v>
      </c>
      <c r="B127" s="273">
        <f>SUM(B125+B126)</f>
        <v>43</v>
      </c>
      <c r="C127" s="214">
        <f>SUM(C125+C126)</f>
        <v>201</v>
      </c>
      <c r="D127" s="133"/>
      <c r="E127" s="134"/>
      <c r="F127" s="135"/>
      <c r="G127" s="136"/>
      <c r="H127" s="96"/>
      <c r="I127" s="105"/>
      <c r="J127" s="104"/>
      <c r="K127" s="75"/>
      <c r="L127" s="75"/>
      <c r="M127" s="75"/>
      <c r="N127" s="75"/>
      <c r="O127" s="97"/>
      <c r="P127" s="108"/>
      <c r="Q127" s="109"/>
      <c r="R127" s="109"/>
      <c r="S127" s="100"/>
      <c r="T127" s="106"/>
      <c r="U127" s="137"/>
      <c r="V127" s="100"/>
      <c r="W127" s="100"/>
      <c r="X127" s="100"/>
      <c r="Y127" s="110"/>
      <c r="Z127" s="110"/>
      <c r="AA127" s="100"/>
      <c r="AB127" s="109"/>
      <c r="AC127" s="109"/>
      <c r="AD127" s="108"/>
      <c r="AE127" s="109"/>
      <c r="AF127" s="109"/>
      <c r="AG127" s="108"/>
      <c r="AH127" s="111"/>
      <c r="AI127" s="100"/>
      <c r="AJ127" s="110"/>
      <c r="AK127" s="11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1:46" ht="16.3">
      <c r="A128" s="246" t="s">
        <v>366</v>
      </c>
      <c r="B128" s="274">
        <f>SUM(J128+K128+L128+M128+N128+S128+V128+W128+X128+AA128+AI128+AJ128+AI128+AM128+AP128+AQ128+AS128+AT128+AU128+AV128+AN128)</f>
        <v>0</v>
      </c>
      <c r="C128" s="215">
        <f>SUM(J128+K128+L128+M128+N128+S128+W128+X128+V128+AA128+AJ128+AI128+AJ128+AN128+AQ128+AM128+AT128+AU128+AV128+AW128+AP128+AS128)+31</f>
        <v>31</v>
      </c>
      <c r="D128" s="139"/>
      <c r="E128" s="140"/>
      <c r="F128" s="135"/>
      <c r="G128" s="136"/>
      <c r="H128" s="96"/>
      <c r="I128" s="105"/>
      <c r="J128" s="104"/>
      <c r="K128" s="75"/>
      <c r="L128" s="75"/>
      <c r="M128" s="75"/>
      <c r="N128" s="75"/>
      <c r="O128" s="97"/>
      <c r="P128" s="108"/>
      <c r="Q128" s="109"/>
      <c r="R128" s="109"/>
      <c r="S128" s="100"/>
      <c r="T128" s="106"/>
      <c r="U128" s="137"/>
      <c r="V128" s="100"/>
      <c r="W128" s="100"/>
      <c r="X128" s="100"/>
      <c r="Y128" s="110"/>
      <c r="Z128" s="110"/>
      <c r="AA128" s="100"/>
      <c r="AB128" s="109"/>
      <c r="AC128" s="109"/>
      <c r="AD128" s="108"/>
      <c r="AE128" s="109"/>
      <c r="AF128" s="109"/>
      <c r="AG128" s="108"/>
      <c r="AH128" s="111"/>
      <c r="AI128" s="100"/>
      <c r="AJ128" s="110"/>
      <c r="AK128" s="11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1:46" ht="16.3">
      <c r="A129" s="246" t="s">
        <v>362</v>
      </c>
      <c r="B129" s="274">
        <f>SUM(J129+K129+L129+M129+N129+S129+V129+W129+X129+AA129+AI129+AJ129+AI129+AM129+AP129+AQ129+AS129+AT129+AU129+AV129+AN129)+1</f>
        <v>1</v>
      </c>
      <c r="C129" s="215">
        <f>SUM(J129+K129+L129+M129+N129+S129+W129+X129+V129+AA129+AJ129+AI129+AJ129+AN129+AQ129+AM129+AT129+AU129+AV129+AW129+AP129+AS129)+3</f>
        <v>3</v>
      </c>
      <c r="D129" s="139"/>
      <c r="E129" s="140"/>
      <c r="F129" s="135"/>
      <c r="G129" s="136"/>
      <c r="H129" s="96"/>
      <c r="I129" s="105"/>
      <c r="J129" s="104"/>
      <c r="K129" s="75"/>
      <c r="L129" s="75"/>
      <c r="M129" s="75"/>
      <c r="N129" s="75"/>
      <c r="O129" s="97"/>
      <c r="P129" s="108"/>
      <c r="Q129" s="109"/>
      <c r="R129" s="109"/>
      <c r="S129" s="100"/>
      <c r="T129" s="106"/>
      <c r="U129" s="137"/>
      <c r="V129" s="100"/>
      <c r="W129" s="100"/>
      <c r="X129" s="100"/>
      <c r="Y129" s="110"/>
      <c r="Z129" s="110"/>
      <c r="AA129" s="100"/>
      <c r="AB129" s="109"/>
      <c r="AC129" s="109"/>
      <c r="AD129" s="108"/>
      <c r="AE129" s="109"/>
      <c r="AF129" s="109"/>
      <c r="AG129" s="108"/>
      <c r="AH129" s="111"/>
      <c r="AI129" s="100"/>
      <c r="AJ129" s="110"/>
      <c r="AK129" s="11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1:46" ht="16.3">
      <c r="A130" s="246" t="s">
        <v>5</v>
      </c>
      <c r="B130" s="274">
        <f>SUM(J130+K130+L130+M130+N130+S130+V130+W130+X130+AA130+AI130+AJ130+AI130+AM130+AP130+AQ130+AS130+AT130+AU130+AV130+AN130)+108</f>
        <v>140</v>
      </c>
      <c r="C130" s="215">
        <f>SUM(J130+K130+L130+M130+N130+S130+W130+X130+V130+AA130+AJ130+AI130+AJ130+AN130+AQ130+AM130+AT130+AU130+AV130+AW130+AP130+AS130)+707</f>
        <v>739</v>
      </c>
      <c r="D130" s="139"/>
      <c r="E130" s="140"/>
      <c r="F130" s="135"/>
      <c r="G130" s="136"/>
      <c r="H130" s="96"/>
      <c r="I130" s="105"/>
      <c r="J130" s="104">
        <v>3</v>
      </c>
      <c r="K130" s="75">
        <v>2</v>
      </c>
      <c r="L130" s="75">
        <v>6</v>
      </c>
      <c r="M130" s="75">
        <v>2</v>
      </c>
      <c r="N130" s="75">
        <v>5</v>
      </c>
      <c r="O130" s="97"/>
      <c r="P130" s="108"/>
      <c r="Q130" s="109"/>
      <c r="R130" s="109"/>
      <c r="S130" s="100">
        <v>5</v>
      </c>
      <c r="T130" s="106"/>
      <c r="U130" s="137"/>
      <c r="V130" s="100"/>
      <c r="W130" s="100">
        <v>2</v>
      </c>
      <c r="X130" s="100">
        <v>3</v>
      </c>
      <c r="Y130" s="110">
        <v>3</v>
      </c>
      <c r="Z130" s="110"/>
      <c r="AA130" s="100">
        <v>4</v>
      </c>
      <c r="AB130" s="109"/>
      <c r="AC130" s="109"/>
      <c r="AD130" s="108"/>
      <c r="AE130" s="109"/>
      <c r="AF130" s="109"/>
      <c r="AG130" s="108"/>
      <c r="AH130" s="111"/>
      <c r="AI130" s="100"/>
      <c r="AJ130" s="110"/>
      <c r="AK130" s="11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1:46" ht="16.3">
      <c r="A131" s="246" t="s">
        <v>6</v>
      </c>
      <c r="B131" s="274">
        <f>SUM(J131+K131+L131+M131+N131+S131+V131+W131+X131+AA131+AI131+AJ131+AI131+AM131+AP131+AQ131+AS131+AT131+AU131+AV131+AN131)+139</f>
        <v>180</v>
      </c>
      <c r="C131" s="215">
        <f>SUM(J131+K131+L131+M131+N131+S131+W131+X131+V131+AA131+AJ131+AI131+AJ131+AN131+AQ131+AM131+AT131+AU131+AV131+AW131+AP131+AS131)+921</f>
        <v>962</v>
      </c>
      <c r="D131" s="139"/>
      <c r="E131" s="140"/>
      <c r="F131" s="135"/>
      <c r="G131" s="136"/>
      <c r="H131" s="96"/>
      <c r="I131" s="105"/>
      <c r="J131" s="104">
        <v>5</v>
      </c>
      <c r="K131" s="75">
        <v>3</v>
      </c>
      <c r="L131" s="75">
        <v>9</v>
      </c>
      <c r="M131" s="75">
        <v>2</v>
      </c>
      <c r="N131" s="75">
        <v>5</v>
      </c>
      <c r="O131" s="97"/>
      <c r="P131" s="108"/>
      <c r="Q131" s="109"/>
      <c r="R131" s="109"/>
      <c r="S131" s="100">
        <v>5</v>
      </c>
      <c r="T131" s="106"/>
      <c r="U131" s="137"/>
      <c r="V131" s="100"/>
      <c r="W131" s="100">
        <v>4</v>
      </c>
      <c r="X131" s="100">
        <v>3</v>
      </c>
      <c r="Y131" s="110">
        <v>4</v>
      </c>
      <c r="Z131" s="110"/>
      <c r="AA131" s="100">
        <v>5</v>
      </c>
      <c r="AB131" s="109"/>
      <c r="AC131" s="109"/>
      <c r="AD131" s="108"/>
      <c r="AE131" s="109"/>
      <c r="AF131" s="109"/>
      <c r="AG131" s="108"/>
      <c r="AH131" s="111"/>
      <c r="AI131" s="100"/>
      <c r="AJ131" s="110"/>
      <c r="AK131" s="11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1:46" ht="16.3">
      <c r="A132" s="246" t="s">
        <v>368</v>
      </c>
      <c r="B132" s="276">
        <f>SUM(B130/B131)*100</f>
        <v>77.777777777777786</v>
      </c>
      <c r="C132" s="216">
        <f>SUM(C130/C131)*100</f>
        <v>76.819126819126808</v>
      </c>
      <c r="D132" s="139"/>
      <c r="E132" s="140"/>
      <c r="F132" s="135"/>
      <c r="G132" s="136"/>
      <c r="H132" s="96"/>
      <c r="I132" s="105"/>
      <c r="J132" s="104">
        <v>60</v>
      </c>
      <c r="K132" s="75">
        <v>67</v>
      </c>
      <c r="L132" s="75">
        <v>67</v>
      </c>
      <c r="M132" s="75">
        <v>100</v>
      </c>
      <c r="N132" s="75">
        <v>100</v>
      </c>
      <c r="O132" s="97"/>
      <c r="P132" s="108"/>
      <c r="Q132" s="109"/>
      <c r="R132" s="109"/>
      <c r="S132" s="100">
        <v>100</v>
      </c>
      <c r="T132" s="106"/>
      <c r="U132" s="137"/>
      <c r="V132" s="100"/>
      <c r="W132" s="100">
        <v>50</v>
      </c>
      <c r="X132" s="100">
        <v>100</v>
      </c>
      <c r="Y132" s="110">
        <v>75</v>
      </c>
      <c r="Z132" s="110"/>
      <c r="AA132" s="100">
        <v>80</v>
      </c>
      <c r="AB132" s="109"/>
      <c r="AC132" s="109"/>
      <c r="AD132" s="108"/>
      <c r="AE132" s="109"/>
      <c r="AF132" s="109"/>
      <c r="AG132" s="108"/>
      <c r="AH132" s="111"/>
      <c r="AI132" s="100"/>
      <c r="AJ132" s="110"/>
      <c r="AK132" s="11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1:46" ht="16.3">
      <c r="A133" s="246" t="s">
        <v>386</v>
      </c>
      <c r="B133" s="276">
        <f>SUM(J133+K133+L133+M133+N133+S133+V133+W133+X133+AA133+AI133+AJ133+AI133+AM133+AP133+AQ133+AS133+AT133+AU133+AV133+AN133)+4</f>
        <v>6</v>
      </c>
      <c r="C133" s="216">
        <f>SUM(J133+K133+L133+M133+N133+S133+W133+X133+V133+AA133+AJ133+AI133+AJ133+AN133+AQ133+AM133+AT133+AU133+AV133+AW133+AP133+AS133)+17</f>
        <v>19</v>
      </c>
      <c r="D133" s="139"/>
      <c r="E133" s="140"/>
      <c r="F133" s="135"/>
      <c r="G133" s="136"/>
      <c r="H133" s="96"/>
      <c r="I133" s="105"/>
      <c r="J133" s="104"/>
      <c r="K133" s="75">
        <v>2</v>
      </c>
      <c r="L133" s="75"/>
      <c r="M133" s="75"/>
      <c r="N133" s="75"/>
      <c r="O133" s="97"/>
      <c r="P133" s="108"/>
      <c r="Q133" s="109"/>
      <c r="R133" s="109"/>
      <c r="S133" s="100"/>
      <c r="T133" s="106"/>
      <c r="U133" s="137"/>
      <c r="V133" s="100"/>
      <c r="W133" s="100"/>
      <c r="X133" s="100"/>
      <c r="Y133" s="110"/>
      <c r="Z133" s="110"/>
      <c r="AA133" s="100"/>
      <c r="AB133" s="109"/>
      <c r="AC133" s="109"/>
      <c r="AD133" s="108"/>
      <c r="AE133" s="109"/>
      <c r="AF133" s="109"/>
      <c r="AG133" s="108"/>
      <c r="AH133" s="111"/>
      <c r="AI133" s="100"/>
      <c r="AJ133" s="110"/>
      <c r="AK133" s="11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1:46" ht="16.3">
      <c r="A134" s="83" t="s">
        <v>3</v>
      </c>
      <c r="B134" s="273">
        <f>SUM(J134+K134+L134+M134+N134+S134+V134+W134+X134+AA134+AI134+AJ134+AI134+AM134+AP134+AQ134+AS134+AT134+AU134+AV134+AN134)+1</f>
        <v>1</v>
      </c>
      <c r="C134" s="214">
        <f>SUM(J134+K134+L134+M134+N134+S134+W134+X134+V134+AA134+AJ134+AI134+AJ134+AN134+AQ134+AM134+AT134+AU134+AV134+AW134+AP134+AS134)+16</f>
        <v>16</v>
      </c>
      <c r="D134" s="133"/>
      <c r="E134" s="134"/>
      <c r="F134" s="135"/>
      <c r="G134" s="136"/>
      <c r="H134" s="96"/>
      <c r="I134" s="105"/>
      <c r="J134" s="104"/>
      <c r="K134" s="75"/>
      <c r="L134" s="75"/>
      <c r="M134" s="75"/>
      <c r="N134" s="75"/>
      <c r="O134" s="97"/>
      <c r="P134" s="108"/>
      <c r="Q134" s="109"/>
      <c r="R134" s="109"/>
      <c r="S134" s="100"/>
      <c r="T134" s="106"/>
      <c r="U134" s="137"/>
      <c r="V134" s="100"/>
      <c r="W134" s="100"/>
      <c r="X134" s="100"/>
      <c r="Y134" s="110"/>
      <c r="Z134" s="110"/>
      <c r="AA134" s="100"/>
      <c r="AB134" s="109"/>
      <c r="AC134" s="109"/>
      <c r="AD134" s="108"/>
      <c r="AE134" s="109"/>
      <c r="AF134" s="109"/>
      <c r="AG134" s="108"/>
      <c r="AH134" s="111"/>
      <c r="AI134" s="100"/>
      <c r="AJ134" s="110"/>
      <c r="AK134" s="11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1:46" ht="17" thickBot="1">
      <c r="A135" s="85" t="s">
        <v>4</v>
      </c>
      <c r="B135" s="275">
        <f>SUM(J135+K135+L135+M135+N135+S135+V135+W135+X135+AA135+AI135+AJ135+AI135+AM135+AP135+AQ135+AS135+AT135+AU135+AV135+AN135)+277</f>
        <v>355</v>
      </c>
      <c r="C135" s="217">
        <f>SUM(J135+K135+L135+M135+N135+S135+W135+X135+V135+AA135+AJ135+AI135+AJ135+AN135+AQ135+AM135+AT135+AU135+AV135+AW135+AP135+AS135)+1922</f>
        <v>2000</v>
      </c>
      <c r="D135" s="144"/>
      <c r="E135" s="145"/>
      <c r="F135" s="146"/>
      <c r="G135" s="147"/>
      <c r="H135" s="114"/>
      <c r="I135" s="127"/>
      <c r="J135" s="113">
        <v>7</v>
      </c>
      <c r="K135" s="112">
        <v>11</v>
      </c>
      <c r="L135" s="112">
        <v>12</v>
      </c>
      <c r="M135" s="112">
        <v>4</v>
      </c>
      <c r="N135" s="112">
        <v>10</v>
      </c>
      <c r="O135" s="151"/>
      <c r="P135" s="108"/>
      <c r="Q135" s="109"/>
      <c r="R135" s="114"/>
      <c r="S135" s="113">
        <v>14</v>
      </c>
      <c r="T135" s="119"/>
      <c r="U135" s="148"/>
      <c r="V135" s="116"/>
      <c r="W135" s="116">
        <v>4</v>
      </c>
      <c r="X135" s="116">
        <v>7</v>
      </c>
      <c r="Y135" s="119">
        <v>6</v>
      </c>
      <c r="Z135" s="110"/>
      <c r="AA135" s="100">
        <v>9</v>
      </c>
      <c r="AB135" s="109"/>
      <c r="AC135" s="109"/>
      <c r="AD135" s="108"/>
      <c r="AE135" s="109"/>
      <c r="AF135" s="109"/>
      <c r="AG135" s="108"/>
      <c r="AH135" s="111"/>
      <c r="AI135" s="100"/>
      <c r="AJ135" s="110"/>
      <c r="AK135" s="11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1:46" ht="21.1">
      <c r="A136" s="82" t="s">
        <v>222</v>
      </c>
      <c r="B136" s="273"/>
      <c r="C136" s="214"/>
      <c r="D136" s="133"/>
      <c r="E136" s="134"/>
      <c r="F136" s="135"/>
      <c r="G136" s="136"/>
      <c r="H136" s="96" t="s">
        <v>609</v>
      </c>
      <c r="I136" s="105"/>
      <c r="J136" s="122">
        <v>13</v>
      </c>
      <c r="K136" s="104">
        <v>13</v>
      </c>
      <c r="L136" s="75">
        <v>13</v>
      </c>
      <c r="M136" s="75">
        <v>13</v>
      </c>
      <c r="N136" s="75">
        <v>13</v>
      </c>
      <c r="O136" s="96"/>
      <c r="P136" s="98"/>
      <c r="Q136" s="99">
        <v>10</v>
      </c>
      <c r="R136" s="109"/>
      <c r="S136" s="100">
        <v>13</v>
      </c>
      <c r="T136" s="106">
        <v>10</v>
      </c>
      <c r="U136" s="137">
        <v>10</v>
      </c>
      <c r="V136" s="100">
        <v>10</v>
      </c>
      <c r="W136" s="100">
        <v>10</v>
      </c>
      <c r="X136" s="100">
        <v>13</v>
      </c>
      <c r="Y136" s="110">
        <v>13</v>
      </c>
      <c r="Z136" s="101"/>
      <c r="AA136" s="102">
        <v>13</v>
      </c>
      <c r="AB136" s="99"/>
      <c r="AC136" s="99"/>
      <c r="AD136" s="98"/>
      <c r="AE136" s="99" t="s">
        <v>384</v>
      </c>
      <c r="AF136" s="99">
        <v>10</v>
      </c>
      <c r="AG136" s="98"/>
      <c r="AH136" s="103"/>
      <c r="AI136" s="102"/>
      <c r="AJ136" s="101"/>
      <c r="AK136" s="101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1:46" ht="16.3">
      <c r="A137" s="246" t="s">
        <v>1</v>
      </c>
      <c r="B137" s="274">
        <f>SUM(J137+K137+L137+M137+N137+S137+V137+W137+X137+AA137+AI137+AJ137+AI137+AM137+AP137+AQ137+AS137+AT137+AU137+AV137+AN137)+110</f>
        <v>120</v>
      </c>
      <c r="C137" s="215">
        <f>B137</f>
        <v>120</v>
      </c>
      <c r="D137" s="139"/>
      <c r="E137" s="140"/>
      <c r="F137" s="135"/>
      <c r="G137" s="136"/>
      <c r="H137" s="96">
        <v>1</v>
      </c>
      <c r="I137" s="105"/>
      <c r="J137" s="75">
        <v>1</v>
      </c>
      <c r="K137" s="104">
        <v>1</v>
      </c>
      <c r="L137" s="75">
        <v>1</v>
      </c>
      <c r="M137" s="75">
        <v>1</v>
      </c>
      <c r="N137" s="75">
        <v>1</v>
      </c>
      <c r="O137" s="96"/>
      <c r="P137" s="108"/>
      <c r="Q137" s="109">
        <v>1</v>
      </c>
      <c r="R137" s="109"/>
      <c r="S137" s="100">
        <v>1</v>
      </c>
      <c r="T137" s="106">
        <v>1</v>
      </c>
      <c r="U137" s="137">
        <v>1</v>
      </c>
      <c r="V137" s="100">
        <v>1</v>
      </c>
      <c r="W137" s="100">
        <v>1</v>
      </c>
      <c r="X137" s="100">
        <v>1</v>
      </c>
      <c r="Y137" s="110">
        <v>1</v>
      </c>
      <c r="Z137" s="110"/>
      <c r="AA137" s="100">
        <v>1</v>
      </c>
      <c r="AB137" s="109"/>
      <c r="AC137" s="109"/>
      <c r="AD137" s="108"/>
      <c r="AE137" s="109">
        <v>1</v>
      </c>
      <c r="AF137" s="109">
        <v>1</v>
      </c>
      <c r="AG137" s="108"/>
      <c r="AH137" s="111"/>
      <c r="AI137" s="100"/>
      <c r="AJ137" s="110"/>
      <c r="AK137" s="11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1:46" ht="16.3">
      <c r="A138" s="246" t="s">
        <v>2</v>
      </c>
      <c r="B138" s="274">
        <f>SUM(J138+K138+L138+M138+N138+S138+V138+W138+X138+AA138+AI138+AJ138+AI138+AM138+AP138+AQ138+AS138+AT138+AU138+AV138)+10</f>
        <v>10</v>
      </c>
      <c r="C138" s="215">
        <f t="shared" ref="C138:C142" si="18">B138</f>
        <v>10</v>
      </c>
      <c r="D138" s="139"/>
      <c r="E138" s="140"/>
      <c r="F138" s="135"/>
      <c r="G138" s="136"/>
      <c r="H138" s="96"/>
      <c r="I138" s="105"/>
      <c r="J138" s="104"/>
      <c r="K138" s="75"/>
      <c r="L138" s="75"/>
      <c r="M138" s="75"/>
      <c r="N138" s="75"/>
      <c r="O138" s="96"/>
      <c r="P138" s="105"/>
      <c r="Q138" s="96"/>
      <c r="R138" s="96"/>
      <c r="S138" s="75"/>
      <c r="T138" s="106"/>
      <c r="U138" s="106"/>
      <c r="V138" s="75"/>
      <c r="W138" s="75"/>
      <c r="X138" s="75"/>
      <c r="Y138" s="106"/>
      <c r="Z138" s="106"/>
      <c r="AA138" s="75"/>
      <c r="AB138" s="96"/>
      <c r="AC138" s="96"/>
      <c r="AD138" s="105"/>
      <c r="AE138" s="96"/>
      <c r="AF138" s="96"/>
      <c r="AG138" s="105"/>
      <c r="AH138" s="107"/>
      <c r="AI138" s="75"/>
      <c r="AJ138" s="106"/>
      <c r="AK138" s="106"/>
      <c r="AL138" s="75"/>
      <c r="AM138" s="75"/>
      <c r="AN138" s="75"/>
      <c r="AO138" s="75"/>
      <c r="AP138" s="75"/>
      <c r="AQ138" s="75"/>
      <c r="AR138" s="75"/>
      <c r="AS138" s="75"/>
      <c r="AT138" s="75"/>
    </row>
    <row r="139" spans="1:46" ht="16.3">
      <c r="A139" s="83" t="s">
        <v>363</v>
      </c>
      <c r="B139" s="273">
        <f>SUM(B137+B138)</f>
        <v>130</v>
      </c>
      <c r="C139" s="214">
        <f t="shared" si="18"/>
        <v>130</v>
      </c>
      <c r="D139" s="139"/>
      <c r="E139" s="140"/>
      <c r="F139" s="135"/>
      <c r="G139" s="136"/>
      <c r="H139" s="96"/>
      <c r="I139" s="105"/>
      <c r="J139" s="104"/>
      <c r="K139" s="75"/>
      <c r="L139" s="75"/>
      <c r="M139" s="75"/>
      <c r="N139" s="75"/>
      <c r="O139" s="97"/>
      <c r="P139" s="108"/>
      <c r="Q139" s="109"/>
      <c r="R139" s="109"/>
      <c r="S139" s="100"/>
      <c r="T139" s="106"/>
      <c r="U139" s="137"/>
      <c r="V139" s="100"/>
      <c r="W139" s="100"/>
      <c r="X139" s="100"/>
      <c r="Y139" s="110"/>
      <c r="Z139" s="110"/>
      <c r="AA139" s="100"/>
      <c r="AB139" s="109"/>
      <c r="AC139" s="109"/>
      <c r="AD139" s="108"/>
      <c r="AE139" s="109"/>
      <c r="AF139" s="109"/>
      <c r="AG139" s="108"/>
      <c r="AH139" s="111"/>
      <c r="AI139" s="100"/>
      <c r="AJ139" s="110"/>
      <c r="AK139" s="11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1:46" ht="16.3">
      <c r="A140" s="246" t="s">
        <v>366</v>
      </c>
      <c r="B140" s="274">
        <f>SUM(J140+K140+L140+M140+N140+S140+V140+W140+X140+AA140+AI140+AJ140+AI140+AM140+AP140+AQ140+AS140+AT140+AU140+AV140)+15</f>
        <v>15</v>
      </c>
      <c r="C140" s="215">
        <f t="shared" si="18"/>
        <v>15</v>
      </c>
      <c r="D140" s="139"/>
      <c r="E140" s="140"/>
      <c r="F140" s="135"/>
      <c r="G140" s="136"/>
      <c r="H140" s="96"/>
      <c r="I140" s="105"/>
      <c r="J140" s="104"/>
      <c r="K140" s="75"/>
      <c r="L140" s="75"/>
      <c r="M140" s="75"/>
      <c r="N140" s="75"/>
      <c r="O140" s="97"/>
      <c r="P140" s="108"/>
      <c r="Q140" s="109"/>
      <c r="R140" s="109"/>
      <c r="S140" s="100"/>
      <c r="T140" s="106"/>
      <c r="U140" s="137"/>
      <c r="V140" s="100"/>
      <c r="W140" s="100"/>
      <c r="X140" s="100"/>
      <c r="Y140" s="110"/>
      <c r="Z140" s="110"/>
      <c r="AA140" s="100"/>
      <c r="AB140" s="109"/>
      <c r="AC140" s="109"/>
      <c r="AD140" s="108"/>
      <c r="AE140" s="109"/>
      <c r="AF140" s="109"/>
      <c r="AG140" s="108"/>
      <c r="AH140" s="111"/>
      <c r="AI140" s="100"/>
      <c r="AJ140" s="110"/>
      <c r="AK140" s="11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1:46" ht="16.3">
      <c r="A141" s="246" t="s">
        <v>362</v>
      </c>
      <c r="B141" s="274">
        <f>SUM(J141+K141+L141+M141+N141+S141+V141+W141+X141+AA141+AI141+AJ141+AI141+AM141+AP141+AQ141+AS141+AT141+AU141+AV141)+1</f>
        <v>1</v>
      </c>
      <c r="C141" s="215">
        <f t="shared" si="18"/>
        <v>1</v>
      </c>
      <c r="D141" s="139"/>
      <c r="E141" s="140"/>
      <c r="F141" s="135"/>
      <c r="G141" s="136"/>
      <c r="H141" s="96"/>
      <c r="I141" s="105"/>
      <c r="J141" s="104"/>
      <c r="K141" s="75"/>
      <c r="L141" s="75"/>
      <c r="M141" s="75"/>
      <c r="N141" s="75"/>
      <c r="O141" s="97"/>
      <c r="P141" s="108"/>
      <c r="Q141" s="109"/>
      <c r="R141" s="109"/>
      <c r="S141" s="100"/>
      <c r="T141" s="106"/>
      <c r="U141" s="137"/>
      <c r="V141" s="100"/>
      <c r="W141" s="100"/>
      <c r="X141" s="100"/>
      <c r="Y141" s="110"/>
      <c r="Z141" s="110"/>
      <c r="AA141" s="100"/>
      <c r="AB141" s="109"/>
      <c r="AC141" s="109"/>
      <c r="AD141" s="108"/>
      <c r="AE141" s="109"/>
      <c r="AF141" s="109"/>
      <c r="AG141" s="108"/>
      <c r="AH141" s="111"/>
      <c r="AI141" s="100"/>
      <c r="AJ141" s="110"/>
      <c r="AK141" s="11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1:46" ht="16.3">
      <c r="A142" s="246" t="s">
        <v>364</v>
      </c>
      <c r="B142" s="274">
        <f>SUM(J142+K142+L142+M142+N142+S142+V142+W142+X142+AA142+AI142+AJ142+AI142+AM142+AP142+AQ142+AS142+AT142+AU142+AV142)+1</f>
        <v>1</v>
      </c>
      <c r="C142" s="215">
        <f t="shared" si="18"/>
        <v>1</v>
      </c>
      <c r="D142" s="139"/>
      <c r="E142" s="140"/>
      <c r="F142" s="135"/>
      <c r="G142" s="136"/>
      <c r="H142" s="96"/>
      <c r="I142" s="105"/>
      <c r="J142" s="104"/>
      <c r="K142" s="75"/>
      <c r="L142" s="75"/>
      <c r="M142" s="75"/>
      <c r="N142" s="75"/>
      <c r="O142" s="97"/>
      <c r="P142" s="108"/>
      <c r="Q142" s="109"/>
      <c r="R142" s="109"/>
      <c r="S142" s="100"/>
      <c r="T142" s="106"/>
      <c r="U142" s="137"/>
      <c r="V142" s="100"/>
      <c r="W142" s="100"/>
      <c r="X142" s="100"/>
      <c r="Y142" s="110"/>
      <c r="Z142" s="110"/>
      <c r="AA142" s="100"/>
      <c r="AB142" s="109"/>
      <c r="AC142" s="109"/>
      <c r="AD142" s="108"/>
      <c r="AE142" s="109"/>
      <c r="AF142" s="109"/>
      <c r="AG142" s="108"/>
      <c r="AH142" s="111"/>
      <c r="AI142" s="100"/>
      <c r="AJ142" s="110"/>
      <c r="AK142" s="11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1:46" ht="16.3">
      <c r="A143" s="246" t="s">
        <v>5</v>
      </c>
      <c r="B143" s="274">
        <f>SUM(J143+K143+L143+M143+N143+S143+V143+W143+X143+AA143+AI143+AJ143+AI143+AM143+AP143+AQ143+AS143+AT143+AU143+AV143)+241</f>
        <v>247</v>
      </c>
      <c r="C143" s="215">
        <f t="shared" ref="C143:C144" si="19">B143</f>
        <v>247</v>
      </c>
      <c r="D143" s="133"/>
      <c r="E143" s="134"/>
      <c r="F143" s="135"/>
      <c r="G143" s="136"/>
      <c r="H143" s="96"/>
      <c r="I143" s="105"/>
      <c r="J143" s="104"/>
      <c r="K143" s="75"/>
      <c r="L143" s="75"/>
      <c r="M143" s="75"/>
      <c r="N143" s="75"/>
      <c r="O143" s="97"/>
      <c r="P143" s="108"/>
      <c r="Q143" s="109">
        <v>4</v>
      </c>
      <c r="R143" s="109"/>
      <c r="S143" s="100">
        <v>1</v>
      </c>
      <c r="T143" s="106">
        <v>3</v>
      </c>
      <c r="U143" s="137">
        <v>4</v>
      </c>
      <c r="V143" s="100">
        <v>3</v>
      </c>
      <c r="W143" s="100">
        <v>2</v>
      </c>
      <c r="X143" s="100"/>
      <c r="Y143" s="110"/>
      <c r="Z143" s="110"/>
      <c r="AA143" s="100"/>
      <c r="AB143" s="109"/>
      <c r="AC143" s="109"/>
      <c r="AD143" s="108"/>
      <c r="AE143" s="109">
        <v>0</v>
      </c>
      <c r="AF143" s="109">
        <v>3</v>
      </c>
      <c r="AG143" s="108"/>
      <c r="AH143" s="111"/>
      <c r="AI143" s="100"/>
      <c r="AJ143" s="110"/>
      <c r="AK143" s="11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1:46" ht="16.3">
      <c r="A144" s="246" t="s">
        <v>6</v>
      </c>
      <c r="B144" s="274">
        <f>SUM(J144+K144+L144+M144+N144+S144+V144+W144+X144+AA144+AI144+AJ144+AI144+AM144+AP144+AQ144+AS144+AT144+AU144+AV144)+333</f>
        <v>340</v>
      </c>
      <c r="C144" s="215">
        <f t="shared" si="19"/>
        <v>340</v>
      </c>
      <c r="D144" s="133"/>
      <c r="E144" s="134"/>
      <c r="F144" s="135"/>
      <c r="G144" s="136"/>
      <c r="H144" s="96"/>
      <c r="I144" s="105"/>
      <c r="J144" s="104"/>
      <c r="K144" s="75"/>
      <c r="L144" s="75"/>
      <c r="M144" s="75"/>
      <c r="N144" s="75"/>
      <c r="O144" s="97"/>
      <c r="P144" s="108"/>
      <c r="Q144" s="109">
        <v>6</v>
      </c>
      <c r="R144" s="109"/>
      <c r="S144" s="100">
        <v>1</v>
      </c>
      <c r="T144" s="106">
        <v>3</v>
      </c>
      <c r="U144" s="137">
        <v>7</v>
      </c>
      <c r="V144" s="100">
        <v>3</v>
      </c>
      <c r="W144" s="100">
        <v>3</v>
      </c>
      <c r="X144" s="100"/>
      <c r="Y144" s="110"/>
      <c r="Z144" s="110"/>
      <c r="AA144" s="100"/>
      <c r="AB144" s="109"/>
      <c r="AC144" s="109"/>
      <c r="AD144" s="108"/>
      <c r="AE144" s="109">
        <v>1</v>
      </c>
      <c r="AF144" s="109">
        <v>7</v>
      </c>
      <c r="AG144" s="108"/>
      <c r="AH144" s="111"/>
      <c r="AI144" s="100"/>
      <c r="AJ144" s="110"/>
      <c r="AK144" s="11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1:46" ht="16.3">
      <c r="A145" s="246" t="s">
        <v>368</v>
      </c>
      <c r="B145" s="276">
        <f>SUM(B143/B144)*100</f>
        <v>72.647058823529406</v>
      </c>
      <c r="C145" s="216">
        <f>SUM(C143/C144)*100</f>
        <v>72.647058823529406</v>
      </c>
      <c r="D145" s="133"/>
      <c r="E145" s="134"/>
      <c r="F145" s="135"/>
      <c r="G145" s="136"/>
      <c r="H145" s="96"/>
      <c r="I145" s="105"/>
      <c r="J145" s="104"/>
      <c r="K145" s="75"/>
      <c r="L145" s="75"/>
      <c r="M145" s="75"/>
      <c r="N145" s="75"/>
      <c r="O145" s="97"/>
      <c r="P145" s="108"/>
      <c r="Q145" s="109">
        <v>67</v>
      </c>
      <c r="R145" s="109"/>
      <c r="S145" s="100">
        <v>100</v>
      </c>
      <c r="T145" s="106">
        <v>100</v>
      </c>
      <c r="U145" s="137">
        <v>57</v>
      </c>
      <c r="V145" s="100">
        <v>100</v>
      </c>
      <c r="W145" s="100">
        <v>67</v>
      </c>
      <c r="X145" s="100"/>
      <c r="Y145" s="110"/>
      <c r="Z145" s="110"/>
      <c r="AA145" s="100"/>
      <c r="AB145" s="109"/>
      <c r="AC145" s="109"/>
      <c r="AD145" s="108"/>
      <c r="AE145" s="109">
        <v>0</v>
      </c>
      <c r="AF145" s="109">
        <v>43</v>
      </c>
      <c r="AG145" s="108"/>
      <c r="AH145" s="111"/>
      <c r="AI145" s="100"/>
      <c r="AJ145" s="110"/>
      <c r="AK145" s="11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1:46" ht="16.3">
      <c r="A146" s="246" t="s">
        <v>386</v>
      </c>
      <c r="B146" s="276">
        <f>SUM(J146+K146+L146+M146+N146+S146+V146+W146+X146+AA146+AI146+AJ146+AI146+AM146+AP146+AQ146+AS146+AT146+AU146+AV146)+1</f>
        <v>1</v>
      </c>
      <c r="C146" s="216">
        <f t="shared" ref="C146" si="20">B146</f>
        <v>1</v>
      </c>
      <c r="D146" s="133"/>
      <c r="E146" s="134"/>
      <c r="F146" s="135"/>
      <c r="G146" s="136"/>
      <c r="H146" s="96"/>
      <c r="I146" s="105"/>
      <c r="J146" s="104"/>
      <c r="K146" s="75"/>
      <c r="L146" s="75"/>
      <c r="M146" s="75"/>
      <c r="N146" s="75"/>
      <c r="O146" s="97"/>
      <c r="P146" s="108"/>
      <c r="Q146" s="109"/>
      <c r="R146" s="109"/>
      <c r="S146" s="100"/>
      <c r="T146" s="106"/>
      <c r="U146" s="137"/>
      <c r="V146" s="100"/>
      <c r="W146" s="100"/>
      <c r="X146" s="100"/>
      <c r="Y146" s="110"/>
      <c r="Z146" s="110"/>
      <c r="AA146" s="100"/>
      <c r="AB146" s="109"/>
      <c r="AC146" s="109"/>
      <c r="AD146" s="108"/>
      <c r="AE146" s="109"/>
      <c r="AF146" s="109"/>
      <c r="AG146" s="108"/>
      <c r="AH146" s="111"/>
      <c r="AI146" s="100"/>
      <c r="AJ146" s="110"/>
      <c r="AK146" s="11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1:46" ht="16.3">
      <c r="A147" s="83" t="s">
        <v>3</v>
      </c>
      <c r="B147" s="273">
        <f>SUM(J147+K147+L147+M147+N147+S147+V147+W147+X147+AA147+AI147+AJ147+AI147+AM147+AP147+AQ147+AS147+AT147+AU147+AV147)+23</f>
        <v>25</v>
      </c>
      <c r="C147" s="214">
        <f t="shared" ref="C147:C148" si="21">B147</f>
        <v>25</v>
      </c>
      <c r="D147" s="133"/>
      <c r="E147" s="134"/>
      <c r="F147" s="135"/>
      <c r="G147" s="136"/>
      <c r="H147" s="96"/>
      <c r="I147" s="105"/>
      <c r="J147" s="104"/>
      <c r="K147" s="75"/>
      <c r="L147" s="75">
        <v>1</v>
      </c>
      <c r="M147" s="75">
        <v>1</v>
      </c>
      <c r="N147" s="75"/>
      <c r="O147" s="97"/>
      <c r="P147" s="108"/>
      <c r="Q147" s="109"/>
      <c r="R147" s="109"/>
      <c r="S147" s="100"/>
      <c r="T147" s="106"/>
      <c r="U147" s="137"/>
      <c r="V147" s="100"/>
      <c r="W147" s="100"/>
      <c r="X147" s="100"/>
      <c r="Y147" s="110"/>
      <c r="Z147" s="110"/>
      <c r="AA147" s="100"/>
      <c r="AB147" s="109"/>
      <c r="AC147" s="109"/>
      <c r="AD147" s="108"/>
      <c r="AE147" s="109"/>
      <c r="AF147" s="109"/>
      <c r="AG147" s="108"/>
      <c r="AH147" s="111"/>
      <c r="AI147" s="100"/>
      <c r="AJ147" s="110"/>
      <c r="AK147" s="11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1:46" ht="17" thickBot="1">
      <c r="A148" s="85" t="s">
        <v>4</v>
      </c>
      <c r="B148" s="275">
        <f>SUM(J148+K148+L148+M148+N148+S148+V148+W148+X148+AA148+AI148+AJ148+AI148+AM148+AP148+AQ148+AS148+AT148+AU148+AV148)+694</f>
        <v>716</v>
      </c>
      <c r="C148" s="217">
        <f t="shared" si="21"/>
        <v>716</v>
      </c>
      <c r="D148" s="144"/>
      <c r="E148" s="145"/>
      <c r="F148" s="146"/>
      <c r="G148" s="147"/>
      <c r="H148" s="114"/>
      <c r="I148" s="127"/>
      <c r="J148" s="113"/>
      <c r="K148" s="112"/>
      <c r="L148" s="112">
        <v>5</v>
      </c>
      <c r="M148" s="112">
        <v>5</v>
      </c>
      <c r="N148" s="112"/>
      <c r="O148" s="115"/>
      <c r="P148" s="108"/>
      <c r="Q148" s="109">
        <v>9</v>
      </c>
      <c r="R148" s="118"/>
      <c r="S148" s="112">
        <v>2</v>
      </c>
      <c r="T148" s="119">
        <v>6</v>
      </c>
      <c r="U148" s="148">
        <v>10</v>
      </c>
      <c r="V148" s="100">
        <v>6</v>
      </c>
      <c r="W148" s="100">
        <v>4</v>
      </c>
      <c r="X148" s="116"/>
      <c r="Y148" s="110"/>
      <c r="Z148" s="110"/>
      <c r="AA148" s="100"/>
      <c r="AB148" s="109"/>
      <c r="AC148" s="109"/>
      <c r="AD148" s="108"/>
      <c r="AE148" s="109">
        <v>0</v>
      </c>
      <c r="AF148" s="109">
        <v>6</v>
      </c>
      <c r="AG148" s="108"/>
      <c r="AH148" s="111"/>
      <c r="AI148" s="100"/>
      <c r="AJ148" s="110"/>
      <c r="AK148" s="11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1:46" ht="21.1">
      <c r="A149" s="82" t="s">
        <v>79</v>
      </c>
      <c r="B149" s="273"/>
      <c r="C149" s="214"/>
      <c r="D149" s="133"/>
      <c r="E149" s="134"/>
      <c r="F149" s="135"/>
      <c r="G149" s="136"/>
      <c r="H149" s="96">
        <v>10</v>
      </c>
      <c r="I149" s="105"/>
      <c r="J149" s="104"/>
      <c r="K149" s="75"/>
      <c r="L149" s="75"/>
      <c r="M149" s="75"/>
      <c r="N149" s="75"/>
      <c r="O149" s="96">
        <v>10</v>
      </c>
      <c r="P149" s="98"/>
      <c r="Q149" s="99" t="s">
        <v>375</v>
      </c>
      <c r="R149" s="109"/>
      <c r="S149" s="100"/>
      <c r="T149" s="106"/>
      <c r="U149" s="137"/>
      <c r="V149" s="102"/>
      <c r="W149" s="102"/>
      <c r="X149" s="100"/>
      <c r="Y149" s="101"/>
      <c r="Z149" s="101">
        <v>10</v>
      </c>
      <c r="AA149" s="102"/>
      <c r="AB149" s="99">
        <v>10</v>
      </c>
      <c r="AC149" s="99">
        <v>10</v>
      </c>
      <c r="AD149" s="98"/>
      <c r="AE149" s="99" t="s">
        <v>375</v>
      </c>
      <c r="AF149" s="99" t="s">
        <v>393</v>
      </c>
      <c r="AG149" s="98"/>
      <c r="AH149" s="103"/>
      <c r="AI149" s="102"/>
      <c r="AJ149" s="101"/>
      <c r="AK149" s="101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1:46" ht="16.3">
      <c r="A150" s="246" t="s">
        <v>1</v>
      </c>
      <c r="B150" s="274">
        <f>SUM(J150+K150+L150+M150+N150+S150+V150+W150+X150+AA150+AI150+AJ150+AI150+AM150+AP150+AQ150+AS150+AT150+AU150+AV150+AN150)+1</f>
        <v>1</v>
      </c>
      <c r="C150" s="215">
        <f>B150</f>
        <v>1</v>
      </c>
      <c r="D150" s="139"/>
      <c r="E150" s="140"/>
      <c r="F150" s="135"/>
      <c r="G150" s="136"/>
      <c r="H150" s="96">
        <v>1</v>
      </c>
      <c r="I150" s="105"/>
      <c r="J150" s="104"/>
      <c r="K150" s="75"/>
      <c r="L150" s="75"/>
      <c r="M150" s="75"/>
      <c r="N150" s="75"/>
      <c r="O150" s="96">
        <v>1</v>
      </c>
      <c r="P150" s="108"/>
      <c r="Q150" s="109"/>
      <c r="R150" s="109"/>
      <c r="S150" s="100"/>
      <c r="T150" s="106"/>
      <c r="U150" s="137"/>
      <c r="V150" s="100"/>
      <c r="W150" s="100"/>
      <c r="X150" s="100"/>
      <c r="Y150" s="110"/>
      <c r="Z150" s="110">
        <v>1</v>
      </c>
      <c r="AA150" s="100"/>
      <c r="AB150" s="109">
        <v>1</v>
      </c>
      <c r="AC150" s="109">
        <v>1</v>
      </c>
      <c r="AD150" s="108"/>
      <c r="AE150" s="109"/>
      <c r="AF150" s="109"/>
      <c r="AG150" s="108"/>
      <c r="AH150" s="111"/>
      <c r="AI150" s="100"/>
      <c r="AJ150" s="110"/>
      <c r="AK150" s="11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1:46" ht="16.3">
      <c r="A151" s="246" t="s">
        <v>2</v>
      </c>
      <c r="B151" s="274">
        <f>SUM(J151+K151+L151+M151+N151+S151+V151+W151+X151+AA151+AI151+AJ151+AI151+AM151+AP151+AQ151+AS151+AT151+AU151+AV151)+20</f>
        <v>20</v>
      </c>
      <c r="C151" s="215">
        <f t="shared" ref="C151:C155" si="22">B151</f>
        <v>20</v>
      </c>
      <c r="D151" s="139"/>
      <c r="E151" s="140"/>
      <c r="F151" s="135"/>
      <c r="G151" s="136"/>
      <c r="H151" s="96"/>
      <c r="I151" s="105"/>
      <c r="J151" s="104"/>
      <c r="K151" s="75"/>
      <c r="L151" s="75"/>
      <c r="M151" s="75"/>
      <c r="N151" s="75"/>
      <c r="O151" s="97"/>
      <c r="P151" s="108"/>
      <c r="Q151" s="109">
        <v>1</v>
      </c>
      <c r="R151" s="109"/>
      <c r="S151" s="100"/>
      <c r="T151" s="106"/>
      <c r="U151" s="137"/>
      <c r="V151" s="100"/>
      <c r="W151" s="100"/>
      <c r="X151" s="100"/>
      <c r="Y151" s="110"/>
      <c r="Z151" s="110"/>
      <c r="AA151" s="100"/>
      <c r="AB151" s="109"/>
      <c r="AC151" s="109"/>
      <c r="AD151" s="108"/>
      <c r="AE151" s="109">
        <v>1</v>
      </c>
      <c r="AF151" s="109"/>
      <c r="AG151" s="108"/>
      <c r="AH151" s="111"/>
      <c r="AI151" s="100"/>
      <c r="AJ151" s="110"/>
      <c r="AK151" s="11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1:46" ht="16.3">
      <c r="A152" s="83" t="s">
        <v>363</v>
      </c>
      <c r="B152" s="273">
        <f>SUM(B150+B151)</f>
        <v>21</v>
      </c>
      <c r="C152" s="214">
        <f t="shared" si="22"/>
        <v>21</v>
      </c>
      <c r="D152" s="133"/>
      <c r="E152" s="134"/>
      <c r="F152" s="135"/>
      <c r="G152" s="136"/>
      <c r="H152" s="96"/>
      <c r="I152" s="105"/>
      <c r="J152" s="104"/>
      <c r="K152" s="75"/>
      <c r="L152" s="75"/>
      <c r="M152" s="75"/>
      <c r="N152" s="75"/>
      <c r="O152" s="97"/>
      <c r="P152" s="108"/>
      <c r="Q152" s="109"/>
      <c r="R152" s="109"/>
      <c r="S152" s="100"/>
      <c r="T152" s="106"/>
      <c r="U152" s="137"/>
      <c r="V152" s="100"/>
      <c r="W152" s="100"/>
      <c r="X152" s="100"/>
      <c r="Y152" s="110"/>
      <c r="Z152" s="110"/>
      <c r="AA152" s="100"/>
      <c r="AB152" s="109"/>
      <c r="AC152" s="109"/>
      <c r="AD152" s="108"/>
      <c r="AE152" s="109"/>
      <c r="AF152" s="109"/>
      <c r="AG152" s="108"/>
      <c r="AH152" s="111"/>
      <c r="AI152" s="100"/>
      <c r="AJ152" s="110"/>
      <c r="AK152" s="11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1:46" ht="16.3">
      <c r="A153" s="246" t="s">
        <v>366</v>
      </c>
      <c r="B153" s="274">
        <f t="shared" ref="B153" si="23">SUM(J153+K153+L153+M153+N153+S153+V153+W153+X153+AA153+AI153+AJ153+AI153+AM153+AP153+AQ153+AS153+AT153+AU153+AV153+AN153)+69</f>
        <v>69</v>
      </c>
      <c r="C153" s="215">
        <f t="shared" si="22"/>
        <v>69</v>
      </c>
      <c r="D153" s="133"/>
      <c r="E153" s="134"/>
      <c r="F153" s="135"/>
      <c r="G153" s="136"/>
      <c r="H153" s="96"/>
      <c r="I153" s="105"/>
      <c r="J153" s="104"/>
      <c r="K153" s="75"/>
      <c r="L153" s="75"/>
      <c r="M153" s="75"/>
      <c r="N153" s="75"/>
      <c r="O153" s="97"/>
      <c r="P153" s="108"/>
      <c r="Q153" s="109"/>
      <c r="R153" s="109"/>
      <c r="S153" s="100"/>
      <c r="T153" s="106"/>
      <c r="U153" s="137"/>
      <c r="V153" s="100"/>
      <c r="W153" s="100"/>
      <c r="X153" s="100"/>
      <c r="Y153" s="110"/>
      <c r="Z153" s="110"/>
      <c r="AA153" s="100"/>
      <c r="AB153" s="109"/>
      <c r="AC153" s="109"/>
      <c r="AD153" s="108"/>
      <c r="AE153" s="109"/>
      <c r="AF153" s="109"/>
      <c r="AG153" s="108"/>
      <c r="AH153" s="111"/>
      <c r="AI153" s="100"/>
      <c r="AJ153" s="110"/>
      <c r="AK153" s="11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1:46" ht="16.3">
      <c r="A154" s="246" t="s">
        <v>5</v>
      </c>
      <c r="B154" s="274">
        <f>SUM(J154+K154+L154+M154+N154+S154+V154+W154+X154+AA154+AI154+AJ154+AI154+AM154+AP154+AQ154+AS154+AT154+AU154+AV154+AN154)+3</f>
        <v>3</v>
      </c>
      <c r="C154" s="215">
        <f t="shared" si="22"/>
        <v>3</v>
      </c>
      <c r="D154" s="133"/>
      <c r="E154" s="134"/>
      <c r="F154" s="135"/>
      <c r="G154" s="136"/>
      <c r="H154" s="96">
        <v>2</v>
      </c>
      <c r="I154" s="105"/>
      <c r="J154" s="104"/>
      <c r="K154" s="75"/>
      <c r="L154" s="75"/>
      <c r="M154" s="75"/>
      <c r="N154" s="75"/>
      <c r="O154" s="97">
        <v>4</v>
      </c>
      <c r="P154" s="108"/>
      <c r="Q154" s="109"/>
      <c r="R154" s="109"/>
      <c r="S154" s="100"/>
      <c r="T154" s="106"/>
      <c r="U154" s="137"/>
      <c r="V154" s="100"/>
      <c r="W154" s="100"/>
      <c r="X154" s="100"/>
      <c r="Y154" s="110"/>
      <c r="Z154" s="110">
        <v>1</v>
      </c>
      <c r="AA154" s="100"/>
      <c r="AB154" s="109">
        <v>2</v>
      </c>
      <c r="AC154" s="109">
        <v>2</v>
      </c>
      <c r="AD154" s="108"/>
      <c r="AE154" s="109">
        <v>1</v>
      </c>
      <c r="AF154" s="109"/>
      <c r="AG154" s="108"/>
      <c r="AH154" s="111"/>
      <c r="AI154" s="100"/>
      <c r="AJ154" s="110"/>
      <c r="AK154" s="11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1:46" ht="16.3">
      <c r="A155" s="246" t="s">
        <v>6</v>
      </c>
      <c r="B155" s="274">
        <f>SUM(J155+K155+L155+M155+N155+S155+V155+W155+X155+AA155+AI155+AJ155+AI155+AM155+AP155+AQ155+AS155+AT155+AU155+AV155+AN155)+11</f>
        <v>11</v>
      </c>
      <c r="C155" s="215">
        <f t="shared" si="22"/>
        <v>11</v>
      </c>
      <c r="D155" s="133"/>
      <c r="E155" s="134"/>
      <c r="F155" s="135"/>
      <c r="G155" s="136"/>
      <c r="H155" s="96">
        <v>5</v>
      </c>
      <c r="I155" s="105"/>
      <c r="J155" s="104"/>
      <c r="K155" s="75"/>
      <c r="L155" s="75"/>
      <c r="M155" s="75"/>
      <c r="N155" s="75"/>
      <c r="O155" s="97">
        <v>5</v>
      </c>
      <c r="P155" s="108"/>
      <c r="Q155" s="109"/>
      <c r="R155" s="109"/>
      <c r="S155" s="100"/>
      <c r="T155" s="106"/>
      <c r="U155" s="137"/>
      <c r="V155" s="100"/>
      <c r="W155" s="100"/>
      <c r="X155" s="100"/>
      <c r="Y155" s="110"/>
      <c r="Z155" s="110">
        <v>1</v>
      </c>
      <c r="AA155" s="100"/>
      <c r="AB155" s="109">
        <v>2</v>
      </c>
      <c r="AC155" s="109">
        <v>3</v>
      </c>
      <c r="AD155" s="108"/>
      <c r="AE155" s="109">
        <v>2</v>
      </c>
      <c r="AF155" s="109"/>
      <c r="AG155" s="108"/>
      <c r="AH155" s="111"/>
      <c r="AI155" s="100"/>
      <c r="AJ155" s="110"/>
      <c r="AK155" s="11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1:46" ht="16.3">
      <c r="A156" s="246" t="s">
        <v>368</v>
      </c>
      <c r="B156" s="276">
        <f>SUM(B154/B155)*100</f>
        <v>27.27272727272727</v>
      </c>
      <c r="C156" s="216">
        <f>SUM(C154/C155)*100</f>
        <v>27.27272727272727</v>
      </c>
      <c r="D156" s="133"/>
      <c r="E156" s="134"/>
      <c r="F156" s="135"/>
      <c r="G156" s="136"/>
      <c r="H156" s="96">
        <v>40</v>
      </c>
      <c r="I156" s="105"/>
      <c r="J156" s="104"/>
      <c r="K156" s="75"/>
      <c r="L156" s="75"/>
      <c r="M156" s="75"/>
      <c r="N156" s="75"/>
      <c r="O156" s="97">
        <v>80</v>
      </c>
      <c r="P156" s="108"/>
      <c r="Q156" s="109"/>
      <c r="R156" s="109"/>
      <c r="S156" s="100"/>
      <c r="T156" s="106"/>
      <c r="U156" s="137"/>
      <c r="V156" s="100"/>
      <c r="W156" s="100"/>
      <c r="X156" s="100"/>
      <c r="Y156" s="110"/>
      <c r="Z156" s="110">
        <v>100</v>
      </c>
      <c r="AA156" s="100"/>
      <c r="AB156" s="109">
        <v>100</v>
      </c>
      <c r="AC156" s="109">
        <v>67</v>
      </c>
      <c r="AD156" s="108"/>
      <c r="AE156" s="109">
        <v>50</v>
      </c>
      <c r="AF156" s="109"/>
      <c r="AG156" s="108"/>
      <c r="AH156" s="111"/>
      <c r="AI156" s="100"/>
      <c r="AJ156" s="110"/>
      <c r="AK156" s="11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1:46" ht="16.3">
      <c r="A157" s="83" t="s">
        <v>3</v>
      </c>
      <c r="B157" s="273">
        <f>SUM(J157+K157+L157+M157+N157+S157+V157+W157+X157+AA157+AI157+AJ157+AI157+AM157+AP157+AQ157+AS157+AT157+AU157+AV157+AN157)</f>
        <v>0</v>
      </c>
      <c r="C157" s="214">
        <f t="shared" ref="C157:C158" si="24">B157</f>
        <v>0</v>
      </c>
      <c r="D157" s="133"/>
      <c r="E157" s="134"/>
      <c r="F157" s="135"/>
      <c r="G157" s="136"/>
      <c r="H157" s="96"/>
      <c r="I157" s="105"/>
      <c r="J157" s="104"/>
      <c r="K157" s="75"/>
      <c r="L157" s="75"/>
      <c r="M157" s="75"/>
      <c r="N157" s="75"/>
      <c r="O157" s="97"/>
      <c r="P157" s="108"/>
      <c r="Q157" s="109"/>
      <c r="R157" s="109"/>
      <c r="S157" s="100"/>
      <c r="T157" s="106"/>
      <c r="U157" s="137"/>
      <c r="V157" s="100"/>
      <c r="W157" s="100"/>
      <c r="X157" s="100"/>
      <c r="Y157" s="110"/>
      <c r="Z157" s="110">
        <v>1</v>
      </c>
      <c r="AA157" s="100"/>
      <c r="AB157" s="109"/>
      <c r="AC157" s="109"/>
      <c r="AD157" s="108"/>
      <c r="AE157" s="109"/>
      <c r="AF157" s="109"/>
      <c r="AG157" s="108"/>
      <c r="AH157" s="111"/>
      <c r="AI157" s="100"/>
      <c r="AJ157" s="110"/>
      <c r="AK157" s="11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1:46" ht="17" thickBot="1">
      <c r="A158" s="85" t="s">
        <v>4</v>
      </c>
      <c r="B158" s="275">
        <f>SUM(J158+K158+L158+M158+N158+S158+V158+W158+X158+AA158+AI158+AJ158+AI158+AM158+AP158+AQ158+AS158+AT158+AU158+AV158+AN158)+8</f>
        <v>8</v>
      </c>
      <c r="C158" s="217">
        <f t="shared" si="24"/>
        <v>8</v>
      </c>
      <c r="D158" s="144"/>
      <c r="E158" s="145"/>
      <c r="F158" s="146"/>
      <c r="G158" s="147"/>
      <c r="H158" s="114">
        <v>4</v>
      </c>
      <c r="I158" s="127"/>
      <c r="J158" s="113"/>
      <c r="K158" s="112"/>
      <c r="L158" s="112"/>
      <c r="M158" s="112"/>
      <c r="N158" s="112"/>
      <c r="O158" s="115">
        <v>8</v>
      </c>
      <c r="P158" s="117"/>
      <c r="Q158" s="118"/>
      <c r="R158" s="118"/>
      <c r="S158" s="112"/>
      <c r="T158" s="119"/>
      <c r="U158" s="148"/>
      <c r="V158" s="116"/>
      <c r="W158" s="116"/>
      <c r="X158" s="116"/>
      <c r="Y158" s="120"/>
      <c r="Z158" s="120">
        <v>7</v>
      </c>
      <c r="AA158" s="116"/>
      <c r="AB158" s="118">
        <v>4</v>
      </c>
      <c r="AC158" s="118">
        <v>4</v>
      </c>
      <c r="AD158" s="117"/>
      <c r="AE158" s="118">
        <v>2</v>
      </c>
      <c r="AF158" s="118"/>
      <c r="AG158" s="117"/>
      <c r="AH158" s="121"/>
      <c r="AI158" s="116"/>
      <c r="AJ158" s="120"/>
      <c r="AK158" s="120"/>
      <c r="AL158" s="116"/>
      <c r="AM158" s="116"/>
      <c r="AN158" s="116"/>
      <c r="AO158" s="116"/>
      <c r="AP158" s="116"/>
      <c r="AQ158" s="116"/>
      <c r="AR158" s="116"/>
      <c r="AS158" s="116"/>
      <c r="AT158" s="116"/>
    </row>
    <row r="159" spans="1:46" ht="21.1">
      <c r="A159" s="82" t="s">
        <v>77</v>
      </c>
      <c r="B159" s="278"/>
      <c r="C159" s="218"/>
      <c r="D159" s="153"/>
      <c r="E159" s="154"/>
      <c r="F159" s="155"/>
      <c r="G159" s="156"/>
      <c r="H159" s="96"/>
      <c r="I159" s="105"/>
      <c r="J159" s="104">
        <v>9</v>
      </c>
      <c r="K159" s="75" t="s">
        <v>378</v>
      </c>
      <c r="L159" s="75" t="s">
        <v>378</v>
      </c>
      <c r="M159" s="75" t="s">
        <v>378</v>
      </c>
      <c r="N159" s="75" t="s">
        <v>378</v>
      </c>
      <c r="O159" s="97"/>
      <c r="P159" s="108"/>
      <c r="Q159" s="109" t="s">
        <v>378</v>
      </c>
      <c r="R159" s="109"/>
      <c r="S159" s="100" t="s">
        <v>378</v>
      </c>
      <c r="T159" s="106" t="s">
        <v>375</v>
      </c>
      <c r="U159" s="137" t="s">
        <v>375</v>
      </c>
      <c r="V159" s="100" t="s">
        <v>375</v>
      </c>
      <c r="W159" s="100" t="s">
        <v>375</v>
      </c>
      <c r="X159" s="100" t="s">
        <v>375</v>
      </c>
      <c r="Y159" s="110" t="s">
        <v>378</v>
      </c>
      <c r="Z159" s="110" t="s">
        <v>378</v>
      </c>
      <c r="AA159" s="100" t="s">
        <v>375</v>
      </c>
      <c r="AB159" s="109"/>
      <c r="AC159" s="109" t="s">
        <v>993</v>
      </c>
      <c r="AD159" s="108"/>
      <c r="AE159" s="109" t="s">
        <v>375</v>
      </c>
      <c r="AF159" s="109">
        <v>9</v>
      </c>
      <c r="AG159" s="108"/>
      <c r="AH159" s="111"/>
      <c r="AI159" s="100"/>
      <c r="AJ159" s="110"/>
      <c r="AK159" s="11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1:46" ht="16.3">
      <c r="A160" s="246" t="s">
        <v>1</v>
      </c>
      <c r="B160" s="274">
        <f>SUM(J160+K160+L160+M160+N160+S160+V160+W160+X160+AA160+AI160+AJ160+AI160+AM160+AP160+AQ160+AS160+AT160+AU160+AV160+AN160)+53</f>
        <v>59</v>
      </c>
      <c r="C160" s="215">
        <f>B160</f>
        <v>59</v>
      </c>
      <c r="D160" s="139"/>
      <c r="E160" s="140"/>
      <c r="F160" s="135"/>
      <c r="G160" s="136"/>
      <c r="H160" s="96"/>
      <c r="I160" s="105"/>
      <c r="J160" s="104">
        <v>1</v>
      </c>
      <c r="K160" s="75">
        <v>1</v>
      </c>
      <c r="L160" s="75">
        <v>1</v>
      </c>
      <c r="M160" s="75">
        <v>1</v>
      </c>
      <c r="N160" s="75">
        <v>1</v>
      </c>
      <c r="O160" s="97"/>
      <c r="P160" s="108"/>
      <c r="Q160" s="109">
        <v>1</v>
      </c>
      <c r="R160" s="109"/>
      <c r="S160" s="100">
        <v>1</v>
      </c>
      <c r="T160" s="106"/>
      <c r="U160" s="137"/>
      <c r="V160" s="100"/>
      <c r="W160" s="100"/>
      <c r="X160" s="100"/>
      <c r="Y160" s="110">
        <v>1</v>
      </c>
      <c r="Z160" s="110">
        <v>1</v>
      </c>
      <c r="AA160" s="100"/>
      <c r="AB160" s="109"/>
      <c r="AC160" s="109"/>
      <c r="AD160" s="108"/>
      <c r="AE160" s="109"/>
      <c r="AF160" s="109">
        <v>1</v>
      </c>
      <c r="AG160" s="108"/>
      <c r="AH160" s="111"/>
      <c r="AI160" s="100"/>
      <c r="AJ160" s="110"/>
      <c r="AK160" s="11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1:46" ht="16.3">
      <c r="A161" s="246" t="s">
        <v>2</v>
      </c>
      <c r="B161" s="274">
        <f>SUM(J161+K161+L161+M161+N161+S161+V161+W161+X161+AA161+AI161+AJ161+AI161+AM161+AP161+AQ161+AS161+AT161+AU161+AV161)+23</f>
        <v>27</v>
      </c>
      <c r="C161" s="215">
        <f t="shared" ref="C161:C165" si="25">B161</f>
        <v>27</v>
      </c>
      <c r="D161" s="139"/>
      <c r="E161" s="140"/>
      <c r="F161" s="135"/>
      <c r="G161" s="136"/>
      <c r="H161" s="96"/>
      <c r="I161" s="105"/>
      <c r="J161" s="104"/>
      <c r="K161" s="75"/>
      <c r="L161" s="75"/>
      <c r="M161" s="75"/>
      <c r="N161" s="75"/>
      <c r="O161" s="97"/>
      <c r="P161" s="108"/>
      <c r="Q161" s="109"/>
      <c r="R161" s="109"/>
      <c r="S161" s="100"/>
      <c r="T161" s="106">
        <v>1</v>
      </c>
      <c r="U161" s="137">
        <v>1</v>
      </c>
      <c r="V161" s="100">
        <v>1</v>
      </c>
      <c r="W161" s="100">
        <v>1</v>
      </c>
      <c r="X161" s="100">
        <v>1</v>
      </c>
      <c r="Y161" s="110"/>
      <c r="Z161" s="110"/>
      <c r="AA161" s="100">
        <v>1</v>
      </c>
      <c r="AB161" s="109"/>
      <c r="AC161" s="109"/>
      <c r="AD161" s="108"/>
      <c r="AE161" s="109">
        <v>1</v>
      </c>
      <c r="AF161" s="109"/>
      <c r="AG161" s="108"/>
      <c r="AH161" s="111"/>
      <c r="AI161" s="100"/>
      <c r="AJ161" s="110"/>
      <c r="AK161" s="11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1:46" ht="16.3">
      <c r="A162" s="83" t="s">
        <v>363</v>
      </c>
      <c r="B162" s="273">
        <f>SUM(B160+B161)</f>
        <v>86</v>
      </c>
      <c r="C162" s="214">
        <f t="shared" si="25"/>
        <v>86</v>
      </c>
      <c r="D162" s="139"/>
      <c r="E162" s="140"/>
      <c r="F162" s="135"/>
      <c r="G162" s="136"/>
      <c r="H162" s="96"/>
      <c r="I162" s="105"/>
      <c r="J162" s="104"/>
      <c r="K162" s="75"/>
      <c r="L162" s="75"/>
      <c r="M162" s="75"/>
      <c r="N162" s="75"/>
      <c r="O162" s="97"/>
      <c r="P162" s="108"/>
      <c r="Q162" s="109"/>
      <c r="R162" s="109"/>
      <c r="S162" s="100"/>
      <c r="T162" s="106"/>
      <c r="U162" s="137"/>
      <c r="V162" s="100"/>
      <c r="W162" s="100"/>
      <c r="X162" s="100"/>
      <c r="Y162" s="110"/>
      <c r="Z162" s="110"/>
      <c r="AA162" s="100"/>
      <c r="AB162" s="109"/>
      <c r="AC162" s="109"/>
      <c r="AD162" s="108"/>
      <c r="AE162" s="109"/>
      <c r="AF162" s="109"/>
      <c r="AG162" s="108"/>
      <c r="AH162" s="111"/>
      <c r="AI162" s="100"/>
      <c r="AJ162" s="110"/>
      <c r="AK162" s="11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1:46" ht="16.3">
      <c r="A163" s="246" t="s">
        <v>362</v>
      </c>
      <c r="B163" s="274">
        <f>SUM(J163+K163+L163+M163+N163+S163+V163+W163+X163+AA163+AI163+AJ163+AI163+AM163+AP163+AQ163+AS163+AT163+AU163+AV163)+1</f>
        <v>1</v>
      </c>
      <c r="C163" s="215">
        <f t="shared" si="25"/>
        <v>1</v>
      </c>
      <c r="D163" s="139"/>
      <c r="E163" s="140"/>
      <c r="F163" s="135"/>
      <c r="G163" s="136"/>
      <c r="H163" s="96"/>
      <c r="I163" s="105"/>
      <c r="J163" s="104"/>
      <c r="K163" s="75"/>
      <c r="L163" s="75"/>
      <c r="M163" s="75"/>
      <c r="N163" s="75"/>
      <c r="O163" s="97"/>
      <c r="P163" s="108"/>
      <c r="Q163" s="109"/>
      <c r="R163" s="109"/>
      <c r="S163" s="100"/>
      <c r="T163" s="106"/>
      <c r="U163" s="137"/>
      <c r="V163" s="100"/>
      <c r="W163" s="100"/>
      <c r="X163" s="100"/>
      <c r="Y163" s="110"/>
      <c r="Z163" s="110"/>
      <c r="AA163" s="100"/>
      <c r="AB163" s="109"/>
      <c r="AC163" s="109"/>
      <c r="AD163" s="108"/>
      <c r="AE163" s="109"/>
      <c r="AF163" s="109"/>
      <c r="AG163" s="108"/>
      <c r="AH163" s="111"/>
      <c r="AI163" s="100"/>
      <c r="AJ163" s="110"/>
      <c r="AK163" s="11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1:46" ht="16.3">
      <c r="A164" s="83" t="s">
        <v>3</v>
      </c>
      <c r="B164" s="273">
        <f>SUM(J164+K164+L164+M164+N164+S164+V164+W164+X164+AA164+AI164+AJ164+AI164+AM164+AP164+AQ164+AS164+AT164+AU164+AV164)+9</f>
        <v>9</v>
      </c>
      <c r="C164" s="214">
        <f t="shared" si="25"/>
        <v>9</v>
      </c>
      <c r="D164" s="133"/>
      <c r="E164" s="134"/>
      <c r="F164" s="135"/>
      <c r="G164" s="136"/>
      <c r="H164" s="96"/>
      <c r="I164" s="105"/>
      <c r="J164" s="104"/>
      <c r="K164" s="75"/>
      <c r="L164" s="75"/>
      <c r="M164" s="75"/>
      <c r="N164" s="75"/>
      <c r="O164" s="97"/>
      <c r="P164" s="108"/>
      <c r="Q164" s="109"/>
      <c r="R164" s="109"/>
      <c r="S164" s="100"/>
      <c r="T164" s="106"/>
      <c r="U164" s="137"/>
      <c r="V164" s="100"/>
      <c r="W164" s="100"/>
      <c r="X164" s="100"/>
      <c r="Y164" s="110"/>
      <c r="Z164" s="110"/>
      <c r="AA164" s="100"/>
      <c r="AB164" s="109"/>
      <c r="AC164" s="109"/>
      <c r="AD164" s="108"/>
      <c r="AE164" s="109"/>
      <c r="AF164" s="109"/>
      <c r="AG164" s="108"/>
      <c r="AH164" s="111"/>
      <c r="AI164" s="100"/>
      <c r="AJ164" s="110"/>
      <c r="AK164" s="11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1:46" ht="17" thickBot="1">
      <c r="A165" s="85" t="s">
        <v>4</v>
      </c>
      <c r="B165" s="275">
        <f>SUM(J165+K165+L165+M165+N165+S165+V165+W165+X165+AA165+AI165+AJ165+AI165+AM165+AP165+AQ165+AS165+AT165+AU165+AV165)+45</f>
        <v>45</v>
      </c>
      <c r="C165" s="217">
        <f t="shared" si="25"/>
        <v>45</v>
      </c>
      <c r="D165" s="144"/>
      <c r="E165" s="145"/>
      <c r="F165" s="146"/>
      <c r="G165" s="147"/>
      <c r="H165" s="114"/>
      <c r="I165" s="127"/>
      <c r="J165" s="113"/>
      <c r="K165" s="112"/>
      <c r="L165" s="112"/>
      <c r="M165" s="112"/>
      <c r="N165" s="112"/>
      <c r="O165" s="115"/>
      <c r="P165" s="117"/>
      <c r="Q165" s="118"/>
      <c r="R165" s="118"/>
      <c r="S165" s="112"/>
      <c r="T165" s="119"/>
      <c r="U165" s="148"/>
      <c r="V165" s="116"/>
      <c r="W165" s="116"/>
      <c r="X165" s="116"/>
      <c r="Y165" s="120"/>
      <c r="Z165" s="120"/>
      <c r="AA165" s="116"/>
      <c r="AB165" s="118"/>
      <c r="AC165" s="118"/>
      <c r="AD165" s="117"/>
      <c r="AE165" s="118"/>
      <c r="AF165" s="118"/>
      <c r="AG165" s="117"/>
      <c r="AH165" s="121"/>
      <c r="AI165" s="116"/>
      <c r="AJ165" s="120"/>
      <c r="AK165" s="120"/>
      <c r="AL165" s="116"/>
      <c r="AM165" s="116"/>
      <c r="AN165" s="116"/>
      <c r="AO165" s="116"/>
      <c r="AP165" s="116"/>
      <c r="AQ165" s="116"/>
      <c r="AR165" s="116"/>
      <c r="AS165" s="116"/>
      <c r="AT165" s="116"/>
    </row>
    <row r="166" spans="1:46" ht="21.1">
      <c r="A166" s="82" t="s">
        <v>150</v>
      </c>
      <c r="B166" s="273"/>
      <c r="C166" s="214"/>
      <c r="D166" s="133"/>
      <c r="E166" s="134"/>
      <c r="F166" s="135"/>
      <c r="G166" s="136"/>
      <c r="H166" s="96" t="s">
        <v>339</v>
      </c>
      <c r="I166" s="105"/>
      <c r="J166" s="104" t="s">
        <v>339</v>
      </c>
      <c r="K166" s="75" t="s">
        <v>339</v>
      </c>
      <c r="L166" s="75" t="s">
        <v>375</v>
      </c>
      <c r="M166" s="75" t="s">
        <v>375</v>
      </c>
      <c r="N166" s="75" t="s">
        <v>375</v>
      </c>
      <c r="O166" s="97" t="s">
        <v>775</v>
      </c>
      <c r="P166" s="98"/>
      <c r="Q166" s="99" t="s">
        <v>775</v>
      </c>
      <c r="R166" s="109" t="s">
        <v>775</v>
      </c>
      <c r="S166" s="100" t="s">
        <v>375</v>
      </c>
      <c r="T166" s="106" t="s">
        <v>378</v>
      </c>
      <c r="U166" s="137" t="s">
        <v>378</v>
      </c>
      <c r="V166" s="102" t="s">
        <v>378</v>
      </c>
      <c r="W166" s="102" t="s">
        <v>907</v>
      </c>
      <c r="X166" s="100" t="s">
        <v>919</v>
      </c>
      <c r="Y166" s="101" t="s">
        <v>339</v>
      </c>
      <c r="Z166" s="101" t="s">
        <v>339</v>
      </c>
      <c r="AA166" s="102" t="s">
        <v>378</v>
      </c>
      <c r="AB166" s="99" t="s">
        <v>816</v>
      </c>
      <c r="AC166" s="99" t="s">
        <v>816</v>
      </c>
      <c r="AD166" s="98"/>
      <c r="AE166" s="99" t="s">
        <v>775</v>
      </c>
      <c r="AF166" s="99" t="s">
        <v>775</v>
      </c>
      <c r="AG166" s="98"/>
      <c r="AH166" s="103"/>
      <c r="AI166" s="102"/>
      <c r="AJ166" s="101"/>
      <c r="AK166" s="101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1:46" ht="16.3">
      <c r="A167" s="246" t="s">
        <v>1</v>
      </c>
      <c r="B167" s="274">
        <f>SUM(J167+K167+L167+M167+N167+S167+V167+W167+X167+AA167+AI167+AJ167+AI167+AM167+AP167+AQ167+AS167+AT167+AU167+AV167+AN167)+18</f>
        <v>22</v>
      </c>
      <c r="C167" s="215">
        <f>B167</f>
        <v>22</v>
      </c>
      <c r="D167" s="139"/>
      <c r="E167" s="140"/>
      <c r="F167" s="135"/>
      <c r="G167" s="136"/>
      <c r="H167" s="96"/>
      <c r="I167" s="105"/>
      <c r="J167" s="104"/>
      <c r="K167" s="75"/>
      <c r="L167" s="75"/>
      <c r="M167" s="75"/>
      <c r="N167" s="75"/>
      <c r="O167" s="96"/>
      <c r="P167" s="105"/>
      <c r="Q167" s="96"/>
      <c r="R167" s="96"/>
      <c r="S167" s="75"/>
      <c r="T167" s="106">
        <v>1</v>
      </c>
      <c r="U167" s="106">
        <v>1</v>
      </c>
      <c r="V167" s="75">
        <v>1</v>
      </c>
      <c r="W167" s="75">
        <v>1</v>
      </c>
      <c r="X167" s="75">
        <v>1</v>
      </c>
      <c r="Y167" s="106"/>
      <c r="Z167" s="106"/>
      <c r="AA167" s="75">
        <v>1</v>
      </c>
      <c r="AB167" s="96"/>
      <c r="AC167" s="96"/>
      <c r="AD167" s="105"/>
      <c r="AE167" s="96"/>
      <c r="AF167" s="96"/>
      <c r="AG167" s="105"/>
      <c r="AH167" s="107"/>
      <c r="AI167" s="75"/>
      <c r="AJ167" s="106"/>
      <c r="AK167" s="106"/>
      <c r="AL167" s="75"/>
      <c r="AM167" s="75"/>
      <c r="AN167" s="75"/>
      <c r="AO167" s="75"/>
      <c r="AP167" s="75"/>
      <c r="AQ167" s="75"/>
      <c r="AR167" s="75"/>
      <c r="AS167" s="75"/>
      <c r="AT167" s="75"/>
    </row>
    <row r="168" spans="1:46" ht="16.3">
      <c r="A168" s="246" t="s">
        <v>2</v>
      </c>
      <c r="B168" s="274">
        <f>SUM(J168+K168+L168+M168+N168+S168+V168+W168+X168+AA168+AI168+AJ168+AI168+AM168+AP168+AQ168+AS168+AT168+AU168+AV168)+35</f>
        <v>39</v>
      </c>
      <c r="C168" s="215">
        <f t="shared" ref="C168:C172" si="26">B168</f>
        <v>39</v>
      </c>
      <c r="D168" s="139"/>
      <c r="E168" s="140"/>
      <c r="F168" s="135"/>
      <c r="G168" s="136"/>
      <c r="H168" s="96"/>
      <c r="I168" s="105"/>
      <c r="J168" s="104"/>
      <c r="K168" s="75"/>
      <c r="L168" s="75">
        <v>1</v>
      </c>
      <c r="M168" s="75">
        <v>1</v>
      </c>
      <c r="N168" s="75">
        <v>1</v>
      </c>
      <c r="O168" s="97"/>
      <c r="P168" s="108"/>
      <c r="Q168" s="109"/>
      <c r="R168" s="109"/>
      <c r="S168" s="100">
        <v>1</v>
      </c>
      <c r="T168" s="106"/>
      <c r="U168" s="137"/>
      <c r="V168" s="100"/>
      <c r="W168" s="100"/>
      <c r="X168" s="100"/>
      <c r="Y168" s="110"/>
      <c r="Z168" s="110"/>
      <c r="AA168" s="100"/>
      <c r="AB168" s="109"/>
      <c r="AC168" s="109"/>
      <c r="AD168" s="108"/>
      <c r="AE168" s="109"/>
      <c r="AF168" s="109"/>
      <c r="AG168" s="108"/>
      <c r="AH168" s="111"/>
      <c r="AI168" s="100"/>
      <c r="AJ168" s="110"/>
      <c r="AK168" s="11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1:46" ht="16.3">
      <c r="A169" s="83" t="s">
        <v>363</v>
      </c>
      <c r="B169" s="273">
        <f>SUM(B167+B168)</f>
        <v>61</v>
      </c>
      <c r="C169" s="214">
        <f t="shared" si="26"/>
        <v>61</v>
      </c>
      <c r="D169" s="133"/>
      <c r="E169" s="134"/>
      <c r="F169" s="135"/>
      <c r="G169" s="136"/>
      <c r="H169" s="96"/>
      <c r="I169" s="105"/>
      <c r="J169" s="104"/>
      <c r="K169" s="75"/>
      <c r="L169" s="75"/>
      <c r="M169" s="75"/>
      <c r="N169" s="75"/>
      <c r="O169" s="97"/>
      <c r="P169" s="108"/>
      <c r="Q169" s="109"/>
      <c r="R169" s="109"/>
      <c r="S169" s="100"/>
      <c r="T169" s="106"/>
      <c r="U169" s="137"/>
      <c r="V169" s="100"/>
      <c r="W169" s="100"/>
      <c r="X169" s="100"/>
      <c r="Y169" s="110"/>
      <c r="Z169" s="110"/>
      <c r="AA169" s="100"/>
      <c r="AB169" s="109"/>
      <c r="AC169" s="109"/>
      <c r="AD169" s="108"/>
      <c r="AE169" s="109"/>
      <c r="AF169" s="109"/>
      <c r="AG169" s="108"/>
      <c r="AH169" s="111"/>
      <c r="AI169" s="100"/>
      <c r="AJ169" s="110"/>
      <c r="AK169" s="11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1:46" ht="16.3">
      <c r="A170" s="246" t="s">
        <v>362</v>
      </c>
      <c r="B170" s="274">
        <f>SUM(J170+K170+L170+M170+N170+S170+V170+W170+X170+AA170+AI170+AJ170+AI170+AM170+AP170+AQ170+AS170+AT170+AU170+AV170)+1</f>
        <v>1</v>
      </c>
      <c r="C170" s="215">
        <f t="shared" si="26"/>
        <v>1</v>
      </c>
      <c r="D170" s="139"/>
      <c r="E170" s="140"/>
      <c r="F170" s="135"/>
      <c r="G170" s="136"/>
      <c r="H170" s="96"/>
      <c r="I170" s="105"/>
      <c r="J170" s="104"/>
      <c r="K170" s="75"/>
      <c r="L170" s="75"/>
      <c r="M170" s="75"/>
      <c r="N170" s="75"/>
      <c r="O170" s="97"/>
      <c r="P170" s="108"/>
      <c r="Q170" s="109"/>
      <c r="R170" s="109"/>
      <c r="S170" s="100"/>
      <c r="T170" s="106"/>
      <c r="U170" s="137"/>
      <c r="V170" s="100"/>
      <c r="W170" s="100"/>
      <c r="X170" s="100"/>
      <c r="Y170" s="110"/>
      <c r="Z170" s="110"/>
      <c r="AA170" s="100"/>
      <c r="AB170" s="109"/>
      <c r="AC170" s="109"/>
      <c r="AD170" s="108"/>
      <c r="AE170" s="109"/>
      <c r="AF170" s="109"/>
      <c r="AG170" s="108"/>
      <c r="AH170" s="111"/>
      <c r="AI170" s="100"/>
      <c r="AJ170" s="110"/>
      <c r="AK170" s="11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1:46" ht="16.3">
      <c r="A171" s="83" t="s">
        <v>3</v>
      </c>
      <c r="B171" s="273">
        <f>SUM(J171+K171+L171+M171+N171+S171+V171+W171+X171+AA171+AI171+AJ171+AI171+AM171+AP171+AQ171+AS171+AT171+AU171+AV171)+10</f>
        <v>12</v>
      </c>
      <c r="C171" s="214">
        <f t="shared" si="26"/>
        <v>12</v>
      </c>
      <c r="D171" s="133"/>
      <c r="E171" s="134"/>
      <c r="F171" s="135"/>
      <c r="G171" s="136"/>
      <c r="H171" s="96"/>
      <c r="I171" s="105"/>
      <c r="J171" s="104"/>
      <c r="K171" s="75"/>
      <c r="L171" s="75"/>
      <c r="M171" s="75"/>
      <c r="N171" s="75"/>
      <c r="O171" s="97"/>
      <c r="P171" s="108"/>
      <c r="Q171" s="109"/>
      <c r="R171" s="109"/>
      <c r="S171" s="100"/>
      <c r="T171" s="106"/>
      <c r="U171" s="137"/>
      <c r="V171" s="100"/>
      <c r="W171" s="100">
        <v>1</v>
      </c>
      <c r="X171" s="100"/>
      <c r="Y171" s="110"/>
      <c r="Z171" s="110"/>
      <c r="AA171" s="100">
        <v>1</v>
      </c>
      <c r="AB171" s="109"/>
      <c r="AC171" s="109"/>
      <c r="AD171" s="108"/>
      <c r="AE171" s="109"/>
      <c r="AF171" s="109"/>
      <c r="AG171" s="108"/>
      <c r="AH171" s="111"/>
      <c r="AI171" s="100"/>
      <c r="AJ171" s="110"/>
      <c r="AK171" s="11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1:46" ht="17" thickBot="1">
      <c r="A172" s="85" t="s">
        <v>4</v>
      </c>
      <c r="B172" s="275">
        <f>SUM(J172+K172+L172+M172+N172+S172+V172+W172+X172+AA172+AI172+AJ172+AI172+AM172+AP172+AQ172+AS172+AT172+AU172+AV172)+50</f>
        <v>60</v>
      </c>
      <c r="C172" s="217">
        <f t="shared" si="26"/>
        <v>60</v>
      </c>
      <c r="D172" s="144"/>
      <c r="E172" s="145"/>
      <c r="F172" s="146"/>
      <c r="G172" s="147"/>
      <c r="H172" s="114"/>
      <c r="I172" s="127"/>
      <c r="J172" s="113"/>
      <c r="K172" s="112"/>
      <c r="L172" s="112"/>
      <c r="M172" s="112"/>
      <c r="N172" s="112"/>
      <c r="O172" s="115"/>
      <c r="P172" s="117"/>
      <c r="Q172" s="118"/>
      <c r="R172" s="118"/>
      <c r="S172" s="112"/>
      <c r="T172" s="119"/>
      <c r="U172" s="148"/>
      <c r="V172" s="116"/>
      <c r="W172" s="116">
        <v>5</v>
      </c>
      <c r="X172" s="116"/>
      <c r="Y172" s="120"/>
      <c r="Z172" s="120"/>
      <c r="AA172" s="116">
        <v>5</v>
      </c>
      <c r="AB172" s="118"/>
      <c r="AC172" s="118"/>
      <c r="AD172" s="117"/>
      <c r="AE172" s="118"/>
      <c r="AF172" s="118"/>
      <c r="AG172" s="117"/>
      <c r="AH172" s="121"/>
      <c r="AI172" s="116"/>
      <c r="AJ172" s="120"/>
      <c r="AK172" s="120"/>
      <c r="AL172" s="116"/>
      <c r="AM172" s="116"/>
      <c r="AN172" s="116"/>
      <c r="AO172" s="116"/>
      <c r="AP172" s="116"/>
      <c r="AQ172" s="116"/>
      <c r="AR172" s="116"/>
      <c r="AS172" s="116"/>
      <c r="AT172" s="116"/>
    </row>
    <row r="173" spans="1:46" ht="21.1">
      <c r="A173" s="82" t="s">
        <v>182</v>
      </c>
      <c r="B173" s="273"/>
      <c r="C173" s="214"/>
      <c r="D173" s="133"/>
      <c r="E173" s="134"/>
      <c r="F173" s="135"/>
      <c r="G173" s="136"/>
      <c r="H173" s="96" t="s">
        <v>378</v>
      </c>
      <c r="I173" s="105"/>
      <c r="J173" s="104"/>
      <c r="K173" s="75"/>
      <c r="L173" s="75"/>
      <c r="M173" s="75"/>
      <c r="N173" s="75"/>
      <c r="O173" s="97" t="s">
        <v>375</v>
      </c>
      <c r="P173" s="108"/>
      <c r="Q173" s="109" t="s">
        <v>375</v>
      </c>
      <c r="R173" s="109" t="s">
        <v>375</v>
      </c>
      <c r="S173" s="100"/>
      <c r="T173" s="106"/>
      <c r="U173" s="137"/>
      <c r="V173" s="100"/>
      <c r="W173" s="100"/>
      <c r="X173" s="100"/>
      <c r="Y173" s="110"/>
      <c r="Z173" s="101"/>
      <c r="AA173" s="102"/>
      <c r="AB173" s="99" t="s">
        <v>375</v>
      </c>
      <c r="AC173" s="99" t="s">
        <v>375</v>
      </c>
      <c r="AD173" s="98"/>
      <c r="AE173" s="99"/>
      <c r="AF173" s="99"/>
      <c r="AG173" s="98"/>
      <c r="AH173" s="103"/>
      <c r="AI173" s="102"/>
      <c r="AJ173" s="101"/>
      <c r="AK173" s="101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1:46" ht="16.3">
      <c r="A174" s="246" t="s">
        <v>1</v>
      </c>
      <c r="B174" s="274">
        <f>SUM(J174+K174+L174+M174+N174+S174+V174+W174+X174+AA174+AI174+AJ174+AI174+AM174+AP174+AQ174+AS174+AT174+AU174+AV174+AN174)</f>
        <v>0</v>
      </c>
      <c r="C174" s="215">
        <f>B174</f>
        <v>0</v>
      </c>
      <c r="D174" s="139"/>
      <c r="E174" s="140"/>
      <c r="F174" s="135"/>
      <c r="G174" s="136"/>
      <c r="H174" s="96">
        <v>1</v>
      </c>
      <c r="I174" s="105"/>
      <c r="J174" s="104"/>
      <c r="K174" s="75"/>
      <c r="L174" s="75"/>
      <c r="M174" s="75"/>
      <c r="N174" s="75"/>
      <c r="O174" s="96"/>
      <c r="P174" s="105"/>
      <c r="Q174" s="96"/>
      <c r="R174" s="96"/>
      <c r="S174" s="75"/>
      <c r="T174" s="106"/>
      <c r="U174" s="106"/>
      <c r="V174" s="75"/>
      <c r="W174" s="75"/>
      <c r="X174" s="75"/>
      <c r="Y174" s="106"/>
      <c r="Z174" s="106"/>
      <c r="AA174" s="75"/>
      <c r="AB174" s="96"/>
      <c r="AC174" s="96"/>
      <c r="AD174" s="105"/>
      <c r="AE174" s="96"/>
      <c r="AF174" s="96"/>
      <c r="AG174" s="105"/>
      <c r="AH174" s="107"/>
      <c r="AI174" s="75"/>
      <c r="AJ174" s="106"/>
      <c r="AK174" s="106"/>
      <c r="AL174" s="75"/>
      <c r="AM174" s="75"/>
      <c r="AN174" s="75"/>
      <c r="AO174" s="75"/>
      <c r="AP174" s="75"/>
      <c r="AQ174" s="75"/>
      <c r="AR174" s="75"/>
      <c r="AS174" s="75"/>
      <c r="AT174" s="75"/>
    </row>
    <row r="175" spans="1:46" ht="16.3">
      <c r="A175" s="246" t="s">
        <v>2</v>
      </c>
      <c r="B175" s="274">
        <f>SUM(J175+K175+L175+M175+N175+S175+V175+W175+X175+AA175+AI175+AJ175+AI175+AM175+AP175+AQ175+AS175+AT175+AU175+AV175)+14</f>
        <v>14</v>
      </c>
      <c r="C175" s="215">
        <f t="shared" ref="C175:C179" si="27">B175</f>
        <v>14</v>
      </c>
      <c r="D175" s="139"/>
      <c r="E175" s="140"/>
      <c r="F175" s="135"/>
      <c r="G175" s="136"/>
      <c r="H175" s="96"/>
      <c r="I175" s="105"/>
      <c r="J175" s="104"/>
      <c r="K175" s="75"/>
      <c r="L175" s="75"/>
      <c r="M175" s="75"/>
      <c r="N175" s="75"/>
      <c r="O175" s="97">
        <v>1</v>
      </c>
      <c r="P175" s="108"/>
      <c r="Q175" s="109">
        <v>1</v>
      </c>
      <c r="R175" s="109">
        <v>1</v>
      </c>
      <c r="S175" s="100"/>
      <c r="T175" s="106"/>
      <c r="U175" s="137"/>
      <c r="V175" s="100"/>
      <c r="W175" s="100"/>
      <c r="X175" s="100"/>
      <c r="Y175" s="110"/>
      <c r="Z175" s="110"/>
      <c r="AA175" s="100"/>
      <c r="AB175" s="109">
        <v>1</v>
      </c>
      <c r="AC175" s="109">
        <v>1</v>
      </c>
      <c r="AD175" s="108"/>
      <c r="AE175" s="109"/>
      <c r="AF175" s="109"/>
      <c r="AG175" s="108"/>
      <c r="AH175" s="111"/>
      <c r="AI175" s="100"/>
      <c r="AJ175" s="110"/>
      <c r="AK175" s="11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1:46" ht="16.3">
      <c r="A176" s="83" t="s">
        <v>363</v>
      </c>
      <c r="B176" s="273">
        <f>SUM(B174+B175)</f>
        <v>14</v>
      </c>
      <c r="C176" s="214">
        <f t="shared" si="27"/>
        <v>14</v>
      </c>
      <c r="D176" s="133"/>
      <c r="E176" s="134"/>
      <c r="F176" s="135"/>
      <c r="G176" s="136"/>
      <c r="H176" s="96"/>
      <c r="I176" s="105"/>
      <c r="J176" s="104"/>
      <c r="K176" s="75"/>
      <c r="L176" s="75"/>
      <c r="M176" s="75"/>
      <c r="N176" s="75"/>
      <c r="O176" s="97"/>
      <c r="P176" s="108"/>
      <c r="Q176" s="109"/>
      <c r="R176" s="109"/>
      <c r="S176" s="100"/>
      <c r="T176" s="106"/>
      <c r="U176" s="137"/>
      <c r="V176" s="100"/>
      <c r="W176" s="100"/>
      <c r="X176" s="100"/>
      <c r="Y176" s="110"/>
      <c r="Z176" s="110"/>
      <c r="AA176" s="100"/>
      <c r="AB176" s="109"/>
      <c r="AC176" s="109"/>
      <c r="AD176" s="108"/>
      <c r="AE176" s="109"/>
      <c r="AF176" s="109"/>
      <c r="AG176" s="108"/>
      <c r="AH176" s="111"/>
      <c r="AI176" s="100"/>
      <c r="AJ176" s="110"/>
      <c r="AK176" s="11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1:46" ht="16.3">
      <c r="A177" s="246" t="s">
        <v>364</v>
      </c>
      <c r="B177" s="274">
        <f>SUM(J177+K177+L177+M177+N177+S177+V177+W177+X177+AA177+AI177+AJ177+AI177+AM177+AP177+AQ177+AS177+AT177+AU177+AV177)+1</f>
        <v>1</v>
      </c>
      <c r="C177" s="215">
        <f t="shared" si="27"/>
        <v>1</v>
      </c>
      <c r="D177" s="133"/>
      <c r="E177" s="134"/>
      <c r="F177" s="135"/>
      <c r="G177" s="136"/>
      <c r="H177" s="96"/>
      <c r="I177" s="105"/>
      <c r="J177" s="104"/>
      <c r="K177" s="75"/>
      <c r="L177" s="75"/>
      <c r="M177" s="75"/>
      <c r="N177" s="75"/>
      <c r="O177" s="97"/>
      <c r="P177" s="108"/>
      <c r="Q177" s="109"/>
      <c r="R177" s="109"/>
      <c r="S177" s="100"/>
      <c r="T177" s="106"/>
      <c r="U177" s="137"/>
      <c r="V177" s="100"/>
      <c r="W177" s="100"/>
      <c r="X177" s="100"/>
      <c r="Y177" s="110"/>
      <c r="Z177" s="110"/>
      <c r="AA177" s="100"/>
      <c r="AB177" s="109"/>
      <c r="AC177" s="109"/>
      <c r="AD177" s="108"/>
      <c r="AE177" s="109"/>
      <c r="AF177" s="109"/>
      <c r="AG177" s="108"/>
      <c r="AH177" s="111"/>
      <c r="AI177" s="100"/>
      <c r="AJ177" s="110"/>
      <c r="AK177" s="11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1:46" ht="16.3">
      <c r="A178" s="83" t="s">
        <v>3</v>
      </c>
      <c r="B178" s="273">
        <f>SUM(J178+K178+L178+M178+N178+S178+V178+W178+X178+AA178+AI178+AJ178+AI178+AM178+AP178+AQ178+AS178+AT178+AU178+AV178)</f>
        <v>0</v>
      </c>
      <c r="C178" s="214">
        <f t="shared" si="27"/>
        <v>0</v>
      </c>
      <c r="D178" s="133"/>
      <c r="E178" s="134"/>
      <c r="F178" s="135"/>
      <c r="G178" s="136"/>
      <c r="H178" s="96"/>
      <c r="I178" s="105"/>
      <c r="J178" s="104"/>
      <c r="K178" s="75"/>
      <c r="L178" s="75"/>
      <c r="M178" s="75"/>
      <c r="N178" s="75"/>
      <c r="O178" s="96">
        <v>1</v>
      </c>
      <c r="P178" s="108"/>
      <c r="Q178" s="109"/>
      <c r="R178" s="109"/>
      <c r="S178" s="100"/>
      <c r="T178" s="106"/>
      <c r="U178" s="106"/>
      <c r="V178" s="100"/>
      <c r="W178" s="100"/>
      <c r="X178" s="100"/>
      <c r="Y178" s="110"/>
      <c r="Z178" s="110"/>
      <c r="AA178" s="100"/>
      <c r="AB178" s="109"/>
      <c r="AC178" s="109"/>
      <c r="AD178" s="108"/>
      <c r="AE178" s="109"/>
      <c r="AF178" s="109"/>
      <c r="AG178" s="108"/>
      <c r="AH178" s="111"/>
      <c r="AI178" s="100"/>
      <c r="AJ178" s="110"/>
      <c r="AK178" s="11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1:46" ht="17" thickBot="1">
      <c r="A179" s="85" t="s">
        <v>4</v>
      </c>
      <c r="B179" s="275">
        <f>SUM(J179+K179+L179+M179+N179+S179+V179+W179+X179+AA179+AI179+AJ179+AI179+AM179+AP179+AQ179+AS179+AT179+AU179+AV179)</f>
        <v>0</v>
      </c>
      <c r="C179" s="217">
        <f t="shared" si="27"/>
        <v>0</v>
      </c>
      <c r="D179" s="144"/>
      <c r="E179" s="145"/>
      <c r="F179" s="146"/>
      <c r="G179" s="147"/>
      <c r="H179" s="114"/>
      <c r="I179" s="127"/>
      <c r="J179" s="113"/>
      <c r="K179" s="112"/>
      <c r="L179" s="112"/>
      <c r="M179" s="112"/>
      <c r="N179" s="112"/>
      <c r="O179" s="114">
        <v>5</v>
      </c>
      <c r="P179" s="117"/>
      <c r="Q179" s="118"/>
      <c r="R179" s="118"/>
      <c r="S179" s="112"/>
      <c r="T179" s="119"/>
      <c r="U179" s="119"/>
      <c r="V179" s="116"/>
      <c r="W179" s="116"/>
      <c r="X179" s="116"/>
      <c r="Y179" s="120"/>
      <c r="Z179" s="120"/>
      <c r="AA179" s="116"/>
      <c r="AB179" s="118"/>
      <c r="AC179" s="118"/>
      <c r="AD179" s="117"/>
      <c r="AE179" s="118"/>
      <c r="AF179" s="118"/>
      <c r="AG179" s="117"/>
      <c r="AH179" s="121"/>
      <c r="AI179" s="116"/>
      <c r="AJ179" s="120"/>
      <c r="AK179" s="120"/>
      <c r="AL179" s="116"/>
      <c r="AM179" s="116"/>
      <c r="AN179" s="116"/>
      <c r="AO179" s="116"/>
      <c r="AP179" s="116"/>
      <c r="AQ179" s="116"/>
      <c r="AR179" s="116"/>
      <c r="AS179" s="116"/>
      <c r="AT179" s="116"/>
    </row>
    <row r="180" spans="1:46" ht="21.1">
      <c r="A180" s="82" t="s">
        <v>228</v>
      </c>
      <c r="B180" s="273"/>
      <c r="C180" s="214"/>
      <c r="D180" s="133"/>
      <c r="E180" s="134"/>
      <c r="F180" s="135"/>
      <c r="G180" s="136"/>
      <c r="H180" s="96"/>
      <c r="I180" s="105"/>
      <c r="J180" s="104"/>
      <c r="K180" s="75"/>
      <c r="L180" s="75"/>
      <c r="M180" s="75"/>
      <c r="N180" s="75"/>
      <c r="O180" s="97"/>
      <c r="P180" s="108"/>
      <c r="Q180" s="109"/>
      <c r="R180" s="109"/>
      <c r="S180" s="100"/>
      <c r="T180" s="106"/>
      <c r="U180" s="137"/>
      <c r="V180" s="100"/>
      <c r="W180" s="100"/>
      <c r="X180" s="100"/>
      <c r="Y180" s="110"/>
      <c r="Z180" s="110"/>
      <c r="AA180" s="100"/>
      <c r="AB180" s="109"/>
      <c r="AC180" s="109"/>
      <c r="AD180" s="108"/>
      <c r="AE180" s="109"/>
      <c r="AF180" s="109"/>
      <c r="AG180" s="108"/>
      <c r="AH180" s="111"/>
      <c r="AI180" s="100"/>
      <c r="AJ180" s="110"/>
      <c r="AK180" s="11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1:46" ht="16.3">
      <c r="A181" s="246" t="s">
        <v>1</v>
      </c>
      <c r="B181" s="274">
        <f>SUM(J181+K181+L181+M181+N181+S181+V181+W181+X181+AA181+AI181+AJ181+AI181+AM181+AP181+AQ181+AS181+AT181+AU181+AV181+AN181)</f>
        <v>0</v>
      </c>
      <c r="C181" s="215">
        <f>B181</f>
        <v>0</v>
      </c>
      <c r="D181" s="133"/>
      <c r="E181" s="134"/>
      <c r="F181" s="135"/>
      <c r="G181" s="136"/>
      <c r="H181" s="96"/>
      <c r="I181" s="105"/>
      <c r="J181" s="104"/>
      <c r="K181" s="75"/>
      <c r="L181" s="75"/>
      <c r="M181" s="75"/>
      <c r="N181" s="75"/>
      <c r="O181" s="97"/>
      <c r="P181" s="108"/>
      <c r="Q181" s="109"/>
      <c r="R181" s="109"/>
      <c r="S181" s="100"/>
      <c r="T181" s="106"/>
      <c r="U181" s="137"/>
      <c r="V181" s="100"/>
      <c r="W181" s="100"/>
      <c r="X181" s="100"/>
      <c r="Y181" s="110"/>
      <c r="Z181" s="110"/>
      <c r="AA181" s="100"/>
      <c r="AB181" s="109"/>
      <c r="AC181" s="109"/>
      <c r="AD181" s="108"/>
      <c r="AE181" s="109"/>
      <c r="AF181" s="109"/>
      <c r="AG181" s="108"/>
      <c r="AH181" s="111"/>
      <c r="AI181" s="100"/>
      <c r="AJ181" s="110"/>
      <c r="AK181" s="11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1:46" ht="16.3">
      <c r="A182" s="246" t="s">
        <v>2</v>
      </c>
      <c r="B182" s="274">
        <f>SUM(J182+K182+L182+M182+N182+S182+V182+W182+X182+AA182+AI182+AJ182+AI182+AM182+AP182+AQ182+AS182+AT182+AU182+AV182)</f>
        <v>0</v>
      </c>
      <c r="C182" s="215">
        <f t="shared" ref="C182:C185" si="28">B182</f>
        <v>0</v>
      </c>
      <c r="D182" s="133"/>
      <c r="E182" s="134"/>
      <c r="F182" s="135"/>
      <c r="G182" s="136"/>
      <c r="H182" s="96"/>
      <c r="I182" s="105"/>
      <c r="J182" s="104"/>
      <c r="K182" s="75"/>
      <c r="L182" s="75"/>
      <c r="M182" s="75"/>
      <c r="N182" s="75"/>
      <c r="O182" s="97"/>
      <c r="P182" s="108"/>
      <c r="Q182" s="109"/>
      <c r="R182" s="109"/>
      <c r="S182" s="100"/>
      <c r="T182" s="106"/>
      <c r="U182" s="137"/>
      <c r="V182" s="100"/>
      <c r="W182" s="100"/>
      <c r="X182" s="100"/>
      <c r="Y182" s="110"/>
      <c r="Z182" s="110"/>
      <c r="AA182" s="100"/>
      <c r="AB182" s="109"/>
      <c r="AC182" s="109"/>
      <c r="AD182" s="108"/>
      <c r="AE182" s="109"/>
      <c r="AF182" s="109"/>
      <c r="AG182" s="108"/>
      <c r="AH182" s="111"/>
      <c r="AI182" s="100"/>
      <c r="AJ182" s="110"/>
      <c r="AK182" s="11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1:46" ht="16.3">
      <c r="A183" s="83" t="s">
        <v>363</v>
      </c>
      <c r="B183" s="273">
        <f>SUM(B181+B182)</f>
        <v>0</v>
      </c>
      <c r="C183" s="214">
        <f t="shared" si="28"/>
        <v>0</v>
      </c>
      <c r="D183" s="133"/>
      <c r="E183" s="134"/>
      <c r="F183" s="135"/>
      <c r="G183" s="136"/>
      <c r="H183" s="96"/>
      <c r="I183" s="105"/>
      <c r="J183" s="104"/>
      <c r="K183" s="75"/>
      <c r="L183" s="75"/>
      <c r="M183" s="75"/>
      <c r="N183" s="75"/>
      <c r="O183" s="97"/>
      <c r="P183" s="108"/>
      <c r="Q183" s="109"/>
      <c r="R183" s="109"/>
      <c r="S183" s="100"/>
      <c r="T183" s="106"/>
      <c r="U183" s="137"/>
      <c r="V183" s="100"/>
      <c r="W183" s="100"/>
      <c r="X183" s="100"/>
      <c r="Y183" s="110"/>
      <c r="Z183" s="110"/>
      <c r="AA183" s="100"/>
      <c r="AB183" s="109"/>
      <c r="AC183" s="109"/>
      <c r="AD183" s="108"/>
      <c r="AE183" s="109"/>
      <c r="AF183" s="109"/>
      <c r="AG183" s="108"/>
      <c r="AH183" s="111"/>
      <c r="AI183" s="100"/>
      <c r="AJ183" s="110"/>
      <c r="AK183" s="11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1:46" ht="16.3">
      <c r="A184" s="83" t="s">
        <v>3</v>
      </c>
      <c r="B184" s="273">
        <f>SUM(J184+K184+L184+M184+N184+S184+V184+W184+X184+AA184+AI184+AJ184+AI184+AM184+AP184+AQ184+AS184+AT184+AU184+AV184)</f>
        <v>0</v>
      </c>
      <c r="C184" s="214">
        <f t="shared" si="28"/>
        <v>0</v>
      </c>
      <c r="D184" s="133"/>
      <c r="E184" s="134"/>
      <c r="F184" s="135"/>
      <c r="G184" s="136"/>
      <c r="H184" s="96"/>
      <c r="I184" s="105"/>
      <c r="J184" s="104"/>
      <c r="K184" s="75"/>
      <c r="L184" s="75"/>
      <c r="M184" s="75"/>
      <c r="N184" s="75"/>
      <c r="O184" s="97"/>
      <c r="P184" s="108"/>
      <c r="Q184" s="109"/>
      <c r="R184" s="109"/>
      <c r="S184" s="100"/>
      <c r="T184" s="106"/>
      <c r="U184" s="137"/>
      <c r="V184" s="100"/>
      <c r="W184" s="100"/>
      <c r="X184" s="100"/>
      <c r="Y184" s="110"/>
      <c r="Z184" s="110"/>
      <c r="AA184" s="100"/>
      <c r="AB184" s="109"/>
      <c r="AC184" s="109"/>
      <c r="AD184" s="108"/>
      <c r="AE184" s="109"/>
      <c r="AF184" s="109"/>
      <c r="AG184" s="108"/>
      <c r="AH184" s="111"/>
      <c r="AI184" s="100"/>
      <c r="AJ184" s="110"/>
      <c r="AK184" s="11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1:46" ht="17" thickBot="1">
      <c r="A185" s="85" t="s">
        <v>4</v>
      </c>
      <c r="B185" s="275">
        <f>SUM(J185+K185+L185+M185+N185+S185+V185+W185+X185+AA185+AI185+AJ185+AI185+AM185+AP185+AQ185+AS185+AT185+AU185+AV185)</f>
        <v>0</v>
      </c>
      <c r="C185" s="217">
        <f t="shared" si="28"/>
        <v>0</v>
      </c>
      <c r="D185" s="144"/>
      <c r="E185" s="145"/>
      <c r="F185" s="146"/>
      <c r="G185" s="147"/>
      <c r="H185" s="114"/>
      <c r="I185" s="127"/>
      <c r="J185" s="113"/>
      <c r="K185" s="112"/>
      <c r="L185" s="112"/>
      <c r="M185" s="112"/>
      <c r="N185" s="112"/>
      <c r="O185" s="115"/>
      <c r="P185" s="117"/>
      <c r="Q185" s="118"/>
      <c r="R185" s="118"/>
      <c r="S185" s="116"/>
      <c r="T185" s="119"/>
      <c r="U185" s="148"/>
      <c r="V185" s="116"/>
      <c r="W185" s="116"/>
      <c r="X185" s="116"/>
      <c r="Y185" s="120"/>
      <c r="Z185" s="120"/>
      <c r="AA185" s="116"/>
      <c r="AB185" s="118"/>
      <c r="AC185" s="118"/>
      <c r="AD185" s="117"/>
      <c r="AE185" s="118"/>
      <c r="AF185" s="114"/>
      <c r="AG185" s="117"/>
      <c r="AH185" s="121"/>
      <c r="AI185" s="116"/>
      <c r="AJ185" s="120"/>
      <c r="AK185" s="120"/>
      <c r="AL185" s="116"/>
      <c r="AM185" s="116"/>
      <c r="AN185" s="116"/>
      <c r="AO185" s="116"/>
      <c r="AP185" s="116"/>
      <c r="AQ185" s="116"/>
      <c r="AR185" s="116"/>
      <c r="AS185" s="116"/>
      <c r="AT185" s="116"/>
    </row>
    <row r="186" spans="1:46" ht="21.1">
      <c r="A186" s="82" t="s">
        <v>498</v>
      </c>
      <c r="B186" s="273"/>
      <c r="C186" s="214"/>
      <c r="D186" s="133"/>
      <c r="E186" s="134"/>
      <c r="F186" s="135"/>
      <c r="G186" s="136"/>
      <c r="H186" s="96" t="s">
        <v>375</v>
      </c>
      <c r="I186" s="105"/>
      <c r="J186" s="104" t="s">
        <v>393</v>
      </c>
      <c r="K186" s="75" t="s">
        <v>375</v>
      </c>
      <c r="L186" s="75"/>
      <c r="M186" s="75"/>
      <c r="N186" s="75"/>
      <c r="O186" s="97" t="s">
        <v>378</v>
      </c>
      <c r="P186" s="108"/>
      <c r="Q186" s="109"/>
      <c r="R186" s="109" t="s">
        <v>378</v>
      </c>
      <c r="S186" s="100"/>
      <c r="T186" s="106"/>
      <c r="U186" s="137"/>
      <c r="V186" s="100"/>
      <c r="W186" s="100"/>
      <c r="X186" s="100"/>
      <c r="Y186" s="110" t="s">
        <v>375</v>
      </c>
      <c r="Z186" s="110" t="s">
        <v>375</v>
      </c>
      <c r="AA186" s="100"/>
      <c r="AB186" s="109" t="s">
        <v>378</v>
      </c>
      <c r="AC186" s="109" t="s">
        <v>378</v>
      </c>
      <c r="AD186" s="108"/>
      <c r="AE186" s="109" t="s">
        <v>378</v>
      </c>
      <c r="AF186" s="109" t="s">
        <v>393</v>
      </c>
      <c r="AG186" s="108"/>
      <c r="AH186" s="111"/>
      <c r="AI186" s="100"/>
      <c r="AJ186" s="110"/>
      <c r="AK186" s="11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1:46" ht="16.3">
      <c r="A187" s="246" t="s">
        <v>1</v>
      </c>
      <c r="B187" s="274">
        <f>SUM(J187+K187+L187+M187+N187+S187+V187+W187+X187+AA187+AI187+AJ187+AI187+AM187+AP187+AQ187+AS187+AT187+AU187+AV187+AN187)</f>
        <v>0</v>
      </c>
      <c r="C187" s="215">
        <f>B187</f>
        <v>0</v>
      </c>
      <c r="D187" s="133"/>
      <c r="E187" s="134"/>
      <c r="F187" s="135"/>
      <c r="G187" s="136"/>
      <c r="H187" s="96"/>
      <c r="I187" s="105"/>
      <c r="J187" s="104"/>
      <c r="K187" s="75"/>
      <c r="L187" s="75"/>
      <c r="M187" s="75"/>
      <c r="N187" s="75"/>
      <c r="O187" s="97">
        <v>1</v>
      </c>
      <c r="P187" s="108"/>
      <c r="Q187" s="109"/>
      <c r="R187" s="109">
        <v>1</v>
      </c>
      <c r="S187" s="100"/>
      <c r="T187" s="106"/>
      <c r="U187" s="137"/>
      <c r="V187" s="100"/>
      <c r="W187" s="100"/>
      <c r="X187" s="100"/>
      <c r="Y187" s="110"/>
      <c r="Z187" s="110"/>
      <c r="AA187" s="100"/>
      <c r="AB187" s="109">
        <v>1</v>
      </c>
      <c r="AC187" s="109">
        <v>1</v>
      </c>
      <c r="AD187" s="108"/>
      <c r="AE187" s="109">
        <v>1</v>
      </c>
      <c r="AF187" s="109"/>
      <c r="AG187" s="108"/>
      <c r="AH187" s="111"/>
      <c r="AI187" s="100"/>
      <c r="AJ187" s="110"/>
      <c r="AK187" s="11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1:46" ht="16.3">
      <c r="A188" s="246" t="s">
        <v>2</v>
      </c>
      <c r="B188" s="274">
        <f>SUM(J188+K188+L188+M188+N188+S188+V188+W188+X188+AA188+AI188+AJ188+AI188+AM188+AP188+AQ188+AS188+AT188+AU188+AV188)</f>
        <v>1</v>
      </c>
      <c r="C188" s="215">
        <f t="shared" ref="C188:C191" si="29">B188</f>
        <v>1</v>
      </c>
      <c r="D188" s="133"/>
      <c r="E188" s="134"/>
      <c r="F188" s="135"/>
      <c r="G188" s="136"/>
      <c r="H188" s="96">
        <v>1</v>
      </c>
      <c r="I188" s="105"/>
      <c r="J188" s="104"/>
      <c r="K188" s="75">
        <v>1</v>
      </c>
      <c r="L188" s="75"/>
      <c r="M188" s="75"/>
      <c r="N188" s="75"/>
      <c r="O188" s="97"/>
      <c r="P188" s="108"/>
      <c r="Q188" s="109"/>
      <c r="R188" s="109"/>
      <c r="S188" s="100"/>
      <c r="T188" s="106"/>
      <c r="U188" s="137"/>
      <c r="V188" s="100"/>
      <c r="W188" s="100"/>
      <c r="X188" s="100"/>
      <c r="Y188" s="110">
        <v>1</v>
      </c>
      <c r="Z188" s="110">
        <v>1</v>
      </c>
      <c r="AA188" s="100"/>
      <c r="AB188" s="109"/>
      <c r="AC188" s="109"/>
      <c r="AD188" s="108"/>
      <c r="AE188" s="109"/>
      <c r="AF188" s="109"/>
      <c r="AG188" s="108"/>
      <c r="AH188" s="111"/>
      <c r="AI188" s="100"/>
      <c r="AJ188" s="110"/>
      <c r="AK188" s="11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1:46" ht="16.3">
      <c r="A189" s="83" t="s">
        <v>363</v>
      </c>
      <c r="B189" s="273">
        <f>SUM(B187+B188)</f>
        <v>1</v>
      </c>
      <c r="C189" s="214">
        <f t="shared" si="29"/>
        <v>1</v>
      </c>
      <c r="D189" s="133"/>
      <c r="E189" s="134"/>
      <c r="F189" s="135"/>
      <c r="G189" s="136"/>
      <c r="H189" s="96"/>
      <c r="I189" s="105"/>
      <c r="J189" s="104"/>
      <c r="K189" s="75"/>
      <c r="L189" s="75"/>
      <c r="M189" s="75"/>
      <c r="N189" s="75"/>
      <c r="O189" s="97"/>
      <c r="P189" s="108"/>
      <c r="Q189" s="109"/>
      <c r="R189" s="109"/>
      <c r="S189" s="100"/>
      <c r="T189" s="106"/>
      <c r="U189" s="137"/>
      <c r="V189" s="100"/>
      <c r="W189" s="100"/>
      <c r="X189" s="100"/>
      <c r="Y189" s="110"/>
      <c r="Z189" s="110"/>
      <c r="AA189" s="100"/>
      <c r="AB189" s="109"/>
      <c r="AC189" s="109"/>
      <c r="AD189" s="108"/>
      <c r="AE189" s="109"/>
      <c r="AF189" s="109"/>
      <c r="AG189" s="108"/>
      <c r="AH189" s="111"/>
      <c r="AI189" s="100"/>
      <c r="AJ189" s="110"/>
      <c r="AK189" s="11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1:46" ht="16.3">
      <c r="A190" s="83" t="s">
        <v>3</v>
      </c>
      <c r="B190" s="273">
        <f>SUM(J190+K190+L190+M190+N190+S190+V190+W190+X190+AA190+AI190+AJ190+AI190+AM190+AP190+AQ190+AS190+AT190+AU190+AV190)</f>
        <v>0</v>
      </c>
      <c r="C190" s="214">
        <f t="shared" si="29"/>
        <v>0</v>
      </c>
      <c r="D190" s="133"/>
      <c r="E190" s="134"/>
      <c r="F190" s="135"/>
      <c r="G190" s="136"/>
      <c r="H190" s="96">
        <v>1</v>
      </c>
      <c r="I190" s="105"/>
      <c r="J190" s="104"/>
      <c r="K190" s="75"/>
      <c r="L190" s="75"/>
      <c r="M190" s="75"/>
      <c r="N190" s="75"/>
      <c r="O190" s="97"/>
      <c r="P190" s="108"/>
      <c r="Q190" s="109"/>
      <c r="R190" s="109"/>
      <c r="S190" s="100"/>
      <c r="T190" s="106"/>
      <c r="U190" s="137"/>
      <c r="V190" s="100"/>
      <c r="W190" s="100"/>
      <c r="X190" s="100"/>
      <c r="Y190" s="110"/>
      <c r="Z190" s="110"/>
      <c r="AA190" s="100"/>
      <c r="AB190" s="109"/>
      <c r="AC190" s="109"/>
      <c r="AD190" s="108"/>
      <c r="AE190" s="109"/>
      <c r="AF190" s="109"/>
      <c r="AG190" s="108"/>
      <c r="AH190" s="111"/>
      <c r="AI190" s="100"/>
      <c r="AJ190" s="110"/>
      <c r="AK190" s="11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1:46" ht="17" thickBot="1">
      <c r="A191" s="85" t="s">
        <v>4</v>
      </c>
      <c r="B191" s="275">
        <f>SUM(J191+K191+L191+M191+N191+S191+V191+W191+X191+AA191+AI191+AJ191+AI191+AM191+AP191+AQ191+AS191+AT191+AU191+AV191)</f>
        <v>0</v>
      </c>
      <c r="C191" s="217">
        <f t="shared" si="29"/>
        <v>0</v>
      </c>
      <c r="D191" s="144"/>
      <c r="E191" s="145"/>
      <c r="F191" s="146"/>
      <c r="G191" s="147"/>
      <c r="H191" s="114">
        <v>5</v>
      </c>
      <c r="I191" s="127"/>
      <c r="J191" s="113"/>
      <c r="K191" s="112"/>
      <c r="L191" s="112"/>
      <c r="M191" s="112"/>
      <c r="N191" s="112"/>
      <c r="O191" s="115"/>
      <c r="P191" s="117"/>
      <c r="Q191" s="118"/>
      <c r="R191" s="118"/>
      <c r="S191" s="116"/>
      <c r="T191" s="119"/>
      <c r="U191" s="148"/>
      <c r="V191" s="116"/>
      <c r="W191" s="116"/>
      <c r="X191" s="116"/>
      <c r="Y191" s="120"/>
      <c r="Z191" s="120"/>
      <c r="AA191" s="116"/>
      <c r="AB191" s="118"/>
      <c r="AC191" s="118"/>
      <c r="AD191" s="117"/>
      <c r="AE191" s="118"/>
      <c r="AF191" s="118"/>
      <c r="AG191" s="117"/>
      <c r="AH191" s="121"/>
      <c r="AI191" s="116"/>
      <c r="AJ191" s="120"/>
      <c r="AK191" s="120"/>
      <c r="AL191" s="116"/>
      <c r="AM191" s="116"/>
      <c r="AN191" s="116"/>
      <c r="AO191" s="116"/>
      <c r="AP191" s="116"/>
      <c r="AQ191" s="116"/>
      <c r="AR191" s="116"/>
      <c r="AS191" s="116"/>
      <c r="AT191" s="116"/>
    </row>
    <row r="192" spans="1:46" ht="21.1">
      <c r="A192" s="82" t="s">
        <v>148</v>
      </c>
      <c r="B192" s="273"/>
      <c r="C192" s="214"/>
      <c r="D192" s="133"/>
      <c r="E192" s="134"/>
      <c r="F192" s="135"/>
      <c r="G192" s="136"/>
      <c r="H192" s="96"/>
      <c r="I192" s="105"/>
      <c r="J192" s="104" t="s">
        <v>369</v>
      </c>
      <c r="K192" s="75" t="s">
        <v>369</v>
      </c>
      <c r="L192" s="75" t="s">
        <v>369</v>
      </c>
      <c r="M192" s="75" t="s">
        <v>369</v>
      </c>
      <c r="N192" s="75"/>
      <c r="O192" s="97" t="s">
        <v>775</v>
      </c>
      <c r="P192" s="108"/>
      <c r="Q192" s="109" t="s">
        <v>775</v>
      </c>
      <c r="R192" s="109" t="s">
        <v>775</v>
      </c>
      <c r="S192" s="100" t="s">
        <v>339</v>
      </c>
      <c r="T192" s="106" t="s">
        <v>339</v>
      </c>
      <c r="U192" s="137" t="s">
        <v>339</v>
      </c>
      <c r="V192" s="100" t="s">
        <v>339</v>
      </c>
      <c r="W192" s="100" t="s">
        <v>369</v>
      </c>
      <c r="X192" s="100" t="s">
        <v>369</v>
      </c>
      <c r="Y192" s="110" t="s">
        <v>369</v>
      </c>
      <c r="Z192" s="110" t="s">
        <v>369</v>
      </c>
      <c r="AA192" s="100" t="s">
        <v>369</v>
      </c>
      <c r="AB192" s="109" t="s">
        <v>775</v>
      </c>
      <c r="AC192" s="109" t="s">
        <v>775</v>
      </c>
      <c r="AD192" s="108"/>
      <c r="AE192" s="109" t="s">
        <v>775</v>
      </c>
      <c r="AF192" s="109" t="s">
        <v>775</v>
      </c>
      <c r="AG192" s="108"/>
      <c r="AH192" s="111"/>
      <c r="AI192" s="100"/>
      <c r="AJ192" s="110"/>
      <c r="AK192" s="11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1:46" ht="16.3">
      <c r="A193" s="246" t="s">
        <v>1</v>
      </c>
      <c r="B193" s="274">
        <f>SUM(J193+K193+L193+M193+N193+S193+V193+W193+X193+AA193+AI193+AJ193+AI193+AM193+AP193+AQ193+AS193+AT193+AU193+AV193+AN193)+60</f>
        <v>67</v>
      </c>
      <c r="C193" s="215">
        <f>B193</f>
        <v>67</v>
      </c>
      <c r="D193" s="133"/>
      <c r="E193" s="134"/>
      <c r="F193" s="135"/>
      <c r="G193" s="136"/>
      <c r="H193" s="96"/>
      <c r="I193" s="105"/>
      <c r="J193" s="104">
        <v>1</v>
      </c>
      <c r="K193" s="75">
        <v>1</v>
      </c>
      <c r="L193" s="75">
        <v>1</v>
      </c>
      <c r="M193" s="75">
        <v>1</v>
      </c>
      <c r="N193" s="75"/>
      <c r="O193" s="97"/>
      <c r="P193" s="108"/>
      <c r="Q193" s="109"/>
      <c r="R193" s="109"/>
      <c r="S193" s="100"/>
      <c r="T193" s="106"/>
      <c r="U193" s="137"/>
      <c r="V193" s="100"/>
      <c r="W193" s="100">
        <v>1</v>
      </c>
      <c r="X193" s="100">
        <v>1</v>
      </c>
      <c r="Y193" s="110">
        <v>1</v>
      </c>
      <c r="Z193" s="110">
        <v>1</v>
      </c>
      <c r="AA193" s="100">
        <v>1</v>
      </c>
      <c r="AB193" s="109"/>
      <c r="AC193" s="109"/>
      <c r="AD193" s="108"/>
      <c r="AE193" s="109"/>
      <c r="AF193" s="109"/>
      <c r="AG193" s="108"/>
      <c r="AH193" s="111"/>
      <c r="AI193" s="100"/>
      <c r="AJ193" s="110"/>
      <c r="AK193" s="11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1:46" ht="16.3">
      <c r="A194" s="246" t="s">
        <v>2</v>
      </c>
      <c r="B194" s="274">
        <f>SUM(J194+K194+L194+M194+N194+S194+V194+W194+X194+AA194+AI194+AJ194+AI194+AM194+AP194+AQ194+AS194+AT194+AU194+AV194)+19</f>
        <v>19</v>
      </c>
      <c r="C194" s="215">
        <f t="shared" ref="C194:C198" si="30">B194</f>
        <v>19</v>
      </c>
      <c r="D194" s="133"/>
      <c r="E194" s="134"/>
      <c r="F194" s="135"/>
      <c r="G194" s="136"/>
      <c r="H194" s="96"/>
      <c r="I194" s="105"/>
      <c r="J194" s="104"/>
      <c r="K194" s="75"/>
      <c r="L194" s="75"/>
      <c r="M194" s="75"/>
      <c r="N194" s="75"/>
      <c r="O194" s="97"/>
      <c r="P194" s="108"/>
      <c r="Q194" s="109"/>
      <c r="R194" s="109"/>
      <c r="S194" s="100"/>
      <c r="T194" s="106"/>
      <c r="U194" s="137"/>
      <c r="V194" s="100"/>
      <c r="W194" s="100"/>
      <c r="X194" s="100"/>
      <c r="Y194" s="110"/>
      <c r="Z194" s="110"/>
      <c r="AA194" s="100"/>
      <c r="AB194" s="109"/>
      <c r="AC194" s="109"/>
      <c r="AD194" s="108"/>
      <c r="AE194" s="109"/>
      <c r="AF194" s="109"/>
      <c r="AG194" s="108"/>
      <c r="AH194" s="111"/>
      <c r="AI194" s="100"/>
      <c r="AJ194" s="110"/>
      <c r="AK194" s="11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1:46" ht="16.3">
      <c r="A195" s="83" t="s">
        <v>363</v>
      </c>
      <c r="B195" s="273">
        <f>SUM(B193+B194)</f>
        <v>86</v>
      </c>
      <c r="C195" s="214">
        <f t="shared" si="30"/>
        <v>86</v>
      </c>
      <c r="D195" s="133"/>
      <c r="E195" s="134"/>
      <c r="F195" s="135"/>
      <c r="G195" s="136"/>
      <c r="H195" s="96"/>
      <c r="I195" s="105"/>
      <c r="J195" s="104"/>
      <c r="K195" s="75"/>
      <c r="L195" s="75"/>
      <c r="M195" s="75"/>
      <c r="N195" s="75"/>
      <c r="O195" s="97"/>
      <c r="P195" s="108"/>
      <c r="Q195" s="109"/>
      <c r="R195" s="109"/>
      <c r="S195" s="100"/>
      <c r="T195" s="106"/>
      <c r="U195" s="137"/>
      <c r="V195" s="100"/>
      <c r="W195" s="100"/>
      <c r="X195" s="100"/>
      <c r="Y195" s="110"/>
      <c r="Z195" s="110"/>
      <c r="AA195" s="100"/>
      <c r="AB195" s="109"/>
      <c r="AC195" s="109"/>
      <c r="AD195" s="108"/>
      <c r="AE195" s="109"/>
      <c r="AF195" s="109"/>
      <c r="AG195" s="108"/>
      <c r="AH195" s="111"/>
      <c r="AI195" s="100"/>
      <c r="AJ195" s="110"/>
      <c r="AK195" s="11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1:46" ht="16.3">
      <c r="A196" s="246" t="s">
        <v>362</v>
      </c>
      <c r="B196" s="274">
        <f>SUM(J196+K196+L196+M196+N196+S196+V196+W196+X196+AA196+AI196+AJ196+AI196+AM196+AP196+AQ196+AS196+AT196+AU196+AV196)+1</f>
        <v>1</v>
      </c>
      <c r="C196" s="215">
        <f t="shared" si="30"/>
        <v>1</v>
      </c>
      <c r="D196" s="133"/>
      <c r="E196" s="134"/>
      <c r="F196" s="135"/>
      <c r="G196" s="136"/>
      <c r="H196" s="96"/>
      <c r="I196" s="105"/>
      <c r="J196" s="104"/>
      <c r="K196" s="75"/>
      <c r="L196" s="75"/>
      <c r="M196" s="75"/>
      <c r="N196" s="75"/>
      <c r="O196" s="97"/>
      <c r="P196" s="108"/>
      <c r="Q196" s="109"/>
      <c r="R196" s="109"/>
      <c r="S196" s="100"/>
      <c r="T196" s="106"/>
      <c r="U196" s="137"/>
      <c r="V196" s="100"/>
      <c r="W196" s="100"/>
      <c r="X196" s="100"/>
      <c r="Y196" s="110"/>
      <c r="Z196" s="110"/>
      <c r="AA196" s="100"/>
      <c r="AB196" s="109"/>
      <c r="AC196" s="109"/>
      <c r="AD196" s="108"/>
      <c r="AE196" s="109"/>
      <c r="AF196" s="109"/>
      <c r="AG196" s="108"/>
      <c r="AH196" s="111"/>
      <c r="AI196" s="100"/>
      <c r="AJ196" s="110"/>
      <c r="AK196" s="11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1:46" ht="16.3">
      <c r="A197" s="83" t="s">
        <v>3</v>
      </c>
      <c r="B197" s="273">
        <f>SUM(J197+K197+L197+M197+N197+S197+V197+W197+X197+AA197+AI197+AJ197+AI197+AM197+AP197+AQ197+AS197+AT197+AU197+AV197)+8</f>
        <v>9</v>
      </c>
      <c r="C197" s="214">
        <f t="shared" si="30"/>
        <v>9</v>
      </c>
      <c r="D197" s="133"/>
      <c r="E197" s="134"/>
      <c r="F197" s="135"/>
      <c r="G197" s="136"/>
      <c r="H197" s="96"/>
      <c r="I197" s="105"/>
      <c r="J197" s="104"/>
      <c r="K197" s="75"/>
      <c r="L197" s="75"/>
      <c r="M197" s="75">
        <v>1</v>
      </c>
      <c r="N197" s="75"/>
      <c r="O197" s="97"/>
      <c r="P197" s="108"/>
      <c r="Q197" s="109"/>
      <c r="R197" s="109"/>
      <c r="S197" s="100"/>
      <c r="T197" s="106"/>
      <c r="U197" s="137"/>
      <c r="V197" s="100"/>
      <c r="W197" s="100"/>
      <c r="X197" s="100"/>
      <c r="Y197" s="110">
        <v>1</v>
      </c>
      <c r="Z197" s="110"/>
      <c r="AA197" s="100"/>
      <c r="AB197" s="109"/>
      <c r="AC197" s="109"/>
      <c r="AD197" s="108"/>
      <c r="AE197" s="109"/>
      <c r="AF197" s="109"/>
      <c r="AG197" s="108"/>
      <c r="AH197" s="111"/>
      <c r="AI197" s="100"/>
      <c r="AJ197" s="110"/>
      <c r="AK197" s="11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1:46" ht="17" thickBot="1">
      <c r="A198" s="85" t="s">
        <v>4</v>
      </c>
      <c r="B198" s="275">
        <f>SUM(J198+K198+L198+M198+N198+S198+V198+W198+X198+AA198+AI198+AJ198+AI198+AM198+AP198+AQ198+AS198+AT198+AU198+AV198)+40</f>
        <v>45</v>
      </c>
      <c r="C198" s="217">
        <f t="shared" si="30"/>
        <v>45</v>
      </c>
      <c r="D198" s="144"/>
      <c r="E198" s="145"/>
      <c r="F198" s="146"/>
      <c r="G198" s="147"/>
      <c r="H198" s="114"/>
      <c r="I198" s="127"/>
      <c r="J198" s="113"/>
      <c r="K198" s="112"/>
      <c r="L198" s="112"/>
      <c r="M198" s="112">
        <v>5</v>
      </c>
      <c r="N198" s="112"/>
      <c r="O198" s="115"/>
      <c r="P198" s="117"/>
      <c r="Q198" s="118"/>
      <c r="R198" s="118"/>
      <c r="S198" s="112"/>
      <c r="T198" s="119"/>
      <c r="U198" s="148"/>
      <c r="V198" s="116"/>
      <c r="W198" s="116"/>
      <c r="X198" s="116"/>
      <c r="Y198" s="120">
        <v>5</v>
      </c>
      <c r="Z198" s="120"/>
      <c r="AA198" s="116"/>
      <c r="AB198" s="118"/>
      <c r="AC198" s="118"/>
      <c r="AD198" s="117"/>
      <c r="AE198" s="118"/>
      <c r="AF198" s="118"/>
      <c r="AG198" s="117"/>
      <c r="AH198" s="121"/>
      <c r="AI198" s="116"/>
      <c r="AJ198" s="120"/>
      <c r="AK198" s="120"/>
      <c r="AL198" s="116"/>
      <c r="AM198" s="116"/>
      <c r="AN198" s="116"/>
      <c r="AO198" s="116"/>
      <c r="AP198" s="116"/>
      <c r="AQ198" s="116"/>
      <c r="AR198" s="116"/>
      <c r="AS198" s="116"/>
      <c r="AT198" s="116"/>
    </row>
    <row r="199" spans="1:46" ht="21.1">
      <c r="A199" s="82" t="s">
        <v>230</v>
      </c>
      <c r="B199" s="273"/>
      <c r="C199" s="214"/>
      <c r="D199" s="133"/>
      <c r="E199" s="134"/>
      <c r="F199" s="135"/>
      <c r="G199" s="136"/>
      <c r="H199" s="96" t="s">
        <v>369</v>
      </c>
      <c r="I199" s="105"/>
      <c r="J199" s="104" t="s">
        <v>375</v>
      </c>
      <c r="K199" s="75" t="s">
        <v>375</v>
      </c>
      <c r="L199" s="75" t="s">
        <v>375</v>
      </c>
      <c r="M199" s="75" t="s">
        <v>375</v>
      </c>
      <c r="N199" s="75"/>
      <c r="O199" s="97"/>
      <c r="P199" s="108"/>
      <c r="Q199" s="109" t="s">
        <v>369</v>
      </c>
      <c r="R199" s="109"/>
      <c r="S199" s="100">
        <v>1</v>
      </c>
      <c r="T199" s="106" t="s">
        <v>369</v>
      </c>
      <c r="U199" s="137" t="s">
        <v>369</v>
      </c>
      <c r="V199" s="100" t="s">
        <v>369</v>
      </c>
      <c r="W199" s="100" t="s">
        <v>375</v>
      </c>
      <c r="X199" s="100" t="s">
        <v>375</v>
      </c>
      <c r="Y199" s="110" t="s">
        <v>375</v>
      </c>
      <c r="Z199" s="110" t="s">
        <v>375</v>
      </c>
      <c r="AA199" s="100" t="s">
        <v>375</v>
      </c>
      <c r="AB199" s="109"/>
      <c r="AC199" s="109"/>
      <c r="AD199" s="108"/>
      <c r="AE199" s="109" t="s">
        <v>369</v>
      </c>
      <c r="AF199" s="109" t="s">
        <v>369</v>
      </c>
      <c r="AG199" s="108"/>
      <c r="AH199" s="111"/>
      <c r="AI199" s="100"/>
      <c r="AJ199" s="110"/>
      <c r="AK199" s="11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1:46" ht="16.3">
      <c r="A200" s="246" t="s">
        <v>1</v>
      </c>
      <c r="B200" s="274">
        <f>SUM(J200+K200+L200+M200+N200+S200+V200+W200+X200+AA200+AI200+AJ200+AI200+AM200+AP200+AQ200+AS200+AT200+AU200+AV200+AN200)+23</f>
        <v>25</v>
      </c>
      <c r="C200" s="215">
        <f>SUM(J200+K200+L200+M200+N200+S200+W200+X200+V200+AA200+AJ200+AI200+AJ200+AN200+AQ200+AM200+AT200+AU200+AV200+AW200+AP200+AS200)+70</f>
        <v>72</v>
      </c>
      <c r="D200" s="133"/>
      <c r="E200" s="134"/>
      <c r="F200" s="135"/>
      <c r="G200" s="136"/>
      <c r="H200" s="96">
        <v>1</v>
      </c>
      <c r="I200" s="105"/>
      <c r="J200" s="104"/>
      <c r="K200" s="75"/>
      <c r="L200" s="75"/>
      <c r="M200" s="75"/>
      <c r="N200" s="75"/>
      <c r="O200" s="97"/>
      <c r="P200" s="108"/>
      <c r="Q200" s="109">
        <v>1</v>
      </c>
      <c r="R200" s="109"/>
      <c r="S200" s="100">
        <v>1</v>
      </c>
      <c r="T200" s="106">
        <v>1</v>
      </c>
      <c r="U200" s="137">
        <v>1</v>
      </c>
      <c r="V200" s="100">
        <v>1</v>
      </c>
      <c r="W200" s="100"/>
      <c r="X200" s="100"/>
      <c r="Y200" s="110"/>
      <c r="Z200" s="110"/>
      <c r="AA200" s="100"/>
      <c r="AB200" s="109"/>
      <c r="AC200" s="109"/>
      <c r="AD200" s="108"/>
      <c r="AE200" s="109">
        <v>1</v>
      </c>
      <c r="AF200" s="109">
        <v>1</v>
      </c>
      <c r="AG200" s="108"/>
      <c r="AH200" s="111"/>
      <c r="AI200" s="100"/>
      <c r="AJ200" s="110"/>
      <c r="AK200" s="11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1:46" ht="16.3">
      <c r="A201" s="246" t="s">
        <v>2</v>
      </c>
      <c r="B201" s="274">
        <f>SUM(J201+K201+L201+M201+N201+S201+V201+W201+X201+AA201+AI201+AJ201+AI201+AM201+AP201+AQ201+AS201+AT201+AU201+AV201)+45</f>
        <v>52</v>
      </c>
      <c r="C201" s="215">
        <f>SUM(J201+K201+L201+M201+N201+S201+W201+X201+V201+AA201+AJ201+AI201+AJ201+AN201+AQ201+AM201+AT201+AU201+AV201+AW201+AP201+AS201)+129</f>
        <v>136</v>
      </c>
      <c r="D201" s="133"/>
      <c r="E201" s="134"/>
      <c r="F201" s="135"/>
      <c r="G201" s="136"/>
      <c r="H201" s="96"/>
      <c r="I201" s="105"/>
      <c r="J201" s="104">
        <v>1</v>
      </c>
      <c r="K201" s="75">
        <v>1</v>
      </c>
      <c r="L201" s="187">
        <v>1</v>
      </c>
      <c r="M201" s="75">
        <v>1</v>
      </c>
      <c r="N201" s="75"/>
      <c r="O201" s="97"/>
      <c r="P201" s="108"/>
      <c r="Q201" s="109"/>
      <c r="R201" s="109"/>
      <c r="S201" s="100"/>
      <c r="T201" s="106"/>
      <c r="U201" s="137"/>
      <c r="V201" s="100"/>
      <c r="W201" s="100">
        <v>1</v>
      </c>
      <c r="X201" s="100">
        <v>1</v>
      </c>
      <c r="Y201" s="110">
        <v>1</v>
      </c>
      <c r="Z201" s="110">
        <v>1</v>
      </c>
      <c r="AA201" s="100">
        <v>1</v>
      </c>
      <c r="AB201" s="109"/>
      <c r="AC201" s="109"/>
      <c r="AD201" s="108"/>
      <c r="AE201" s="109"/>
      <c r="AF201" s="109"/>
      <c r="AG201" s="108"/>
      <c r="AH201" s="111"/>
      <c r="AI201" s="100"/>
      <c r="AJ201" s="110"/>
      <c r="AK201" s="110"/>
      <c r="AL201" s="191"/>
      <c r="AM201" s="100"/>
      <c r="AN201" s="100"/>
      <c r="AO201" s="100"/>
      <c r="AP201" s="100"/>
      <c r="AQ201" s="100"/>
      <c r="AR201" s="100"/>
      <c r="AS201" s="100"/>
      <c r="AT201" s="100"/>
    </row>
    <row r="202" spans="1:46" ht="16.3">
      <c r="A202" s="83" t="s">
        <v>363</v>
      </c>
      <c r="B202" s="273">
        <f>SUM(B200+B201)</f>
        <v>77</v>
      </c>
      <c r="C202" s="214">
        <f>SUM(C200+C201)</f>
        <v>208</v>
      </c>
      <c r="D202" s="133"/>
      <c r="E202" s="134"/>
      <c r="F202" s="135"/>
      <c r="G202" s="136"/>
      <c r="H202" s="96"/>
      <c r="I202" s="105"/>
      <c r="J202" s="104"/>
      <c r="K202" s="75"/>
      <c r="L202" s="75"/>
      <c r="M202" s="75"/>
      <c r="N202" s="75"/>
      <c r="O202" s="97"/>
      <c r="P202" s="108"/>
      <c r="Q202" s="109"/>
      <c r="R202" s="109"/>
      <c r="S202" s="100"/>
      <c r="T202" s="106"/>
      <c r="U202" s="137"/>
      <c r="V202" s="100"/>
      <c r="W202" s="100"/>
      <c r="X202" s="100"/>
      <c r="Y202" s="110"/>
      <c r="Z202" s="110"/>
      <c r="AA202" s="100"/>
      <c r="AB202" s="109"/>
      <c r="AC202" s="109"/>
      <c r="AD202" s="108"/>
      <c r="AE202" s="109"/>
      <c r="AF202" s="109"/>
      <c r="AG202" s="108"/>
      <c r="AH202" s="111"/>
      <c r="AI202" s="100"/>
      <c r="AJ202" s="110"/>
      <c r="AK202" s="11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1:46" ht="16.3">
      <c r="A203" s="246" t="s">
        <v>362</v>
      </c>
      <c r="B203" s="274">
        <f>SUM(J203+K203+L203+M203+N203+S203+V203+W203+X203+AA203+AI203+AJ203+AI203+AM203+AP203+AQ203+AS203+AT203+AU203+AV203)+1</f>
        <v>1</v>
      </c>
      <c r="C203" s="215">
        <f>SUM(J203+K203+L203+M203+N203+S203+W203+X203+V203+AA203+AJ203+AI203+AJ203+AN203+AQ203+AM203+AT203+AU203+AV203+AW203+AP203+AS203)+1</f>
        <v>1</v>
      </c>
      <c r="D203" s="133"/>
      <c r="E203" s="134"/>
      <c r="F203" s="135"/>
      <c r="G203" s="136"/>
      <c r="H203" s="96"/>
      <c r="I203" s="105"/>
      <c r="J203" s="104"/>
      <c r="K203" s="75"/>
      <c r="L203" s="75"/>
      <c r="M203" s="75"/>
      <c r="N203" s="75"/>
      <c r="O203" s="97"/>
      <c r="P203" s="108"/>
      <c r="Q203" s="109"/>
      <c r="R203" s="109"/>
      <c r="S203" s="100"/>
      <c r="T203" s="106"/>
      <c r="U203" s="137"/>
      <c r="V203" s="100"/>
      <c r="W203" s="100"/>
      <c r="X203" s="100"/>
      <c r="Y203" s="110"/>
      <c r="Z203" s="110"/>
      <c r="AA203" s="100"/>
      <c r="AB203" s="109"/>
      <c r="AC203" s="109"/>
      <c r="AD203" s="108"/>
      <c r="AE203" s="109"/>
      <c r="AF203" s="109"/>
      <c r="AG203" s="108"/>
      <c r="AH203" s="111"/>
      <c r="AI203" s="100"/>
      <c r="AJ203" s="110"/>
      <c r="AK203" s="11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1:46" ht="16.3">
      <c r="A204" s="83" t="s">
        <v>3</v>
      </c>
      <c r="B204" s="273">
        <f>SUM(J204+K204+L204+M204+N204+S204+V204+W204+X204+AA204+AI204+AJ204+AI204+AM204+AP204+AQ204+AS204+AT204+AU204+AV204)+1</f>
        <v>1</v>
      </c>
      <c r="C204" s="214">
        <f>SUM(J204+K204+L204+M204+N204+S204+W204+X204+V204+AA204+AJ204+AI204+AJ204+AN204+AQ204+AM204+AT204+AU204+AV204+AW204+AP204+AS204)+5</f>
        <v>5</v>
      </c>
      <c r="D204" s="133"/>
      <c r="E204" s="134"/>
      <c r="F204" s="135"/>
      <c r="G204" s="136"/>
      <c r="H204" s="96"/>
      <c r="I204" s="105"/>
      <c r="J204" s="104"/>
      <c r="K204" s="75"/>
      <c r="L204" s="75"/>
      <c r="M204" s="75"/>
      <c r="N204" s="75"/>
      <c r="O204" s="97"/>
      <c r="P204" s="108"/>
      <c r="Q204" s="109"/>
      <c r="R204" s="109"/>
      <c r="S204" s="100"/>
      <c r="T204" s="106"/>
      <c r="U204" s="137"/>
      <c r="V204" s="100"/>
      <c r="W204" s="100"/>
      <c r="X204" s="100"/>
      <c r="Y204" s="110"/>
      <c r="Z204" s="110"/>
      <c r="AA204" s="100"/>
      <c r="AB204" s="109"/>
      <c r="AC204" s="109"/>
      <c r="AD204" s="108"/>
      <c r="AE204" s="109"/>
      <c r="AF204" s="109"/>
      <c r="AG204" s="108"/>
      <c r="AH204" s="111"/>
      <c r="AI204" s="100"/>
      <c r="AJ204" s="110"/>
      <c r="AK204" s="11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1:46" ht="17" thickBot="1">
      <c r="A205" s="85" t="s">
        <v>4</v>
      </c>
      <c r="B205" s="275">
        <f>SUM(J205+K205+L205+M205+N205+S205+V205+W205+X205+AA205+AI205+AJ205+AI205+AM205+AP205+AQ205+AS205+AT205+AU205+AV205)+5</f>
        <v>5</v>
      </c>
      <c r="C205" s="217">
        <f>SUM(J205+K205+L205+M205+N205+S205+W205+X205+V205+AA205+AJ205+AI205+AJ205+AN205+AQ205+AM205+AT205+AU205+AV205+AW205+AP205+AS205)+25</f>
        <v>25</v>
      </c>
      <c r="D205" s="144"/>
      <c r="E205" s="145"/>
      <c r="F205" s="146"/>
      <c r="G205" s="147"/>
      <c r="H205" s="114"/>
      <c r="I205" s="127"/>
      <c r="J205" s="113"/>
      <c r="K205" s="112"/>
      <c r="L205" s="112"/>
      <c r="M205" s="112"/>
      <c r="N205" s="112"/>
      <c r="O205" s="115"/>
      <c r="P205" s="117"/>
      <c r="Q205" s="118"/>
      <c r="R205" s="118"/>
      <c r="S205" s="116"/>
      <c r="T205" s="119"/>
      <c r="U205" s="148"/>
      <c r="V205" s="116"/>
      <c r="W205" s="116"/>
      <c r="X205" s="116"/>
      <c r="Y205" s="120"/>
      <c r="Z205" s="120"/>
      <c r="AA205" s="116"/>
      <c r="AB205" s="118"/>
      <c r="AC205" s="118"/>
      <c r="AD205" s="117"/>
      <c r="AE205" s="118"/>
      <c r="AF205" s="118"/>
      <c r="AG205" s="117"/>
      <c r="AH205" s="121"/>
      <c r="AI205" s="116"/>
      <c r="AJ205" s="120"/>
      <c r="AK205" s="120"/>
      <c r="AL205" s="116"/>
      <c r="AM205" s="116"/>
      <c r="AN205" s="116"/>
      <c r="AO205" s="116"/>
      <c r="AP205" s="116"/>
      <c r="AQ205" s="116"/>
      <c r="AR205" s="116"/>
      <c r="AS205" s="116"/>
      <c r="AT205" s="116"/>
    </row>
    <row r="206" spans="1:46" ht="21.1">
      <c r="A206" s="82" t="s">
        <v>185</v>
      </c>
      <c r="B206" s="278"/>
      <c r="C206" s="218"/>
      <c r="D206" s="153"/>
      <c r="E206" s="154"/>
      <c r="F206" s="155"/>
      <c r="G206" s="156"/>
      <c r="H206" s="96" t="s">
        <v>375</v>
      </c>
      <c r="I206" s="105"/>
      <c r="J206" s="104"/>
      <c r="K206" s="75"/>
      <c r="L206" s="75"/>
      <c r="M206" s="75"/>
      <c r="N206" s="75" t="s">
        <v>375</v>
      </c>
      <c r="O206" s="97" t="s">
        <v>369</v>
      </c>
      <c r="P206" s="98"/>
      <c r="Q206" s="99" t="s">
        <v>375</v>
      </c>
      <c r="R206" s="109" t="s">
        <v>369</v>
      </c>
      <c r="S206" s="100" t="s">
        <v>393</v>
      </c>
      <c r="T206" s="106" t="s">
        <v>375</v>
      </c>
      <c r="U206" s="137" t="s">
        <v>375</v>
      </c>
      <c r="V206" s="102" t="s">
        <v>375</v>
      </c>
      <c r="W206" s="102"/>
      <c r="X206" s="100"/>
      <c r="Y206" s="101"/>
      <c r="Z206" s="101"/>
      <c r="AA206" s="102"/>
      <c r="AB206" s="99" t="s">
        <v>369</v>
      </c>
      <c r="AC206" s="99" t="s">
        <v>369</v>
      </c>
      <c r="AD206" s="98"/>
      <c r="AE206" s="99"/>
      <c r="AF206" s="99"/>
      <c r="AG206" s="98"/>
      <c r="AH206" s="103"/>
      <c r="AI206" s="102"/>
      <c r="AJ206" s="101"/>
      <c r="AK206" s="101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1:46" ht="16.3">
      <c r="A207" s="246" t="s">
        <v>1</v>
      </c>
      <c r="B207" s="274">
        <f>SUM(J207+K207+L207+M207+N207+S207+V207+W207+X207+AA207+AI207+AJ207+AI207+AM207+AP207+AQ207+AS207+AT207+AU207+AV207+AN207)</f>
        <v>0</v>
      </c>
      <c r="C207" s="215">
        <f>B207</f>
        <v>0</v>
      </c>
      <c r="D207" s="133"/>
      <c r="E207" s="134"/>
      <c r="F207" s="135"/>
      <c r="G207" s="136"/>
      <c r="H207" s="96"/>
      <c r="I207" s="105"/>
      <c r="J207" s="104"/>
      <c r="K207" s="75"/>
      <c r="L207" s="75"/>
      <c r="M207" s="75"/>
      <c r="N207" s="75"/>
      <c r="O207" s="97">
        <v>1</v>
      </c>
      <c r="P207" s="108"/>
      <c r="Q207" s="109"/>
      <c r="R207" s="109">
        <v>1</v>
      </c>
      <c r="S207" s="100"/>
      <c r="T207" s="106"/>
      <c r="U207" s="137"/>
      <c r="V207" s="100"/>
      <c r="W207" s="100"/>
      <c r="X207" s="100"/>
      <c r="Y207" s="110"/>
      <c r="Z207" s="110"/>
      <c r="AA207" s="100"/>
      <c r="AB207" s="109">
        <v>1</v>
      </c>
      <c r="AC207" s="109">
        <v>1</v>
      </c>
      <c r="AD207" s="108"/>
      <c r="AE207" s="109"/>
      <c r="AF207" s="109"/>
      <c r="AG207" s="108"/>
      <c r="AH207" s="111"/>
      <c r="AI207" s="100"/>
      <c r="AJ207" s="110"/>
      <c r="AK207" s="11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1:46" ht="16.3">
      <c r="A208" s="246" t="s">
        <v>2</v>
      </c>
      <c r="B208" s="274">
        <f>SUM(J208+K208+L208+M208+N208+S208+V208+W208+X208+AA208+AI208+AJ208+AI208+AM208+AP208+AQ208+AS208+AT208+AU208+AV208)+10</f>
        <v>12</v>
      </c>
      <c r="C208" s="215">
        <f t="shared" ref="C208:C211" si="31">B208</f>
        <v>12</v>
      </c>
      <c r="D208" s="133"/>
      <c r="E208" s="134"/>
      <c r="F208" s="135"/>
      <c r="G208" s="136"/>
      <c r="H208" s="96">
        <v>1</v>
      </c>
      <c r="I208" s="105"/>
      <c r="J208" s="104"/>
      <c r="K208" s="75"/>
      <c r="L208" s="75"/>
      <c r="M208" s="75"/>
      <c r="N208" s="75">
        <v>1</v>
      </c>
      <c r="O208" s="97"/>
      <c r="P208" s="108"/>
      <c r="Q208" s="109">
        <v>1</v>
      </c>
      <c r="R208" s="109"/>
      <c r="S208" s="100"/>
      <c r="T208" s="106">
        <v>1</v>
      </c>
      <c r="U208" s="137">
        <v>1</v>
      </c>
      <c r="V208" s="100">
        <v>1</v>
      </c>
      <c r="W208" s="100"/>
      <c r="X208" s="100"/>
      <c r="Y208" s="110"/>
      <c r="Z208" s="110"/>
      <c r="AA208" s="100"/>
      <c r="AB208" s="109"/>
      <c r="AC208" s="109"/>
      <c r="AD208" s="108"/>
      <c r="AE208" s="109"/>
      <c r="AF208" s="109"/>
      <c r="AG208" s="108"/>
      <c r="AH208" s="111"/>
      <c r="AI208" s="100"/>
      <c r="AJ208" s="110"/>
      <c r="AK208" s="11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1:48" ht="16.3">
      <c r="A209" s="83" t="s">
        <v>363</v>
      </c>
      <c r="B209" s="273">
        <f>SUM(B207+B208)</f>
        <v>12</v>
      </c>
      <c r="C209" s="214">
        <f t="shared" si="31"/>
        <v>12</v>
      </c>
      <c r="D209" s="133"/>
      <c r="E209" s="134"/>
      <c r="F209" s="135"/>
      <c r="G209" s="136"/>
      <c r="H209" s="96"/>
      <c r="I209" s="105"/>
      <c r="J209" s="104"/>
      <c r="K209" s="75"/>
      <c r="L209" s="75"/>
      <c r="M209" s="75"/>
      <c r="N209" s="75"/>
      <c r="O209" s="97"/>
      <c r="P209" s="108"/>
      <c r="Q209" s="109"/>
      <c r="R209" s="109"/>
      <c r="S209" s="100"/>
      <c r="T209" s="106"/>
      <c r="U209" s="137"/>
      <c r="V209" s="100"/>
      <c r="W209" s="100"/>
      <c r="X209" s="100"/>
      <c r="Y209" s="110"/>
      <c r="Z209" s="110"/>
      <c r="AA209" s="100"/>
      <c r="AB209" s="109"/>
      <c r="AC209" s="109"/>
      <c r="AD209" s="108"/>
      <c r="AE209" s="109"/>
      <c r="AF209" s="109"/>
      <c r="AG209" s="108"/>
      <c r="AH209" s="111"/>
      <c r="AI209" s="100"/>
      <c r="AJ209" s="110"/>
      <c r="AK209" s="11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1:48" ht="16.3">
      <c r="A210" s="83" t="s">
        <v>3</v>
      </c>
      <c r="B210" s="273">
        <f>SUM(J210+K210+L210+M210+N210+S210+V210+W210+X210+AA210+AI210+AJ210+AI210+AM210+AP210+AQ210+AS210+AT210+AU210+AV210)</f>
        <v>0</v>
      </c>
      <c r="C210" s="214">
        <f t="shared" si="31"/>
        <v>0</v>
      </c>
      <c r="D210" s="133"/>
      <c r="E210" s="134"/>
      <c r="F210" s="135"/>
      <c r="G210" s="136"/>
      <c r="H210" s="96"/>
      <c r="I210" s="105"/>
      <c r="J210" s="104"/>
      <c r="K210" s="75"/>
      <c r="L210" s="75"/>
      <c r="M210" s="75"/>
      <c r="N210" s="75"/>
      <c r="O210" s="97"/>
      <c r="P210" s="108"/>
      <c r="Q210" s="109"/>
      <c r="R210" s="109"/>
      <c r="S210" s="100"/>
      <c r="T210" s="106"/>
      <c r="U210" s="137"/>
      <c r="V210" s="100"/>
      <c r="W210" s="100"/>
      <c r="X210" s="100"/>
      <c r="Y210" s="110"/>
      <c r="Z210" s="110"/>
      <c r="AA210" s="100"/>
      <c r="AB210" s="109"/>
      <c r="AC210" s="109"/>
      <c r="AD210" s="108"/>
      <c r="AE210" s="109"/>
      <c r="AF210" s="109"/>
      <c r="AG210" s="108"/>
      <c r="AH210" s="111"/>
      <c r="AI210" s="100"/>
      <c r="AJ210" s="110"/>
      <c r="AK210" s="11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1:48" ht="17" thickBot="1">
      <c r="A211" s="85" t="s">
        <v>4</v>
      </c>
      <c r="B211" s="275">
        <f>SUM(J211+K211+L211+M211+N211+S211+V211+W211+X211+AA211+AI211+AJ211+AI211+AM211+AP211+AQ211+AS211+AT211+AU211+AV211)</f>
        <v>0</v>
      </c>
      <c r="C211" s="217">
        <f t="shared" si="31"/>
        <v>0</v>
      </c>
      <c r="D211" s="144"/>
      <c r="E211" s="145"/>
      <c r="F211" s="146"/>
      <c r="G211" s="147"/>
      <c r="H211" s="114"/>
      <c r="I211" s="127"/>
      <c r="J211" s="113"/>
      <c r="K211" s="112"/>
      <c r="L211" s="112"/>
      <c r="M211" s="112"/>
      <c r="N211" s="112"/>
      <c r="O211" s="115"/>
      <c r="P211" s="117"/>
      <c r="Q211" s="114"/>
      <c r="R211" s="118"/>
      <c r="S211" s="112"/>
      <c r="T211" s="119"/>
      <c r="U211" s="148"/>
      <c r="V211" s="116"/>
      <c r="W211" s="112"/>
      <c r="X211" s="116"/>
      <c r="Y211" s="120"/>
      <c r="Z211" s="120"/>
      <c r="AA211" s="116"/>
      <c r="AB211" s="118"/>
      <c r="AC211" s="118"/>
      <c r="AD211" s="117"/>
      <c r="AE211" s="118"/>
      <c r="AF211" s="118"/>
      <c r="AG211" s="117"/>
      <c r="AH211" s="121"/>
      <c r="AI211" s="116"/>
      <c r="AJ211" s="120"/>
      <c r="AK211" s="120"/>
      <c r="AL211" s="116"/>
      <c r="AM211" s="116"/>
      <c r="AN211" s="116"/>
      <c r="AO211" s="116"/>
      <c r="AP211" s="116"/>
      <c r="AQ211" s="116"/>
      <c r="AR211" s="116"/>
      <c r="AS211" s="116"/>
      <c r="AT211" s="116"/>
    </row>
    <row r="212" spans="1:48" ht="21.1">
      <c r="A212" s="82" t="s">
        <v>798</v>
      </c>
      <c r="B212" s="273"/>
      <c r="C212" s="214"/>
      <c r="D212" s="133"/>
      <c r="E212" s="134"/>
      <c r="F212" s="135"/>
      <c r="G212" s="136"/>
      <c r="H212" s="96"/>
      <c r="I212" s="105"/>
      <c r="J212" s="104"/>
      <c r="K212" s="75"/>
      <c r="L212" s="75"/>
      <c r="M212" s="75"/>
      <c r="N212" s="75"/>
      <c r="O212" s="97" t="s">
        <v>375</v>
      </c>
      <c r="P212" s="108"/>
      <c r="Q212" s="109"/>
      <c r="R212" s="109" t="s">
        <v>375</v>
      </c>
      <c r="S212" s="100"/>
      <c r="T212" s="106"/>
      <c r="U212" s="137"/>
      <c r="V212" s="100"/>
      <c r="W212" s="100"/>
      <c r="X212" s="100"/>
      <c r="Y212" s="110"/>
      <c r="Z212" s="110"/>
      <c r="AA212" s="100"/>
      <c r="AB212" s="109" t="s">
        <v>375</v>
      </c>
      <c r="AC212" s="109" t="s">
        <v>375</v>
      </c>
      <c r="AD212" s="108"/>
      <c r="AE212" s="109" t="s">
        <v>375</v>
      </c>
      <c r="AF212" s="109" t="s">
        <v>375</v>
      </c>
      <c r="AG212" s="108"/>
      <c r="AH212" s="111"/>
      <c r="AI212" s="100"/>
      <c r="AJ212" s="110"/>
      <c r="AK212" s="11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1:48" ht="16.3">
      <c r="A213" s="246" t="s">
        <v>1</v>
      </c>
      <c r="B213" s="274">
        <f>SUM(J213+K213+L213+M213+N213+S213+V213+W213+X213+AA213+AI213+AJ213+AI213+AM213+AP213+AQ213+AS213+AT213+AU213+AV213+AN213)</f>
        <v>0</v>
      </c>
      <c r="C213" s="215">
        <f>B213</f>
        <v>0</v>
      </c>
      <c r="D213" s="133"/>
      <c r="E213" s="134"/>
      <c r="F213" s="135"/>
      <c r="G213" s="136"/>
      <c r="H213" s="96"/>
      <c r="I213" s="105"/>
      <c r="J213" s="104"/>
      <c r="K213" s="75"/>
      <c r="L213" s="75"/>
      <c r="M213" s="75"/>
      <c r="N213" s="75"/>
      <c r="O213" s="97"/>
      <c r="P213" s="108"/>
      <c r="Q213" s="109"/>
      <c r="R213" s="109"/>
      <c r="S213" s="100"/>
      <c r="T213" s="106"/>
      <c r="U213" s="137"/>
      <c r="V213" s="100"/>
      <c r="W213" s="100"/>
      <c r="X213" s="100"/>
      <c r="Y213" s="110"/>
      <c r="Z213" s="110"/>
      <c r="AA213" s="100"/>
      <c r="AB213" s="109"/>
      <c r="AC213" s="109"/>
      <c r="AD213" s="108"/>
      <c r="AE213" s="109"/>
      <c r="AF213" s="109"/>
      <c r="AG213" s="108"/>
      <c r="AH213" s="111"/>
      <c r="AI213" s="100"/>
      <c r="AJ213" s="110"/>
      <c r="AK213" s="11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1:48" ht="16.3">
      <c r="A214" s="246" t="s">
        <v>2</v>
      </c>
      <c r="B214" s="274">
        <f>SUM(J214+K214+L214+M214+N214+S214+V214+W214+X214+AA214+AI214+AJ214+AI214+AM214+AP214+AQ214+AS214+AT214+AU214+AV214)</f>
        <v>0</v>
      </c>
      <c r="C214" s="215">
        <f t="shared" ref="C214:C217" si="32">B214</f>
        <v>0</v>
      </c>
      <c r="D214" s="133"/>
      <c r="E214" s="134"/>
      <c r="F214" s="135"/>
      <c r="G214" s="136"/>
      <c r="H214" s="96"/>
      <c r="I214" s="105"/>
      <c r="J214" s="104"/>
      <c r="K214" s="75"/>
      <c r="L214" s="75"/>
      <c r="M214" s="75"/>
      <c r="N214" s="75"/>
      <c r="O214" s="97">
        <v>1</v>
      </c>
      <c r="P214" s="108"/>
      <c r="Q214" s="109"/>
      <c r="R214" s="109">
        <v>1</v>
      </c>
      <c r="S214" s="100"/>
      <c r="T214" s="106"/>
      <c r="U214" s="137"/>
      <c r="V214" s="100"/>
      <c r="W214" s="100"/>
      <c r="X214" s="100"/>
      <c r="Y214" s="110"/>
      <c r="Z214" s="110"/>
      <c r="AA214" s="100"/>
      <c r="AB214" s="109">
        <v>1</v>
      </c>
      <c r="AC214" s="109">
        <v>1</v>
      </c>
      <c r="AD214" s="108"/>
      <c r="AE214" s="109">
        <v>1</v>
      </c>
      <c r="AF214" s="109">
        <v>1</v>
      </c>
      <c r="AG214" s="108"/>
      <c r="AH214" s="111"/>
      <c r="AI214" s="100"/>
      <c r="AJ214" s="110"/>
      <c r="AK214" s="11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1:48" ht="16.3">
      <c r="A215" s="83" t="s">
        <v>363</v>
      </c>
      <c r="B215" s="273">
        <f>SUM(B213+B214)</f>
        <v>0</v>
      </c>
      <c r="C215" s="214">
        <f t="shared" si="32"/>
        <v>0</v>
      </c>
      <c r="D215" s="133"/>
      <c r="E215" s="134"/>
      <c r="F215" s="135"/>
      <c r="G215" s="136"/>
      <c r="H215" s="96"/>
      <c r="I215" s="105"/>
      <c r="J215" s="104"/>
      <c r="K215" s="75"/>
      <c r="L215" s="75"/>
      <c r="M215" s="75"/>
      <c r="N215" s="75"/>
      <c r="O215" s="97"/>
      <c r="P215" s="108"/>
      <c r="Q215" s="109"/>
      <c r="R215" s="109"/>
      <c r="S215" s="100"/>
      <c r="T215" s="106"/>
      <c r="U215" s="137"/>
      <c r="V215" s="100"/>
      <c r="W215" s="100"/>
      <c r="X215" s="100"/>
      <c r="Y215" s="110"/>
      <c r="Z215" s="110"/>
      <c r="AA215" s="100"/>
      <c r="AB215" s="109"/>
      <c r="AC215" s="109"/>
      <c r="AD215" s="108"/>
      <c r="AE215" s="109"/>
      <c r="AF215" s="109"/>
      <c r="AG215" s="108"/>
      <c r="AH215" s="111"/>
      <c r="AI215" s="100"/>
      <c r="AJ215" s="110"/>
      <c r="AK215" s="11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1:48" ht="16.3">
      <c r="A216" s="83" t="s">
        <v>3</v>
      </c>
      <c r="B216" s="273">
        <f>SUM(J216+K216+L216+M216+N216+S216+V216+W216+X216+AA216+AI216+AJ216+AI216+AM216+AP216+AQ216+AS216+AT216+AU216+AV216)</f>
        <v>0</v>
      </c>
      <c r="C216" s="214">
        <f t="shared" si="32"/>
        <v>0</v>
      </c>
      <c r="D216" s="133"/>
      <c r="E216" s="134"/>
      <c r="F216" s="135"/>
      <c r="G216" s="136"/>
      <c r="H216" s="96"/>
      <c r="I216" s="105"/>
      <c r="J216" s="104"/>
      <c r="K216" s="75"/>
      <c r="L216" s="75"/>
      <c r="M216" s="75"/>
      <c r="N216" s="75"/>
      <c r="O216" s="97"/>
      <c r="P216" s="108"/>
      <c r="Q216" s="109"/>
      <c r="R216" s="109"/>
      <c r="S216" s="100"/>
      <c r="T216" s="106"/>
      <c r="U216" s="137"/>
      <c r="V216" s="100"/>
      <c r="W216" s="100"/>
      <c r="X216" s="100"/>
      <c r="Y216" s="110"/>
      <c r="Z216" s="110"/>
      <c r="AA216" s="100"/>
      <c r="AB216" s="109"/>
      <c r="AC216" s="109"/>
      <c r="AD216" s="108"/>
      <c r="AE216" s="109"/>
      <c r="AF216" s="109"/>
      <c r="AG216" s="108"/>
      <c r="AH216" s="111"/>
      <c r="AI216" s="100"/>
      <c r="AJ216" s="110"/>
      <c r="AK216" s="11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1:48" ht="17" thickBot="1">
      <c r="A217" s="85" t="s">
        <v>4</v>
      </c>
      <c r="B217" s="275">
        <f>SUM(J217+K217+L217+M217+N217+S217+V217+W217+X217+AA217+AI217+AJ217+AI217+AM217+AP217+AQ217+AS217+AT217+AU217+AV217)</f>
        <v>0</v>
      </c>
      <c r="C217" s="217">
        <f t="shared" si="32"/>
        <v>0</v>
      </c>
      <c r="D217" s="144"/>
      <c r="E217" s="145"/>
      <c r="F217" s="146"/>
      <c r="G217" s="147"/>
      <c r="H217" s="114"/>
      <c r="I217" s="127"/>
      <c r="J217" s="113"/>
      <c r="K217" s="112"/>
      <c r="L217" s="112"/>
      <c r="M217" s="112"/>
      <c r="N217" s="112"/>
      <c r="O217" s="115"/>
      <c r="P217" s="117"/>
      <c r="Q217" s="118"/>
      <c r="R217" s="118"/>
      <c r="S217" s="116"/>
      <c r="T217" s="119"/>
      <c r="U217" s="148"/>
      <c r="V217" s="116"/>
      <c r="W217" s="116"/>
      <c r="X217" s="116"/>
      <c r="Y217" s="120"/>
      <c r="Z217" s="120"/>
      <c r="AA217" s="116"/>
      <c r="AB217" s="118"/>
      <c r="AC217" s="118"/>
      <c r="AD217" s="117"/>
      <c r="AE217" s="118"/>
      <c r="AF217" s="118"/>
      <c r="AG217" s="117"/>
      <c r="AH217" s="121"/>
      <c r="AI217" s="116"/>
      <c r="AJ217" s="120"/>
      <c r="AK217" s="120"/>
      <c r="AL217" s="116"/>
      <c r="AM217" s="116"/>
      <c r="AN217" s="116"/>
      <c r="AO217" s="116"/>
      <c r="AP217" s="116"/>
      <c r="AQ217" s="116"/>
      <c r="AR217" s="116"/>
      <c r="AS217" s="116"/>
      <c r="AT217" s="116"/>
    </row>
    <row r="218" spans="1:48" ht="21.1">
      <c r="A218" s="82" t="s">
        <v>285</v>
      </c>
      <c r="B218" s="274"/>
      <c r="C218" s="215"/>
      <c r="D218" s="139"/>
      <c r="E218" s="140"/>
      <c r="F218" s="169"/>
      <c r="G218" s="170"/>
      <c r="H218" s="189"/>
      <c r="I218" s="190"/>
      <c r="J218" s="104" t="s">
        <v>370</v>
      </c>
      <c r="K218" s="75" t="s">
        <v>370</v>
      </c>
      <c r="L218" s="75" t="s">
        <v>370</v>
      </c>
      <c r="M218" s="75" t="s">
        <v>370</v>
      </c>
      <c r="N218" s="75">
        <v>1</v>
      </c>
      <c r="O218" s="97" t="s">
        <v>775</v>
      </c>
      <c r="P218" s="108"/>
      <c r="Q218" s="109" t="s">
        <v>775</v>
      </c>
      <c r="R218" s="109" t="s">
        <v>775</v>
      </c>
      <c r="S218" s="100" t="s">
        <v>370</v>
      </c>
      <c r="T218" s="106" t="s">
        <v>339</v>
      </c>
      <c r="U218" s="137" t="s">
        <v>339</v>
      </c>
      <c r="V218" s="100" t="s">
        <v>339</v>
      </c>
      <c r="W218" s="100" t="s">
        <v>339</v>
      </c>
      <c r="X218" s="100" t="s">
        <v>339</v>
      </c>
      <c r="Y218" s="110" t="s">
        <v>339</v>
      </c>
      <c r="Z218" s="110" t="s">
        <v>339</v>
      </c>
      <c r="AA218" s="100" t="s">
        <v>339</v>
      </c>
      <c r="AB218" s="109" t="s">
        <v>339</v>
      </c>
      <c r="AC218" s="109" t="s">
        <v>339</v>
      </c>
      <c r="AD218" s="108"/>
      <c r="AE218" s="109" t="s">
        <v>339</v>
      </c>
      <c r="AF218" s="109" t="s">
        <v>339</v>
      </c>
      <c r="AG218" s="108"/>
      <c r="AH218" s="111"/>
      <c r="AI218" s="100"/>
      <c r="AJ218" s="110"/>
      <c r="AK218" s="110"/>
      <c r="AL218" s="100"/>
      <c r="AM218" s="100"/>
      <c r="AN218" s="100"/>
      <c r="AO218" s="100"/>
      <c r="AP218" s="100"/>
      <c r="AQ218" s="100"/>
      <c r="AR218" s="100"/>
      <c r="AS218" s="100"/>
      <c r="AT218" s="100"/>
      <c r="AU218" s="15"/>
      <c r="AV218" s="15"/>
    </row>
    <row r="219" spans="1:48" ht="16.3">
      <c r="A219" s="246" t="s">
        <v>1</v>
      </c>
      <c r="B219" s="274">
        <f>SUM(J219+K219+L219+M219+N219+S219+V219+W219+X219+AA219+AI219+AJ219+AI219+AM219+AP219+AQ219+AS219+AT219+AU219+AV219+AN219)+16</f>
        <v>22</v>
      </c>
      <c r="C219" s="215">
        <f>B219</f>
        <v>22</v>
      </c>
      <c r="D219" s="139"/>
      <c r="E219" s="140"/>
      <c r="F219" s="169"/>
      <c r="G219" s="170"/>
      <c r="H219" s="189"/>
      <c r="I219" s="190"/>
      <c r="J219" s="188">
        <v>1</v>
      </c>
      <c r="K219" s="75">
        <v>1</v>
      </c>
      <c r="L219" s="75">
        <v>1</v>
      </c>
      <c r="M219" s="75">
        <v>1</v>
      </c>
      <c r="N219" s="75">
        <v>1</v>
      </c>
      <c r="O219" s="97"/>
      <c r="P219" s="108"/>
      <c r="Q219" s="109"/>
      <c r="R219" s="109"/>
      <c r="S219" s="100">
        <v>1</v>
      </c>
      <c r="T219" s="106"/>
      <c r="U219" s="137"/>
      <c r="V219" s="100"/>
      <c r="W219" s="100"/>
      <c r="X219" s="100"/>
      <c r="Y219" s="110"/>
      <c r="Z219" s="110"/>
      <c r="AA219" s="100"/>
      <c r="AB219" s="109"/>
      <c r="AC219" s="109"/>
      <c r="AD219" s="108"/>
      <c r="AE219" s="109"/>
      <c r="AF219" s="109"/>
      <c r="AG219" s="108"/>
      <c r="AH219" s="111"/>
      <c r="AI219" s="100"/>
      <c r="AJ219" s="110"/>
      <c r="AK219" s="11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5"/>
      <c r="AV219" s="15"/>
    </row>
    <row r="220" spans="1:48" ht="16.3">
      <c r="A220" s="246" t="s">
        <v>2</v>
      </c>
      <c r="B220" s="274">
        <f>SUM(J220+K220+L220+M220+N220+S220+V220+W220+X220+AA220+AI220+AJ220+AI220+AM220+AP220+AQ220+AS220+AT220+AU220+AV220)+8</f>
        <v>8</v>
      </c>
      <c r="C220" s="215">
        <f t="shared" ref="C220:C224" si="33">B220</f>
        <v>8</v>
      </c>
      <c r="D220" s="139"/>
      <c r="E220" s="140"/>
      <c r="F220" s="169"/>
      <c r="G220" s="170"/>
      <c r="H220" s="189"/>
      <c r="I220" s="190"/>
      <c r="J220" s="188"/>
      <c r="K220" s="75"/>
      <c r="L220" s="75"/>
      <c r="M220" s="75"/>
      <c r="N220" s="75"/>
      <c r="O220" s="97"/>
      <c r="P220" s="108"/>
      <c r="Q220" s="109"/>
      <c r="R220" s="109"/>
      <c r="S220" s="100"/>
      <c r="T220" s="106"/>
      <c r="U220" s="137"/>
      <c r="V220" s="100"/>
      <c r="W220" s="100"/>
      <c r="X220" s="100"/>
      <c r="Y220" s="110"/>
      <c r="Z220" s="110"/>
      <c r="AA220" s="100"/>
      <c r="AB220" s="109"/>
      <c r="AC220" s="109"/>
      <c r="AD220" s="108"/>
      <c r="AE220" s="109"/>
      <c r="AF220" s="109"/>
      <c r="AG220" s="108"/>
      <c r="AH220" s="111"/>
      <c r="AI220" s="100"/>
      <c r="AJ220" s="110"/>
      <c r="AK220" s="11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5"/>
      <c r="AV220" s="15"/>
    </row>
    <row r="221" spans="1:48" ht="16.3">
      <c r="A221" s="83" t="s">
        <v>363</v>
      </c>
      <c r="B221" s="273">
        <f>SUM(B219+B220)</f>
        <v>30</v>
      </c>
      <c r="C221" s="214">
        <f t="shared" si="33"/>
        <v>30</v>
      </c>
      <c r="D221" s="139"/>
      <c r="E221" s="140"/>
      <c r="F221" s="169"/>
      <c r="G221" s="170"/>
      <c r="H221" s="189"/>
      <c r="I221" s="190"/>
      <c r="J221" s="188"/>
      <c r="K221" s="75"/>
      <c r="L221" s="75"/>
      <c r="M221" s="75"/>
      <c r="N221" s="75"/>
      <c r="O221" s="97"/>
      <c r="P221" s="108"/>
      <c r="Q221" s="109"/>
      <c r="R221" s="109"/>
      <c r="S221" s="100"/>
      <c r="T221" s="106"/>
      <c r="U221" s="137"/>
      <c r="V221" s="100"/>
      <c r="W221" s="100"/>
      <c r="X221" s="100"/>
      <c r="Y221" s="110"/>
      <c r="Z221" s="110"/>
      <c r="AA221" s="100"/>
      <c r="AB221" s="109"/>
      <c r="AC221" s="109"/>
      <c r="AD221" s="108"/>
      <c r="AE221" s="109"/>
      <c r="AF221" s="109"/>
      <c r="AG221" s="108"/>
      <c r="AH221" s="111"/>
      <c r="AI221" s="100"/>
      <c r="AJ221" s="110"/>
      <c r="AK221" s="110"/>
      <c r="AL221" s="100"/>
      <c r="AM221" s="100"/>
      <c r="AN221" s="100"/>
      <c r="AO221" s="100"/>
      <c r="AP221" s="100"/>
      <c r="AQ221" s="100"/>
      <c r="AR221" s="100"/>
      <c r="AS221" s="100"/>
      <c r="AT221" s="100"/>
      <c r="AU221" s="15"/>
      <c r="AV221" s="15"/>
    </row>
    <row r="222" spans="1:48" ht="16.3">
      <c r="A222" s="246" t="s">
        <v>362</v>
      </c>
      <c r="B222" s="274">
        <f>SUM(J222+K222+L222+M222+N222+S222+V222+W222+X222+AA222+AI222+AJ222+AI222+AM222+AP222+AQ222+AS222+AT222+AU222+AV222)+1</f>
        <v>1</v>
      </c>
      <c r="C222" s="215">
        <f t="shared" si="33"/>
        <v>1</v>
      </c>
      <c r="D222" s="139"/>
      <c r="E222" s="140"/>
      <c r="F222" s="169"/>
      <c r="G222" s="170"/>
      <c r="H222" s="189"/>
      <c r="I222" s="190"/>
      <c r="J222" s="188"/>
      <c r="K222" s="75"/>
      <c r="L222" s="75"/>
      <c r="M222" s="75"/>
      <c r="N222" s="75"/>
      <c r="O222" s="97"/>
      <c r="P222" s="108"/>
      <c r="Q222" s="109"/>
      <c r="R222" s="109"/>
      <c r="S222" s="100"/>
      <c r="T222" s="106"/>
      <c r="U222" s="137"/>
      <c r="V222" s="100"/>
      <c r="W222" s="100"/>
      <c r="X222" s="100"/>
      <c r="Y222" s="110"/>
      <c r="Z222" s="110"/>
      <c r="AA222" s="100"/>
      <c r="AB222" s="109"/>
      <c r="AC222" s="109"/>
      <c r="AD222" s="108"/>
      <c r="AE222" s="109"/>
      <c r="AF222" s="109"/>
      <c r="AG222" s="108"/>
      <c r="AH222" s="111"/>
      <c r="AI222" s="100"/>
      <c r="AJ222" s="110"/>
      <c r="AK222" s="110"/>
      <c r="AL222" s="100"/>
      <c r="AM222" s="100"/>
      <c r="AN222" s="100"/>
      <c r="AO222" s="100"/>
      <c r="AP222" s="100"/>
      <c r="AQ222" s="100"/>
      <c r="AR222" s="100"/>
      <c r="AS222" s="100"/>
      <c r="AT222" s="100"/>
      <c r="AU222" s="15"/>
      <c r="AV222" s="15"/>
    </row>
    <row r="223" spans="1:48" ht="16.3">
      <c r="A223" s="83" t="s">
        <v>3</v>
      </c>
      <c r="B223" s="273">
        <f>SUM(J223+K223+L223+M223+N223+S223+V223+W223+X223+AA223+AI223+AJ223+AI223+AM223+AP223+AQ223+AS223+AT223+AU223+AV223)+2</f>
        <v>2</v>
      </c>
      <c r="C223" s="214">
        <f t="shared" si="33"/>
        <v>2</v>
      </c>
      <c r="D223" s="139"/>
      <c r="E223" s="140"/>
      <c r="F223" s="169"/>
      <c r="G223" s="170"/>
      <c r="H223" s="189"/>
      <c r="I223" s="190"/>
      <c r="J223" s="188"/>
      <c r="K223" s="75"/>
      <c r="L223" s="75"/>
      <c r="M223" s="75"/>
      <c r="N223" s="75"/>
      <c r="O223" s="97"/>
      <c r="P223" s="108"/>
      <c r="Q223" s="109"/>
      <c r="R223" s="109"/>
      <c r="S223" s="100"/>
      <c r="T223" s="106"/>
      <c r="U223" s="137"/>
      <c r="V223" s="100"/>
      <c r="W223" s="100"/>
      <c r="X223" s="100"/>
      <c r="Y223" s="110"/>
      <c r="Z223" s="110"/>
      <c r="AA223" s="100"/>
      <c r="AB223" s="109"/>
      <c r="AC223" s="109"/>
      <c r="AD223" s="108"/>
      <c r="AE223" s="109"/>
      <c r="AF223" s="109"/>
      <c r="AG223" s="108"/>
      <c r="AH223" s="111"/>
      <c r="AI223" s="100"/>
      <c r="AJ223" s="110"/>
      <c r="AK223" s="11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5"/>
      <c r="AV223" s="15"/>
    </row>
    <row r="224" spans="1:48" ht="17" thickBot="1">
      <c r="A224" s="85" t="s">
        <v>4</v>
      </c>
      <c r="B224" s="275">
        <f>SUM(J224+K224+L224+M224+N224+S224+V224+W224+X224+AA224+AI224+AJ224+AI224+AM224+AP224+AQ224+AS224+AT224+AU224+AV224)+10</f>
        <v>10</v>
      </c>
      <c r="C224" s="217">
        <f t="shared" si="33"/>
        <v>10</v>
      </c>
      <c r="D224" s="196"/>
      <c r="E224" s="197"/>
      <c r="F224" s="198"/>
      <c r="G224" s="199"/>
      <c r="H224" s="201"/>
      <c r="I224" s="259"/>
      <c r="J224" s="200"/>
      <c r="K224" s="112"/>
      <c r="L224" s="112"/>
      <c r="M224" s="112"/>
      <c r="N224" s="112"/>
      <c r="O224" s="118"/>
      <c r="P224" s="117"/>
      <c r="Q224" s="118"/>
      <c r="R224" s="118"/>
      <c r="S224" s="112"/>
      <c r="T224" s="119"/>
      <c r="U224" s="148"/>
      <c r="V224" s="116"/>
      <c r="W224" s="116"/>
      <c r="X224" s="116"/>
      <c r="Y224" s="120"/>
      <c r="Z224" s="120"/>
      <c r="AA224" s="112"/>
      <c r="AB224" s="118"/>
      <c r="AC224" s="118"/>
      <c r="AD224" s="117"/>
      <c r="AE224" s="118"/>
      <c r="AF224" s="118"/>
      <c r="AG224" s="117"/>
      <c r="AH224" s="121"/>
      <c r="AI224" s="116"/>
      <c r="AJ224" s="120"/>
      <c r="AK224" s="120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5"/>
      <c r="AV224" s="15"/>
    </row>
    <row r="225" spans="1:46" ht="21.1">
      <c r="A225" s="82" t="s">
        <v>110</v>
      </c>
      <c r="B225" s="273"/>
      <c r="C225" s="214"/>
      <c r="D225" s="133"/>
      <c r="E225" s="134"/>
      <c r="F225" s="135"/>
      <c r="G225" s="136"/>
      <c r="H225" s="96" t="s">
        <v>370</v>
      </c>
      <c r="I225" s="105"/>
      <c r="J225" s="104"/>
      <c r="K225" s="75"/>
      <c r="L225" s="75" t="s">
        <v>375</v>
      </c>
      <c r="M225" s="75" t="s">
        <v>375</v>
      </c>
      <c r="N225" s="75" t="s">
        <v>370</v>
      </c>
      <c r="O225" s="97" t="s">
        <v>370</v>
      </c>
      <c r="P225" s="108"/>
      <c r="Q225" s="109" t="s">
        <v>370</v>
      </c>
      <c r="R225" s="109" t="s">
        <v>370</v>
      </c>
      <c r="S225" s="100" t="s">
        <v>375</v>
      </c>
      <c r="T225" s="106" t="s">
        <v>375</v>
      </c>
      <c r="U225" s="137" t="s">
        <v>375</v>
      </c>
      <c r="V225" s="100" t="s">
        <v>375</v>
      </c>
      <c r="W225" s="100" t="s">
        <v>370</v>
      </c>
      <c r="X225" s="100" t="s">
        <v>370</v>
      </c>
      <c r="Y225" s="110" t="s">
        <v>370</v>
      </c>
      <c r="Z225" s="110" t="s">
        <v>370</v>
      </c>
      <c r="AA225" s="100" t="s">
        <v>370</v>
      </c>
      <c r="AB225" s="109"/>
      <c r="AC225" s="109"/>
      <c r="AD225" s="108"/>
      <c r="AE225" s="109" t="s">
        <v>370</v>
      </c>
      <c r="AF225" s="109" t="s">
        <v>370</v>
      </c>
      <c r="AG225" s="108"/>
      <c r="AH225" s="111"/>
      <c r="AI225" s="100"/>
      <c r="AJ225" s="110"/>
      <c r="AK225" s="110"/>
      <c r="AL225" s="100"/>
      <c r="AM225" s="100"/>
      <c r="AN225" s="100"/>
      <c r="AO225" s="100"/>
      <c r="AP225" s="100"/>
      <c r="AQ225" s="102"/>
      <c r="AR225" s="102"/>
      <c r="AS225" s="102"/>
      <c r="AT225" s="102"/>
    </row>
    <row r="226" spans="1:46" ht="16.3">
      <c r="A226" s="246" t="s">
        <v>1</v>
      </c>
      <c r="B226" s="274">
        <f>SUM(J226+K226+L226+M226+N226+S226+V226+W226+X226+AA226+AI226+AJ226+AI226+AM226+AP226+AQ226+AS226+AT226+AU226+AV226+AN226)+10</f>
        <v>14</v>
      </c>
      <c r="C226" s="215">
        <f>B226</f>
        <v>14</v>
      </c>
      <c r="D226" s="133"/>
      <c r="E226" s="134"/>
      <c r="F226" s="135"/>
      <c r="G226" s="136"/>
      <c r="H226" s="96">
        <v>1</v>
      </c>
      <c r="I226" s="105"/>
      <c r="J226" s="104"/>
      <c r="K226" s="75"/>
      <c r="L226" s="75"/>
      <c r="M226" s="75"/>
      <c r="N226" s="75">
        <v>1</v>
      </c>
      <c r="O226" s="97">
        <v>1</v>
      </c>
      <c r="P226" s="108"/>
      <c r="Q226" s="109">
        <v>1</v>
      </c>
      <c r="R226" s="109">
        <v>1</v>
      </c>
      <c r="S226" s="100"/>
      <c r="T226" s="106"/>
      <c r="U226" s="137"/>
      <c r="V226" s="100"/>
      <c r="W226" s="100">
        <v>1</v>
      </c>
      <c r="X226" s="100">
        <v>1</v>
      </c>
      <c r="Y226" s="110">
        <v>1</v>
      </c>
      <c r="Z226" s="110">
        <v>1</v>
      </c>
      <c r="AA226" s="100">
        <v>1</v>
      </c>
      <c r="AB226" s="109"/>
      <c r="AC226" s="109"/>
      <c r="AD226" s="108"/>
      <c r="AE226" s="109">
        <v>1</v>
      </c>
      <c r="AF226" s="109">
        <v>1</v>
      </c>
      <c r="AG226" s="108"/>
      <c r="AH226" s="111"/>
      <c r="AI226" s="100"/>
      <c r="AJ226" s="110"/>
      <c r="AK226" s="11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1:46" ht="16.3">
      <c r="A227" s="246" t="s">
        <v>2</v>
      </c>
      <c r="B227" s="274">
        <f>SUM(J227+K227+L227+M227+N227+S227+V227+W227+X227+AA227+AI227+AJ227+AI227+AM227+AP227+AQ227+AS227+AT227+AU227+AV227)+27</f>
        <v>31</v>
      </c>
      <c r="C227" s="215">
        <f t="shared" ref="C227:C230" si="34">B227</f>
        <v>31</v>
      </c>
      <c r="D227" s="133"/>
      <c r="E227" s="134"/>
      <c r="F227" s="135"/>
      <c r="G227" s="136"/>
      <c r="H227" s="96"/>
      <c r="I227" s="105"/>
      <c r="J227" s="104"/>
      <c r="K227" s="75"/>
      <c r="L227" s="75">
        <v>1</v>
      </c>
      <c r="M227" s="75">
        <v>1</v>
      </c>
      <c r="N227" s="75"/>
      <c r="O227" s="97"/>
      <c r="P227" s="108"/>
      <c r="Q227" s="109"/>
      <c r="R227" s="109"/>
      <c r="S227" s="100">
        <v>1</v>
      </c>
      <c r="T227" s="106">
        <v>1</v>
      </c>
      <c r="U227" s="137">
        <v>1</v>
      </c>
      <c r="V227" s="100">
        <v>1</v>
      </c>
      <c r="W227" s="100"/>
      <c r="X227" s="100"/>
      <c r="Y227" s="110"/>
      <c r="Z227" s="110"/>
      <c r="AA227" s="100"/>
      <c r="AB227" s="109"/>
      <c r="AC227" s="109"/>
      <c r="AD227" s="108"/>
      <c r="AE227" s="109"/>
      <c r="AF227" s="109"/>
      <c r="AG227" s="108"/>
      <c r="AH227" s="111"/>
      <c r="AI227" s="100"/>
      <c r="AJ227" s="110"/>
      <c r="AK227" s="11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1:46" ht="16.3">
      <c r="A228" s="83" t="s">
        <v>363</v>
      </c>
      <c r="B228" s="273">
        <f>SUM(B226+B227)</f>
        <v>45</v>
      </c>
      <c r="C228" s="214">
        <f t="shared" si="34"/>
        <v>45</v>
      </c>
      <c r="D228" s="133"/>
      <c r="E228" s="134"/>
      <c r="F228" s="135"/>
      <c r="G228" s="136"/>
      <c r="H228" s="96"/>
      <c r="I228" s="105"/>
      <c r="J228" s="104"/>
      <c r="K228" s="75"/>
      <c r="L228" s="75"/>
      <c r="M228" s="75"/>
      <c r="N228" s="75"/>
      <c r="O228" s="97"/>
      <c r="P228" s="108"/>
      <c r="Q228" s="109"/>
      <c r="R228" s="109"/>
      <c r="S228" s="100"/>
      <c r="T228" s="106"/>
      <c r="U228" s="137"/>
      <c r="V228" s="100"/>
      <c r="W228" s="100"/>
      <c r="X228" s="100"/>
      <c r="Y228" s="110"/>
      <c r="Z228" s="110"/>
      <c r="AA228" s="100"/>
      <c r="AB228" s="109"/>
      <c r="AC228" s="109"/>
      <c r="AD228" s="108"/>
      <c r="AE228" s="109"/>
      <c r="AF228" s="109"/>
      <c r="AG228" s="108"/>
      <c r="AH228" s="111"/>
      <c r="AI228" s="100"/>
      <c r="AJ228" s="110"/>
      <c r="AK228" s="11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1:46" ht="16.3">
      <c r="A229" s="246" t="s">
        <v>362</v>
      </c>
      <c r="B229" s="274">
        <f>SUM(J229+K229+L229+M229+N229+S229+V229+W229+X229+AA229+AI229+AJ229+AI229+AM229+AP229+AQ229+AS229+AT229+AU229+AV229)+1</f>
        <v>1</v>
      </c>
      <c r="C229" s="215">
        <f t="shared" si="34"/>
        <v>1</v>
      </c>
      <c r="D229" s="133"/>
      <c r="E229" s="134"/>
      <c r="F229" s="135"/>
      <c r="G229" s="136"/>
      <c r="H229" s="96"/>
      <c r="I229" s="105"/>
      <c r="J229" s="104"/>
      <c r="K229" s="75"/>
      <c r="L229" s="75"/>
      <c r="M229" s="75"/>
      <c r="N229" s="75"/>
      <c r="O229" s="97"/>
      <c r="P229" s="108"/>
      <c r="Q229" s="109"/>
      <c r="R229" s="109"/>
      <c r="S229" s="100"/>
      <c r="T229" s="106"/>
      <c r="U229" s="137"/>
      <c r="V229" s="100"/>
      <c r="W229" s="100"/>
      <c r="X229" s="100"/>
      <c r="Y229" s="110"/>
      <c r="Z229" s="110"/>
      <c r="AA229" s="100"/>
      <c r="AB229" s="109"/>
      <c r="AC229" s="109"/>
      <c r="AD229" s="108"/>
      <c r="AE229" s="109"/>
      <c r="AF229" s="109"/>
      <c r="AG229" s="108"/>
      <c r="AH229" s="111"/>
      <c r="AI229" s="100"/>
      <c r="AJ229" s="110"/>
      <c r="AK229" s="11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1:46" ht="16.3">
      <c r="A230" s="83" t="s">
        <v>3</v>
      </c>
      <c r="B230" s="273">
        <f>SUM(J230+K230+L230+M230+N230+S230+V230+W230+X230+AA230+AI230+AJ230+AI230+AM230+AP230+AQ230+AS230+AT230+AU230+AV230)</f>
        <v>0</v>
      </c>
      <c r="C230" s="214">
        <f t="shared" si="34"/>
        <v>0</v>
      </c>
      <c r="D230" s="133"/>
      <c r="E230" s="134"/>
      <c r="F230" s="135"/>
      <c r="G230" s="136"/>
      <c r="H230" s="96"/>
      <c r="I230" s="105"/>
      <c r="J230" s="104"/>
      <c r="K230" s="75"/>
      <c r="L230" s="75"/>
      <c r="M230" s="75"/>
      <c r="N230" s="75"/>
      <c r="O230" s="97">
        <v>1</v>
      </c>
      <c r="P230" s="108"/>
      <c r="Q230" s="109"/>
      <c r="R230" s="109"/>
      <c r="S230" s="100"/>
      <c r="T230" s="106"/>
      <c r="U230" s="137"/>
      <c r="V230" s="100"/>
      <c r="W230" s="100"/>
      <c r="X230" s="100"/>
      <c r="Y230" s="110"/>
      <c r="Z230" s="110"/>
      <c r="AA230" s="100"/>
      <c r="AB230" s="109"/>
      <c r="AC230" s="109"/>
      <c r="AD230" s="108"/>
      <c r="AE230" s="109"/>
      <c r="AF230" s="109"/>
      <c r="AG230" s="108"/>
      <c r="AH230" s="111"/>
      <c r="AI230" s="100"/>
      <c r="AJ230" s="110"/>
      <c r="AK230" s="11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1:46" ht="17" thickBot="1">
      <c r="A231" s="85" t="s">
        <v>4</v>
      </c>
      <c r="B231" s="275">
        <f>SUM(J231+K231+L231+M231+N231+S231+V231+W231+X231+AA231+AI231+AJ231+AI231+AM231+AP231+AQ231+AS231+AT231+AU231+AV231)</f>
        <v>0</v>
      </c>
      <c r="C231" s="217">
        <f t="shared" ref="C231" si="35">B231</f>
        <v>0</v>
      </c>
      <c r="D231" s="144"/>
      <c r="E231" s="145"/>
      <c r="F231" s="146"/>
      <c r="G231" s="147"/>
      <c r="H231" s="114"/>
      <c r="I231" s="127"/>
      <c r="J231" s="113"/>
      <c r="K231" s="112"/>
      <c r="L231" s="112"/>
      <c r="M231" s="112"/>
      <c r="N231" s="112"/>
      <c r="O231" s="115">
        <v>5</v>
      </c>
      <c r="P231" s="108"/>
      <c r="Q231" s="118"/>
      <c r="R231" s="118"/>
      <c r="S231" s="112"/>
      <c r="T231" s="119"/>
      <c r="U231" s="148"/>
      <c r="V231" s="116"/>
      <c r="W231" s="116"/>
      <c r="X231" s="116"/>
      <c r="Y231" s="120"/>
      <c r="Z231" s="120"/>
      <c r="AA231" s="116"/>
      <c r="AB231" s="118"/>
      <c r="AC231" s="118"/>
      <c r="AD231" s="117"/>
      <c r="AE231" s="118"/>
      <c r="AF231" s="118"/>
      <c r="AG231" s="117"/>
      <c r="AH231" s="121"/>
      <c r="AI231" s="116"/>
      <c r="AJ231" s="120"/>
      <c r="AK231" s="120"/>
      <c r="AL231" s="116"/>
      <c r="AM231" s="116"/>
      <c r="AN231" s="116"/>
      <c r="AO231" s="116"/>
      <c r="AP231" s="116"/>
      <c r="AQ231" s="116"/>
      <c r="AR231" s="116"/>
      <c r="AS231" s="116"/>
      <c r="AT231" s="116"/>
    </row>
    <row r="232" spans="1:46" ht="21.1">
      <c r="A232" s="82" t="s">
        <v>466</v>
      </c>
      <c r="B232" s="273"/>
      <c r="C232" s="214"/>
      <c r="D232" s="133"/>
      <c r="E232" s="134"/>
      <c r="F232" s="135"/>
      <c r="G232" s="136"/>
      <c r="H232" s="96"/>
      <c r="I232" s="105"/>
      <c r="J232" s="104" t="s">
        <v>375</v>
      </c>
      <c r="K232" s="75" t="s">
        <v>375</v>
      </c>
      <c r="L232" s="75" t="s">
        <v>703</v>
      </c>
      <c r="M232" s="75" t="s">
        <v>703</v>
      </c>
      <c r="N232" s="75"/>
      <c r="O232" s="97"/>
      <c r="P232" s="108"/>
      <c r="Q232" s="109"/>
      <c r="R232" s="109"/>
      <c r="S232" s="100"/>
      <c r="T232" s="106" t="s">
        <v>370</v>
      </c>
      <c r="U232" s="137" t="s">
        <v>370</v>
      </c>
      <c r="V232" s="100" t="s">
        <v>370</v>
      </c>
      <c r="W232" s="100" t="s">
        <v>375</v>
      </c>
      <c r="X232" s="100"/>
      <c r="Y232" s="110"/>
      <c r="Z232" s="110"/>
      <c r="AA232" s="100"/>
      <c r="AB232" s="109"/>
      <c r="AC232" s="109"/>
      <c r="AD232" s="108"/>
      <c r="AE232" s="109"/>
      <c r="AF232" s="109"/>
      <c r="AG232" s="108"/>
      <c r="AH232" s="111"/>
      <c r="AI232" s="100"/>
      <c r="AJ232" s="110"/>
      <c r="AK232" s="11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1:46" ht="16.3">
      <c r="A233" s="246" t="s">
        <v>1</v>
      </c>
      <c r="B233" s="274">
        <f>SUM(J233+K233+L233+M233+N233+S233+V233+W233+X233+AA233+AI233+AJ233+AI233+AM233+AP233+AQ233+AS233+AT233+AU233+AV233+AN233)+54</f>
        <v>55</v>
      </c>
      <c r="C233" s="215">
        <f>B233</f>
        <v>55</v>
      </c>
      <c r="D233" s="133"/>
      <c r="E233" s="134"/>
      <c r="F233" s="135"/>
      <c r="G233" s="136"/>
      <c r="H233" s="96"/>
      <c r="I233" s="105"/>
      <c r="J233" s="104"/>
      <c r="K233" s="75"/>
      <c r="L233" s="75"/>
      <c r="M233" s="75"/>
      <c r="N233" s="75"/>
      <c r="O233" s="97"/>
      <c r="P233" s="108"/>
      <c r="Q233" s="109"/>
      <c r="R233" s="109"/>
      <c r="S233" s="100"/>
      <c r="T233" s="106">
        <v>1</v>
      </c>
      <c r="U233" s="137">
        <v>1</v>
      </c>
      <c r="V233" s="100">
        <v>1</v>
      </c>
      <c r="W233" s="100"/>
      <c r="X233" s="100"/>
      <c r="Y233" s="110"/>
      <c r="Z233" s="110"/>
      <c r="AA233" s="100"/>
      <c r="AB233" s="109"/>
      <c r="AC233" s="109"/>
      <c r="AD233" s="108"/>
      <c r="AE233" s="109"/>
      <c r="AF233" s="109"/>
      <c r="AG233" s="108"/>
      <c r="AH233" s="111"/>
      <c r="AI233" s="100"/>
      <c r="AJ233" s="110"/>
      <c r="AK233" s="11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1:46" ht="16.3">
      <c r="A234" s="246" t="s">
        <v>2</v>
      </c>
      <c r="B234" s="274">
        <f>SUM(J234+K234+L234+M234+N234+S234+V234+W234+X234+AA234+AI234+AJ234+AI234+AM234+AP234+AQ234+AS234+AT234+AU234+AV234)+30</f>
        <v>33</v>
      </c>
      <c r="C234" s="215">
        <f t="shared" ref="C234:C238" si="36">B234</f>
        <v>33</v>
      </c>
      <c r="D234" s="133"/>
      <c r="E234" s="134"/>
      <c r="F234" s="135"/>
      <c r="G234" s="136"/>
      <c r="H234" s="96"/>
      <c r="I234" s="105"/>
      <c r="J234" s="104">
        <v>1</v>
      </c>
      <c r="K234" s="75">
        <v>1</v>
      </c>
      <c r="L234" s="75"/>
      <c r="M234" s="75"/>
      <c r="N234" s="75"/>
      <c r="O234" s="97"/>
      <c r="P234" s="108"/>
      <c r="Q234" s="109"/>
      <c r="R234" s="109"/>
      <c r="S234" s="100"/>
      <c r="T234" s="106"/>
      <c r="U234" s="137"/>
      <c r="V234" s="100"/>
      <c r="W234" s="100">
        <v>1</v>
      </c>
      <c r="X234" s="100"/>
      <c r="Y234" s="110"/>
      <c r="Z234" s="110"/>
      <c r="AA234" s="100"/>
      <c r="AB234" s="109"/>
      <c r="AC234" s="109"/>
      <c r="AD234" s="108"/>
      <c r="AE234" s="109"/>
      <c r="AF234" s="109"/>
      <c r="AG234" s="108"/>
      <c r="AH234" s="111"/>
      <c r="AI234" s="100"/>
      <c r="AJ234" s="110"/>
      <c r="AK234" s="11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1:46" ht="16.3">
      <c r="A235" s="83" t="s">
        <v>363</v>
      </c>
      <c r="B235" s="273">
        <f>SUM(B233+B234)</f>
        <v>88</v>
      </c>
      <c r="C235" s="214">
        <f t="shared" si="36"/>
        <v>88</v>
      </c>
      <c r="D235" s="133"/>
      <c r="E235" s="134"/>
      <c r="F235" s="135"/>
      <c r="G235" s="136"/>
      <c r="H235" s="96"/>
      <c r="I235" s="105"/>
      <c r="J235" s="104"/>
      <c r="K235" s="75"/>
      <c r="L235" s="75"/>
      <c r="M235" s="75"/>
      <c r="N235" s="75"/>
      <c r="O235" s="97"/>
      <c r="P235" s="108"/>
      <c r="Q235" s="109"/>
      <c r="R235" s="109"/>
      <c r="S235" s="100"/>
      <c r="T235" s="106"/>
      <c r="U235" s="137"/>
      <c r="V235" s="100"/>
      <c r="W235" s="100"/>
      <c r="X235" s="100"/>
      <c r="Y235" s="110"/>
      <c r="Z235" s="110"/>
      <c r="AA235" s="100"/>
      <c r="AB235" s="109"/>
      <c r="AC235" s="109"/>
      <c r="AD235" s="108"/>
      <c r="AE235" s="109"/>
      <c r="AF235" s="109"/>
      <c r="AG235" s="108"/>
      <c r="AH235" s="111"/>
      <c r="AI235" s="100"/>
      <c r="AJ235" s="110"/>
      <c r="AK235" s="11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1:46" ht="16.3">
      <c r="A236" s="246" t="s">
        <v>362</v>
      </c>
      <c r="B236" s="274">
        <f>SUM(J236+K236+L236+M236+N236+S236+V236+W236+X236+AA236+AI236+AJ236+AI236+AM236+AP236+AQ236+AS236+AT236+AU236+AV236)+2</f>
        <v>2</v>
      </c>
      <c r="C236" s="215">
        <f t="shared" si="36"/>
        <v>2</v>
      </c>
      <c r="D236" s="133"/>
      <c r="E236" s="134"/>
      <c r="F236" s="135"/>
      <c r="G236" s="136"/>
      <c r="H236" s="96"/>
      <c r="I236" s="105"/>
      <c r="J236" s="104"/>
      <c r="K236" s="75"/>
      <c r="L236" s="75"/>
      <c r="M236" s="75"/>
      <c r="N236" s="75"/>
      <c r="O236" s="97"/>
      <c r="P236" s="108"/>
      <c r="Q236" s="109"/>
      <c r="R236" s="109"/>
      <c r="S236" s="100"/>
      <c r="T236" s="106"/>
      <c r="U236" s="137"/>
      <c r="V236" s="100"/>
      <c r="W236" s="100"/>
      <c r="X236" s="100"/>
      <c r="Y236" s="110"/>
      <c r="Z236" s="110"/>
      <c r="AA236" s="100"/>
      <c r="AB236" s="109"/>
      <c r="AC236" s="109"/>
      <c r="AD236" s="108"/>
      <c r="AE236" s="109"/>
      <c r="AF236" s="109"/>
      <c r="AG236" s="108"/>
      <c r="AH236" s="111"/>
      <c r="AI236" s="100"/>
      <c r="AJ236" s="110"/>
      <c r="AK236" s="11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1:46" ht="16.3">
      <c r="A237" s="83" t="s">
        <v>3</v>
      </c>
      <c r="B237" s="273">
        <f>SUM(J237+K237+L237+M237+N237+S237+V237+W237+X237+AA237+AI237+AJ237+AI237+AM237+AP237+AQ237+AS237+AT237+AU237+AV237)</f>
        <v>0</v>
      </c>
      <c r="C237" s="214">
        <f t="shared" si="36"/>
        <v>0</v>
      </c>
      <c r="D237" s="133"/>
      <c r="E237" s="134"/>
      <c r="F237" s="135"/>
      <c r="G237" s="136"/>
      <c r="H237" s="96"/>
      <c r="I237" s="105"/>
      <c r="J237" s="104"/>
      <c r="K237" s="75"/>
      <c r="L237" s="75"/>
      <c r="M237" s="75"/>
      <c r="N237" s="75"/>
      <c r="O237" s="97"/>
      <c r="P237" s="108"/>
      <c r="Q237" s="109"/>
      <c r="R237" s="109"/>
      <c r="S237" s="100"/>
      <c r="T237" s="106"/>
      <c r="U237" s="137"/>
      <c r="V237" s="100"/>
      <c r="W237" s="100"/>
      <c r="X237" s="100"/>
      <c r="Y237" s="110"/>
      <c r="Z237" s="110"/>
      <c r="AA237" s="100"/>
      <c r="AB237" s="109"/>
      <c r="AC237" s="109"/>
      <c r="AD237" s="108"/>
      <c r="AE237" s="109"/>
      <c r="AF237" s="109"/>
      <c r="AG237" s="108"/>
      <c r="AH237" s="111"/>
      <c r="AI237" s="100"/>
      <c r="AJ237" s="110"/>
      <c r="AK237" s="110"/>
      <c r="AL237" s="100"/>
      <c r="AM237" s="100"/>
      <c r="AN237" s="100"/>
      <c r="AO237" s="100"/>
      <c r="AP237" s="100"/>
      <c r="AQ237" s="100"/>
      <c r="AR237" s="100"/>
      <c r="AS237" s="100"/>
      <c r="AT237" s="100"/>
    </row>
    <row r="238" spans="1:46" ht="17" thickBot="1">
      <c r="A238" s="85" t="s">
        <v>4</v>
      </c>
      <c r="B238" s="287">
        <f>SUM(J238+K238+L238+M238+N238+S238+V238+W238+X238+AA238+AI238+AJ238+AI238+AM238+AP238+AQ238+AS238+AT238+AU238+AV238)</f>
        <v>0</v>
      </c>
      <c r="C238" s="217">
        <f t="shared" si="36"/>
        <v>0</v>
      </c>
      <c r="D238" s="144"/>
      <c r="E238" s="145"/>
      <c r="F238" s="146"/>
      <c r="G238" s="147"/>
      <c r="H238" s="114"/>
      <c r="I238" s="127"/>
      <c r="J238" s="113"/>
      <c r="K238" s="112"/>
      <c r="L238" s="112"/>
      <c r="M238" s="112"/>
      <c r="N238" s="112"/>
      <c r="O238" s="115"/>
      <c r="P238" s="117"/>
      <c r="Q238" s="118"/>
      <c r="R238" s="118"/>
      <c r="S238" s="116"/>
      <c r="T238" s="119"/>
      <c r="U238" s="148"/>
      <c r="V238" s="116"/>
      <c r="W238" s="116"/>
      <c r="X238" s="116"/>
      <c r="Y238" s="120"/>
      <c r="Z238" s="120"/>
      <c r="AA238" s="116"/>
      <c r="AB238" s="118"/>
      <c r="AC238" s="118"/>
      <c r="AD238" s="117"/>
      <c r="AE238" s="118"/>
      <c r="AF238" s="118"/>
      <c r="AG238" s="117"/>
      <c r="AH238" s="121"/>
      <c r="AI238" s="116"/>
      <c r="AJ238" s="120"/>
      <c r="AK238" s="120"/>
      <c r="AL238" s="116"/>
      <c r="AM238" s="116"/>
      <c r="AN238" s="116"/>
      <c r="AO238" s="116"/>
      <c r="AP238" s="116"/>
      <c r="AQ238" s="116"/>
      <c r="AR238" s="116"/>
      <c r="AS238" s="116"/>
      <c r="AT238" s="116"/>
    </row>
    <row r="239" spans="1:46" ht="21.1">
      <c r="A239" s="82" t="s">
        <v>496</v>
      </c>
      <c r="B239" s="273"/>
      <c r="C239" s="214"/>
      <c r="D239" s="133"/>
      <c r="E239" s="134"/>
      <c r="F239" s="135"/>
      <c r="G239" s="136"/>
      <c r="H239" s="96" t="s">
        <v>375</v>
      </c>
      <c r="I239" s="105"/>
      <c r="J239" s="104"/>
      <c r="K239" s="75"/>
      <c r="L239" s="75"/>
      <c r="M239" s="75"/>
      <c r="N239" s="75" t="s">
        <v>393</v>
      </c>
      <c r="O239" s="97" t="s">
        <v>375</v>
      </c>
      <c r="P239" s="108"/>
      <c r="Q239" s="109" t="s">
        <v>375</v>
      </c>
      <c r="R239" s="109" t="s">
        <v>375</v>
      </c>
      <c r="S239" s="100"/>
      <c r="T239" s="106"/>
      <c r="U239" s="137"/>
      <c r="V239" s="100"/>
      <c r="W239" s="100"/>
      <c r="X239" s="100" t="s">
        <v>375</v>
      </c>
      <c r="Y239" s="110" t="s">
        <v>375</v>
      </c>
      <c r="Z239" s="110" t="s">
        <v>375</v>
      </c>
      <c r="AA239" s="100" t="s">
        <v>375</v>
      </c>
      <c r="AB239" s="109" t="s">
        <v>370</v>
      </c>
      <c r="AC239" s="109" t="s">
        <v>375</v>
      </c>
      <c r="AD239" s="108"/>
      <c r="AE239" s="109"/>
      <c r="AF239" s="109"/>
      <c r="AG239" s="108"/>
      <c r="AH239" s="111"/>
      <c r="AI239" s="100"/>
      <c r="AJ239" s="110"/>
      <c r="AK239" s="110"/>
      <c r="AL239" s="100"/>
      <c r="AM239" s="100"/>
      <c r="AN239" s="100"/>
      <c r="AO239" s="100"/>
      <c r="AP239" s="100"/>
      <c r="AQ239" s="100"/>
      <c r="AR239" s="100"/>
      <c r="AS239" s="100"/>
      <c r="AT239" s="100"/>
    </row>
    <row r="240" spans="1:46" ht="16.3">
      <c r="A240" s="246" t="s">
        <v>1</v>
      </c>
      <c r="B240" s="274">
        <f>SUM(J240+K240+L240+M240+N240+S240+V240+W240+X240+AA240+AI240+AJ240+AI240+AM240+AP240+AQ240+AS240+AT240+AU240+AV240+AN240)</f>
        <v>0</v>
      </c>
      <c r="C240" s="215">
        <f>B240</f>
        <v>0</v>
      </c>
      <c r="D240" s="133"/>
      <c r="E240" s="134"/>
      <c r="F240" s="135"/>
      <c r="G240" s="136"/>
      <c r="H240" s="96"/>
      <c r="I240" s="105"/>
      <c r="J240" s="104"/>
      <c r="K240" s="75"/>
      <c r="L240" s="75"/>
      <c r="M240" s="75"/>
      <c r="N240" s="75"/>
      <c r="O240" s="97"/>
      <c r="P240" s="108"/>
      <c r="Q240" s="109"/>
      <c r="R240" s="109"/>
      <c r="S240" s="100"/>
      <c r="T240" s="106"/>
      <c r="U240" s="137"/>
      <c r="V240" s="100"/>
      <c r="W240" s="100"/>
      <c r="X240" s="100"/>
      <c r="Y240" s="110"/>
      <c r="Z240" s="110"/>
      <c r="AA240" s="100"/>
      <c r="AB240" s="109">
        <v>1</v>
      </c>
      <c r="AC240" s="109"/>
      <c r="AD240" s="108"/>
      <c r="AE240" s="109"/>
      <c r="AF240" s="109"/>
      <c r="AG240" s="108"/>
      <c r="AH240" s="111"/>
      <c r="AI240" s="100"/>
      <c r="AJ240" s="110"/>
      <c r="AK240" s="110"/>
      <c r="AL240" s="100"/>
      <c r="AM240" s="100"/>
      <c r="AN240" s="100"/>
      <c r="AO240" s="100"/>
      <c r="AP240" s="100"/>
      <c r="AQ240" s="100"/>
      <c r="AR240" s="100"/>
      <c r="AS240" s="100"/>
      <c r="AT240" s="100"/>
    </row>
    <row r="241" spans="1:46" ht="16.3">
      <c r="A241" s="246" t="s">
        <v>2</v>
      </c>
      <c r="B241" s="274">
        <f>SUM(J241+K241+L241+M241+N241+S241+V241+W241+X241+AA241+AI241+AJ241+AI241+AM241+AP241+AQ241+AS241+AT241+AU241+AV241)</f>
        <v>2</v>
      </c>
      <c r="C241" s="215">
        <f t="shared" ref="C241:C244" si="37">B241</f>
        <v>2</v>
      </c>
      <c r="D241" s="133"/>
      <c r="E241" s="134"/>
      <c r="F241" s="135"/>
      <c r="G241" s="136"/>
      <c r="H241" s="96">
        <v>1</v>
      </c>
      <c r="I241" s="105"/>
      <c r="J241" s="104"/>
      <c r="K241" s="75"/>
      <c r="L241" s="75"/>
      <c r="M241" s="75"/>
      <c r="N241" s="75"/>
      <c r="O241" s="97">
        <v>1</v>
      </c>
      <c r="P241" s="108"/>
      <c r="Q241" s="109">
        <v>1</v>
      </c>
      <c r="R241" s="109">
        <v>1</v>
      </c>
      <c r="S241" s="100"/>
      <c r="T241" s="106"/>
      <c r="U241" s="137"/>
      <c r="V241" s="100"/>
      <c r="W241" s="100"/>
      <c r="X241" s="100">
        <v>1</v>
      </c>
      <c r="Y241" s="110">
        <v>1</v>
      </c>
      <c r="Z241" s="110">
        <v>1</v>
      </c>
      <c r="AA241" s="100">
        <v>1</v>
      </c>
      <c r="AB241" s="109"/>
      <c r="AC241" s="109">
        <v>1</v>
      </c>
      <c r="AD241" s="108"/>
      <c r="AE241" s="109"/>
      <c r="AF241" s="109"/>
      <c r="AG241" s="108"/>
      <c r="AH241" s="111"/>
      <c r="AI241" s="100"/>
      <c r="AJ241" s="110"/>
      <c r="AK241" s="110"/>
      <c r="AL241" s="100"/>
      <c r="AM241" s="100"/>
      <c r="AN241" s="100"/>
      <c r="AO241" s="100"/>
      <c r="AP241" s="100"/>
      <c r="AQ241" s="100"/>
      <c r="AR241" s="100"/>
      <c r="AS241" s="100"/>
      <c r="AT241" s="100"/>
    </row>
    <row r="242" spans="1:46" ht="16.3">
      <c r="A242" s="83" t="s">
        <v>363</v>
      </c>
      <c r="B242" s="273">
        <f>SUM(B240+B241)</f>
        <v>2</v>
      </c>
      <c r="C242" s="214">
        <f t="shared" si="37"/>
        <v>2</v>
      </c>
      <c r="D242" s="133"/>
      <c r="E242" s="134"/>
      <c r="F242" s="135"/>
      <c r="G242" s="136"/>
      <c r="H242" s="96"/>
      <c r="I242" s="105"/>
      <c r="J242" s="104"/>
      <c r="K242" s="75"/>
      <c r="L242" s="75"/>
      <c r="M242" s="75"/>
      <c r="N242" s="75"/>
      <c r="O242" s="97"/>
      <c r="P242" s="108"/>
      <c r="Q242" s="109"/>
      <c r="R242" s="109"/>
      <c r="S242" s="100"/>
      <c r="T242" s="106"/>
      <c r="U242" s="137"/>
      <c r="V242" s="100"/>
      <c r="W242" s="100"/>
      <c r="X242" s="100"/>
      <c r="Y242" s="110"/>
      <c r="Z242" s="110"/>
      <c r="AA242" s="100"/>
      <c r="AB242" s="109"/>
      <c r="AC242" s="109"/>
      <c r="AD242" s="108"/>
      <c r="AE242" s="109"/>
      <c r="AF242" s="109"/>
      <c r="AG242" s="108"/>
      <c r="AH242" s="111"/>
      <c r="AI242" s="100"/>
      <c r="AJ242" s="110"/>
      <c r="AK242" s="110"/>
      <c r="AL242" s="100"/>
      <c r="AM242" s="100"/>
      <c r="AN242" s="100"/>
      <c r="AO242" s="100"/>
      <c r="AP242" s="100"/>
      <c r="AQ242" s="100"/>
      <c r="AR242" s="100"/>
      <c r="AS242" s="100"/>
      <c r="AT242" s="100"/>
    </row>
    <row r="243" spans="1:46" ht="16.3">
      <c r="A243" s="83" t="s">
        <v>3</v>
      </c>
      <c r="B243" s="273">
        <f>SUM(J243+K243+L243+M243+N243+S243+V243+W243+X243+AA243+AI243+AJ243+AI243+AM243+AP243+AQ243+AS243+AT243+AU243+AV243)</f>
        <v>0</v>
      </c>
      <c r="C243" s="214">
        <f t="shared" si="37"/>
        <v>0</v>
      </c>
      <c r="D243" s="133"/>
      <c r="E243" s="134"/>
      <c r="F243" s="135"/>
      <c r="G243" s="136"/>
      <c r="H243" s="96"/>
      <c r="I243" s="105"/>
      <c r="J243" s="104"/>
      <c r="K243" s="75"/>
      <c r="L243" s="75"/>
      <c r="M243" s="75"/>
      <c r="N243" s="75"/>
      <c r="O243" s="97"/>
      <c r="P243" s="108"/>
      <c r="Q243" s="109"/>
      <c r="R243" s="109"/>
      <c r="S243" s="100"/>
      <c r="T243" s="106"/>
      <c r="U243" s="137"/>
      <c r="V243" s="100"/>
      <c r="W243" s="100"/>
      <c r="X243" s="100"/>
      <c r="Y243" s="110"/>
      <c r="Z243" s="110"/>
      <c r="AA243" s="100"/>
      <c r="AB243" s="109"/>
      <c r="AC243" s="109"/>
      <c r="AD243" s="108"/>
      <c r="AE243" s="109"/>
      <c r="AF243" s="109"/>
      <c r="AG243" s="108"/>
      <c r="AH243" s="111"/>
      <c r="AI243" s="100"/>
      <c r="AJ243" s="110"/>
      <c r="AK243" s="110"/>
      <c r="AL243" s="100"/>
      <c r="AM243" s="100"/>
      <c r="AN243" s="100"/>
      <c r="AO243" s="100"/>
      <c r="AP243" s="100"/>
      <c r="AQ243" s="100"/>
      <c r="AR243" s="100"/>
      <c r="AS243" s="100"/>
      <c r="AT243" s="100"/>
    </row>
    <row r="244" spans="1:46" ht="17" thickBot="1">
      <c r="A244" s="85" t="s">
        <v>4</v>
      </c>
      <c r="B244" s="275">
        <f>SUM(J244+K244+L244+M244+N244+S244+V244+W244+X244+AA244+AI244+AJ244+AI244+AM244+AP244+AQ244+AS244+AT244+AU244+AV244)</f>
        <v>0</v>
      </c>
      <c r="C244" s="217">
        <f t="shared" si="37"/>
        <v>0</v>
      </c>
      <c r="D244" s="144"/>
      <c r="E244" s="145"/>
      <c r="F244" s="146"/>
      <c r="G244" s="147"/>
      <c r="H244" s="114"/>
      <c r="I244" s="127"/>
      <c r="J244" s="113"/>
      <c r="K244" s="112"/>
      <c r="L244" s="112"/>
      <c r="M244" s="112"/>
      <c r="N244" s="112"/>
      <c r="O244" s="115"/>
      <c r="P244" s="117"/>
      <c r="Q244" s="118"/>
      <c r="R244" s="118"/>
      <c r="S244" s="116"/>
      <c r="T244" s="119"/>
      <c r="U244" s="148"/>
      <c r="V244" s="116"/>
      <c r="W244" s="116"/>
      <c r="X244" s="116"/>
      <c r="Y244" s="120"/>
      <c r="Z244" s="120"/>
      <c r="AA244" s="116"/>
      <c r="AB244" s="118"/>
      <c r="AC244" s="118"/>
      <c r="AD244" s="117"/>
      <c r="AE244" s="118"/>
      <c r="AF244" s="118"/>
      <c r="AG244" s="117"/>
      <c r="AH244" s="121"/>
      <c r="AI244" s="116"/>
      <c r="AJ244" s="120"/>
      <c r="AK244" s="120"/>
      <c r="AL244" s="116"/>
      <c r="AM244" s="116"/>
      <c r="AN244" s="116"/>
      <c r="AO244" s="116"/>
      <c r="AP244" s="116"/>
      <c r="AQ244" s="116"/>
      <c r="AR244" s="116"/>
      <c r="AS244" s="116"/>
      <c r="AT244" s="116"/>
    </row>
    <row r="245" spans="1:46" ht="21.1">
      <c r="A245" s="82" t="s">
        <v>408</v>
      </c>
      <c r="B245" s="273"/>
      <c r="C245" s="214"/>
      <c r="D245" s="133"/>
      <c r="E245" s="134"/>
      <c r="F245" s="135"/>
      <c r="G245" s="136"/>
      <c r="H245" s="96"/>
      <c r="I245" s="105"/>
      <c r="J245" s="104"/>
      <c r="K245" s="75"/>
      <c r="L245" s="75"/>
      <c r="M245" s="75"/>
      <c r="N245" s="75"/>
      <c r="O245" s="97"/>
      <c r="P245" s="108"/>
      <c r="Q245" s="109"/>
      <c r="R245" s="109"/>
      <c r="S245" s="100"/>
      <c r="T245" s="106"/>
      <c r="U245" s="137"/>
      <c r="V245" s="100"/>
      <c r="W245" s="100"/>
      <c r="X245" s="100"/>
      <c r="Y245" s="110"/>
      <c r="Z245" s="110"/>
      <c r="AA245" s="100"/>
      <c r="AB245" s="109" t="s">
        <v>375</v>
      </c>
      <c r="AC245" s="109" t="s">
        <v>370</v>
      </c>
      <c r="AD245" s="108"/>
      <c r="AE245" s="109" t="s">
        <v>375</v>
      </c>
      <c r="AF245" s="109" t="s">
        <v>375</v>
      </c>
      <c r="AG245" s="108"/>
      <c r="AH245" s="111"/>
      <c r="AI245" s="100"/>
      <c r="AJ245" s="110"/>
      <c r="AK245" s="110"/>
      <c r="AL245" s="100"/>
      <c r="AM245" s="100"/>
      <c r="AN245" s="100"/>
      <c r="AO245" s="100"/>
      <c r="AP245" s="100"/>
      <c r="AQ245" s="100"/>
      <c r="AR245" s="100"/>
      <c r="AS245" s="100"/>
      <c r="AT245" s="100"/>
    </row>
    <row r="246" spans="1:46" ht="16.3">
      <c r="A246" s="246" t="s">
        <v>1</v>
      </c>
      <c r="B246" s="274">
        <f>SUM(J246+K246+L246+M246+N246+S246+V246+W246+X246+AA246+AI246+AJ246+AI246+AM246+AP246+AQ246+AS246+AT246+AU246+AV246+AN246)</f>
        <v>0</v>
      </c>
      <c r="C246" s="215">
        <f>B246</f>
        <v>0</v>
      </c>
      <c r="D246" s="133"/>
      <c r="E246" s="134"/>
      <c r="F246" s="135"/>
      <c r="G246" s="136"/>
      <c r="H246" s="96"/>
      <c r="I246" s="105"/>
      <c r="J246" s="104"/>
      <c r="K246" s="75"/>
      <c r="L246" s="75"/>
      <c r="M246" s="75"/>
      <c r="N246" s="75"/>
      <c r="O246" s="97"/>
      <c r="P246" s="108"/>
      <c r="Q246" s="109"/>
      <c r="R246" s="109"/>
      <c r="S246" s="100"/>
      <c r="T246" s="106"/>
      <c r="U246" s="137"/>
      <c r="V246" s="100"/>
      <c r="W246" s="100"/>
      <c r="X246" s="100"/>
      <c r="Y246" s="110"/>
      <c r="Z246" s="110"/>
      <c r="AA246" s="100"/>
      <c r="AB246" s="109"/>
      <c r="AC246" s="109">
        <v>1</v>
      </c>
      <c r="AD246" s="108"/>
      <c r="AE246" s="109"/>
      <c r="AF246" s="109"/>
      <c r="AG246" s="108"/>
      <c r="AH246" s="111"/>
      <c r="AI246" s="100"/>
      <c r="AJ246" s="110"/>
      <c r="AK246" s="110"/>
      <c r="AL246" s="100"/>
      <c r="AM246" s="100"/>
      <c r="AN246" s="100"/>
      <c r="AO246" s="100"/>
      <c r="AP246" s="100"/>
      <c r="AQ246" s="100"/>
      <c r="AR246" s="100"/>
      <c r="AS246" s="100"/>
      <c r="AT246" s="100"/>
    </row>
    <row r="247" spans="1:46" ht="16.3">
      <c r="A247" s="246" t="s">
        <v>2</v>
      </c>
      <c r="B247" s="274">
        <f>SUM(J247+K247+L247+M247+N247+S247+V247+W247+X247+AA247+AI247+AJ247+AI247+AM247+AP247+AQ247+AS247+AT247+AU247+AV247)+1</f>
        <v>1</v>
      </c>
      <c r="C247" s="215">
        <f t="shared" ref="C247:C250" si="38">B247</f>
        <v>1</v>
      </c>
      <c r="D247" s="133"/>
      <c r="E247" s="134"/>
      <c r="F247" s="135"/>
      <c r="G247" s="136"/>
      <c r="H247" s="96"/>
      <c r="I247" s="105"/>
      <c r="J247" s="104"/>
      <c r="K247" s="75"/>
      <c r="L247" s="75"/>
      <c r="M247" s="75"/>
      <c r="N247" s="75"/>
      <c r="O247" s="97"/>
      <c r="P247" s="108"/>
      <c r="Q247" s="109"/>
      <c r="R247" s="109"/>
      <c r="S247" s="100"/>
      <c r="T247" s="106"/>
      <c r="U247" s="137"/>
      <c r="V247" s="100"/>
      <c r="W247" s="100"/>
      <c r="X247" s="100"/>
      <c r="Y247" s="110"/>
      <c r="Z247" s="110"/>
      <c r="AA247" s="100"/>
      <c r="AB247" s="109">
        <v>1</v>
      </c>
      <c r="AC247" s="109"/>
      <c r="AD247" s="108"/>
      <c r="AE247" s="109">
        <v>1</v>
      </c>
      <c r="AF247" s="109">
        <v>1</v>
      </c>
      <c r="AG247" s="108"/>
      <c r="AH247" s="111"/>
      <c r="AI247" s="100"/>
      <c r="AJ247" s="110"/>
      <c r="AK247" s="110"/>
      <c r="AL247" s="100"/>
      <c r="AM247" s="100"/>
      <c r="AN247" s="100"/>
      <c r="AO247" s="100"/>
      <c r="AP247" s="100"/>
      <c r="AQ247" s="100"/>
      <c r="AR247" s="100"/>
      <c r="AS247" s="100"/>
      <c r="AT247" s="100"/>
    </row>
    <row r="248" spans="1:46" ht="16.3">
      <c r="A248" s="83" t="s">
        <v>363</v>
      </c>
      <c r="B248" s="273">
        <f>SUM(B246+B247)</f>
        <v>1</v>
      </c>
      <c r="C248" s="214">
        <f t="shared" si="38"/>
        <v>1</v>
      </c>
      <c r="D248" s="133"/>
      <c r="E248" s="134"/>
      <c r="F248" s="135"/>
      <c r="G248" s="136"/>
      <c r="H248" s="96"/>
      <c r="I248" s="105"/>
      <c r="J248" s="104"/>
      <c r="K248" s="75"/>
      <c r="L248" s="75"/>
      <c r="M248" s="75"/>
      <c r="N248" s="75"/>
      <c r="O248" s="97"/>
      <c r="P248" s="108"/>
      <c r="Q248" s="109"/>
      <c r="R248" s="109"/>
      <c r="S248" s="100"/>
      <c r="T248" s="106"/>
      <c r="U248" s="137"/>
      <c r="V248" s="100"/>
      <c r="W248" s="100"/>
      <c r="X248" s="100"/>
      <c r="Y248" s="110"/>
      <c r="Z248" s="110"/>
      <c r="AA248" s="100"/>
      <c r="AB248" s="109"/>
      <c r="AC248" s="109"/>
      <c r="AD248" s="108"/>
      <c r="AE248" s="109"/>
      <c r="AF248" s="109"/>
      <c r="AG248" s="108"/>
      <c r="AH248" s="111"/>
      <c r="AI248" s="100"/>
      <c r="AJ248" s="110"/>
      <c r="AK248" s="110"/>
      <c r="AL248" s="100"/>
      <c r="AM248" s="100"/>
      <c r="AN248" s="100"/>
      <c r="AO248" s="100"/>
      <c r="AP248" s="100"/>
      <c r="AQ248" s="100"/>
      <c r="AR248" s="100"/>
      <c r="AS248" s="100"/>
      <c r="AT248" s="100"/>
    </row>
    <row r="249" spans="1:46" ht="16.3">
      <c r="A249" s="83" t="s">
        <v>3</v>
      </c>
      <c r="B249" s="273">
        <f>SUM(J249+K249+L249+M249+N249+S249+V249+W249+X249+AA249+AI249+AJ249+AI249+AM249+AP249+AQ249+AS249+AT249+AU249+AV249)</f>
        <v>0</v>
      </c>
      <c r="C249" s="214">
        <f t="shared" si="38"/>
        <v>0</v>
      </c>
      <c r="D249" s="133"/>
      <c r="E249" s="134"/>
      <c r="F249" s="135"/>
      <c r="G249" s="136"/>
      <c r="H249" s="96"/>
      <c r="I249" s="105"/>
      <c r="J249" s="104"/>
      <c r="K249" s="75"/>
      <c r="L249" s="75"/>
      <c r="M249" s="75"/>
      <c r="N249" s="75"/>
      <c r="O249" s="97"/>
      <c r="P249" s="108"/>
      <c r="Q249" s="109"/>
      <c r="R249" s="109"/>
      <c r="S249" s="100"/>
      <c r="T249" s="106"/>
      <c r="U249" s="137"/>
      <c r="V249" s="100"/>
      <c r="W249" s="100"/>
      <c r="X249" s="100"/>
      <c r="Y249" s="110"/>
      <c r="Z249" s="110"/>
      <c r="AA249" s="100"/>
      <c r="AB249" s="109"/>
      <c r="AC249" s="109"/>
      <c r="AD249" s="108"/>
      <c r="AE249" s="109"/>
      <c r="AF249" s="109"/>
      <c r="AG249" s="108"/>
      <c r="AH249" s="111"/>
      <c r="AI249" s="100"/>
      <c r="AJ249" s="110"/>
      <c r="AK249" s="110"/>
      <c r="AL249" s="100"/>
      <c r="AM249" s="100"/>
      <c r="AN249" s="100"/>
      <c r="AO249" s="100"/>
      <c r="AP249" s="100"/>
      <c r="AQ249" s="100"/>
      <c r="AR249" s="100"/>
      <c r="AS249" s="100"/>
      <c r="AT249" s="100"/>
    </row>
    <row r="250" spans="1:46" ht="17" thickBot="1">
      <c r="A250" s="85" t="s">
        <v>4</v>
      </c>
      <c r="B250" s="275">
        <f>SUM(J250+K250+L250+M250+N250+S250+V250+W250+X250+AA250+AI250+AJ250+AI250+AM250+AP250+AQ250+AS250+AT250+AU250+AV250)</f>
        <v>0</v>
      </c>
      <c r="C250" s="217">
        <f t="shared" si="38"/>
        <v>0</v>
      </c>
      <c r="D250" s="144"/>
      <c r="E250" s="145"/>
      <c r="F250" s="146"/>
      <c r="G250" s="147"/>
      <c r="H250" s="114"/>
      <c r="I250" s="127"/>
      <c r="J250" s="113"/>
      <c r="K250" s="112"/>
      <c r="L250" s="112"/>
      <c r="M250" s="112"/>
      <c r="N250" s="112"/>
      <c r="O250" s="115"/>
      <c r="P250" s="117"/>
      <c r="Q250" s="118"/>
      <c r="R250" s="118"/>
      <c r="S250" s="116"/>
      <c r="T250" s="119"/>
      <c r="U250" s="148"/>
      <c r="V250" s="116"/>
      <c r="W250" s="116"/>
      <c r="X250" s="112"/>
      <c r="Y250" s="120"/>
      <c r="Z250" s="120"/>
      <c r="AA250" s="116"/>
      <c r="AB250" s="118"/>
      <c r="AC250" s="118"/>
      <c r="AD250" s="117"/>
      <c r="AE250" s="118"/>
      <c r="AF250" s="118"/>
      <c r="AG250" s="117"/>
      <c r="AH250" s="121"/>
      <c r="AI250" s="116"/>
      <c r="AJ250" s="120"/>
      <c r="AK250" s="120"/>
      <c r="AL250" s="116"/>
      <c r="AM250" s="116"/>
      <c r="AN250" s="116"/>
      <c r="AO250" s="116"/>
      <c r="AP250" s="116"/>
      <c r="AQ250" s="116"/>
      <c r="AR250" s="116"/>
      <c r="AS250" s="116"/>
      <c r="AT250" s="116"/>
    </row>
    <row r="251" spans="1:46" ht="21.1">
      <c r="A251" s="82" t="s">
        <v>278</v>
      </c>
      <c r="B251" s="273"/>
      <c r="C251" s="214"/>
      <c r="D251" s="133"/>
      <c r="E251" s="134"/>
      <c r="F251" s="135"/>
      <c r="G251" s="136"/>
      <c r="H251" s="96" t="s">
        <v>501</v>
      </c>
      <c r="I251" s="105"/>
      <c r="J251" s="104" t="s">
        <v>501</v>
      </c>
      <c r="K251" s="75" t="s">
        <v>501</v>
      </c>
      <c r="L251" s="75" t="s">
        <v>731</v>
      </c>
      <c r="M251" s="75" t="s">
        <v>757</v>
      </c>
      <c r="N251" s="75" t="s">
        <v>371</v>
      </c>
      <c r="O251" s="97" t="s">
        <v>775</v>
      </c>
      <c r="P251" s="108"/>
      <c r="Q251" s="109" t="s">
        <v>775</v>
      </c>
      <c r="R251" s="109" t="s">
        <v>775</v>
      </c>
      <c r="S251" s="100">
        <v>2</v>
      </c>
      <c r="T251" s="106"/>
      <c r="U251" s="137"/>
      <c r="V251" s="100" t="s">
        <v>371</v>
      </c>
      <c r="W251" s="100" t="s">
        <v>371</v>
      </c>
      <c r="X251" s="100" t="s">
        <v>371</v>
      </c>
      <c r="Y251" s="110"/>
      <c r="Z251" s="110"/>
      <c r="AA251" s="100"/>
      <c r="AB251" s="109" t="s">
        <v>775</v>
      </c>
      <c r="AC251" s="109" t="s">
        <v>775</v>
      </c>
      <c r="AD251" s="108"/>
      <c r="AE251" s="109" t="s">
        <v>775</v>
      </c>
      <c r="AF251" s="109" t="s">
        <v>775</v>
      </c>
      <c r="AG251" s="108"/>
      <c r="AH251" s="111"/>
      <c r="AI251" s="100"/>
      <c r="AJ251" s="110"/>
      <c r="AK251" s="110"/>
      <c r="AL251" s="100"/>
      <c r="AM251" s="100"/>
      <c r="AN251" s="100"/>
      <c r="AO251" s="100"/>
      <c r="AP251" s="100"/>
      <c r="AQ251" s="100"/>
      <c r="AR251" s="100"/>
      <c r="AS251" s="100"/>
      <c r="AT251" s="100"/>
    </row>
    <row r="252" spans="1:46" ht="16.3">
      <c r="A252" s="246" t="s">
        <v>1</v>
      </c>
      <c r="B252" s="274">
        <f>SUM(J252+K252+L252+M252+N252+S252+V252+W252+X252+AA252+AI252+AJ252+AI252+AM252+AP252+AQ252+AS252+AT252+AU252+AV252+AN252)+24</f>
        <v>31</v>
      </c>
      <c r="C252" s="215">
        <f>SUM(J252+K252+L252+M252+N252+S252+W252+X252+V252+AA252+AJ252+AI252+AJ252+AN252+AQ252+AM252+AT252+AU252+AV252+AW252+AP252+AS252)+107</f>
        <v>114</v>
      </c>
      <c r="D252" s="133"/>
      <c r="E252" s="134"/>
      <c r="F252" s="135"/>
      <c r="G252" s="136"/>
      <c r="H252" s="96"/>
      <c r="I252" s="105"/>
      <c r="J252" s="104"/>
      <c r="K252" s="75"/>
      <c r="L252" s="75">
        <v>1</v>
      </c>
      <c r="M252" s="75">
        <v>1</v>
      </c>
      <c r="N252" s="75">
        <v>1</v>
      </c>
      <c r="O252" s="97"/>
      <c r="P252" s="108"/>
      <c r="Q252" s="109"/>
      <c r="R252" s="109"/>
      <c r="S252" s="100">
        <v>1</v>
      </c>
      <c r="T252" s="106"/>
      <c r="U252" s="137"/>
      <c r="V252" s="100">
        <v>1</v>
      </c>
      <c r="W252" s="100">
        <v>1</v>
      </c>
      <c r="X252" s="100">
        <v>1</v>
      </c>
      <c r="Y252" s="110"/>
      <c r="Z252" s="110"/>
      <c r="AA252" s="100"/>
      <c r="AB252" s="109"/>
      <c r="AC252" s="109"/>
      <c r="AD252" s="108"/>
      <c r="AE252" s="109"/>
      <c r="AF252" s="109"/>
      <c r="AG252" s="108"/>
      <c r="AH252" s="111"/>
      <c r="AI252" s="100"/>
      <c r="AJ252" s="110"/>
      <c r="AK252" s="110"/>
      <c r="AL252" s="100"/>
      <c r="AM252" s="100"/>
      <c r="AN252" s="100"/>
      <c r="AO252" s="100"/>
      <c r="AP252" s="100"/>
      <c r="AQ252" s="100"/>
      <c r="AR252" s="100"/>
      <c r="AS252" s="100"/>
      <c r="AT252" s="100"/>
    </row>
    <row r="253" spans="1:46" ht="16.3">
      <c r="A253" s="246" t="s">
        <v>2</v>
      </c>
      <c r="B253" s="274">
        <f>SUM(J253+K253+L253+M253+N253+S253+V253+W253+X253+AA253+AI253+AJ253+AI253+AM253+AP253+AQ253+AS253+AT253+AU253+AV253)+3</f>
        <v>3</v>
      </c>
      <c r="C253" s="215">
        <f>SUM(J253+K253+L253+M253+N253+S253+W253+X253+V253+AA253+AJ253+AI253+AJ253+AN253+AQ253+AM253+AT253+AU253+AV253+AW253+AP253+AS253)+37</f>
        <v>37</v>
      </c>
      <c r="D253" s="133"/>
      <c r="E253" s="134"/>
      <c r="F253" s="135"/>
      <c r="G253" s="136"/>
      <c r="H253" s="96"/>
      <c r="I253" s="105"/>
      <c r="J253" s="104"/>
      <c r="K253" s="75"/>
      <c r="L253" s="75"/>
      <c r="M253" s="75"/>
      <c r="N253" s="75"/>
      <c r="O253" s="97"/>
      <c r="P253" s="108"/>
      <c r="Q253" s="109"/>
      <c r="R253" s="109"/>
      <c r="S253" s="100"/>
      <c r="T253" s="106"/>
      <c r="U253" s="137"/>
      <c r="V253" s="100"/>
      <c r="W253" s="100"/>
      <c r="X253" s="100"/>
      <c r="Y253" s="110"/>
      <c r="Z253" s="110"/>
      <c r="AA253" s="100"/>
      <c r="AB253" s="109"/>
      <c r="AC253" s="109"/>
      <c r="AD253" s="108"/>
      <c r="AE253" s="109"/>
      <c r="AF253" s="109"/>
      <c r="AG253" s="108"/>
      <c r="AH253" s="111"/>
      <c r="AI253" s="100"/>
      <c r="AJ253" s="110"/>
      <c r="AK253" s="110"/>
      <c r="AL253" s="100"/>
      <c r="AM253" s="100"/>
      <c r="AN253" s="100"/>
      <c r="AO253" s="100"/>
      <c r="AP253" s="100"/>
      <c r="AQ253" s="100"/>
      <c r="AR253" s="100"/>
      <c r="AS253" s="100"/>
      <c r="AT253" s="100"/>
    </row>
    <row r="254" spans="1:46" ht="16.3">
      <c r="A254" s="83" t="s">
        <v>363</v>
      </c>
      <c r="B254" s="273">
        <f>SUM(B252+B253)</f>
        <v>34</v>
      </c>
      <c r="C254" s="214">
        <f>SUM(C252+C253)</f>
        <v>151</v>
      </c>
      <c r="D254" s="133"/>
      <c r="E254" s="134"/>
      <c r="F254" s="135"/>
      <c r="G254" s="136"/>
      <c r="H254" s="96"/>
      <c r="I254" s="105"/>
      <c r="J254" s="104"/>
      <c r="K254" s="75"/>
      <c r="L254" s="75"/>
      <c r="M254" s="75"/>
      <c r="N254" s="75"/>
      <c r="O254" s="97"/>
      <c r="P254" s="108"/>
      <c r="Q254" s="109"/>
      <c r="R254" s="109"/>
      <c r="S254" s="100"/>
      <c r="T254" s="106"/>
      <c r="U254" s="137"/>
      <c r="V254" s="100"/>
      <c r="W254" s="100"/>
      <c r="X254" s="100"/>
      <c r="Y254" s="110"/>
      <c r="Z254" s="110"/>
      <c r="AA254" s="100"/>
      <c r="AB254" s="109"/>
      <c r="AC254" s="109"/>
      <c r="AD254" s="108"/>
      <c r="AE254" s="109"/>
      <c r="AF254" s="109"/>
      <c r="AG254" s="108"/>
      <c r="AH254" s="111"/>
      <c r="AI254" s="100"/>
      <c r="AJ254" s="110"/>
      <c r="AK254" s="110"/>
      <c r="AL254" s="100"/>
      <c r="AM254" s="100"/>
      <c r="AN254" s="100"/>
      <c r="AO254" s="100"/>
      <c r="AP254" s="100"/>
      <c r="AQ254" s="100"/>
      <c r="AR254" s="100"/>
      <c r="AS254" s="100"/>
      <c r="AT254" s="100"/>
    </row>
    <row r="255" spans="1:46" ht="16.3">
      <c r="A255" s="246" t="s">
        <v>362</v>
      </c>
      <c r="B255" s="274">
        <f>SUM(J255+K255+L255+M255+N255+S255+V255+W255+X255+AA255+AI255+AJ255+AI255+AM255+AP255+AQ255+AS255+AT255+AU255+AV255)+1</f>
        <v>2</v>
      </c>
      <c r="C255" s="215">
        <f>SUM(J255+K255+L255+M255+N255+S255+W255+X255+V255+AA255+AJ255+AI255+AJ255+AN255+AQ255+AM255+AT255+AU255+AV255+AW255+AP255+AS255)+2</f>
        <v>3</v>
      </c>
      <c r="D255" s="133"/>
      <c r="E255" s="134"/>
      <c r="F255" s="135"/>
      <c r="G255" s="136"/>
      <c r="H255" s="96"/>
      <c r="I255" s="105"/>
      <c r="J255" s="104"/>
      <c r="K255" s="75"/>
      <c r="L255" s="75">
        <v>1</v>
      </c>
      <c r="M255" s="75"/>
      <c r="N255" s="75"/>
      <c r="O255" s="97"/>
      <c r="P255" s="108"/>
      <c r="Q255" s="109"/>
      <c r="R255" s="109"/>
      <c r="S255" s="100"/>
      <c r="T255" s="106"/>
      <c r="U255" s="137"/>
      <c r="V255" s="100"/>
      <c r="W255" s="100"/>
      <c r="X255" s="100"/>
      <c r="Y255" s="110"/>
      <c r="Z255" s="110"/>
      <c r="AA255" s="100"/>
      <c r="AB255" s="109"/>
      <c r="AC255" s="109"/>
      <c r="AD255" s="108"/>
      <c r="AE255" s="109"/>
      <c r="AF255" s="109"/>
      <c r="AG255" s="108"/>
      <c r="AH255" s="111"/>
      <c r="AI255" s="100"/>
      <c r="AJ255" s="110"/>
      <c r="AK255" s="110"/>
      <c r="AL255" s="100"/>
      <c r="AM255" s="100"/>
      <c r="AN255" s="100"/>
      <c r="AO255" s="100"/>
      <c r="AP255" s="100"/>
      <c r="AQ255" s="100"/>
      <c r="AR255" s="100"/>
      <c r="AS255" s="100"/>
      <c r="AT255" s="100"/>
    </row>
    <row r="256" spans="1:46" ht="16.3">
      <c r="A256" s="246" t="s">
        <v>366</v>
      </c>
      <c r="B256" s="274">
        <f>SUM(J256+K256+L256+M256+N256+S256+V256+W256+X256+AA256+AI256+AJ256+AI256+AM256+AP256+AQ256+AS256+AT256+AU256+AV256)</f>
        <v>0</v>
      </c>
      <c r="C256" s="215">
        <f>SUM(J256+K256+L256+M256+N256+S256+W256+X256+V256+AA256+AJ256+AI256+AJ256+AN256+AQ256+AM256+AT256+AU256+AV256+AW256+AP256+AS256)+6</f>
        <v>6</v>
      </c>
      <c r="D256" s="133"/>
      <c r="E256" s="134"/>
      <c r="F256" s="135"/>
      <c r="G256" s="136"/>
      <c r="H256" s="96"/>
      <c r="I256" s="105"/>
      <c r="J256" s="104"/>
      <c r="K256" s="75"/>
      <c r="L256" s="75"/>
      <c r="M256" s="75"/>
      <c r="N256" s="75"/>
      <c r="O256" s="97"/>
      <c r="P256" s="108"/>
      <c r="Q256" s="109"/>
      <c r="R256" s="109"/>
      <c r="S256" s="100"/>
      <c r="T256" s="106"/>
      <c r="U256" s="137"/>
      <c r="V256" s="100"/>
      <c r="W256" s="100"/>
      <c r="X256" s="100"/>
      <c r="Y256" s="110"/>
      <c r="Z256" s="110"/>
      <c r="AA256" s="100"/>
      <c r="AB256" s="109"/>
      <c r="AC256" s="109"/>
      <c r="AD256" s="108"/>
      <c r="AE256" s="109"/>
      <c r="AF256" s="109"/>
      <c r="AG256" s="108"/>
      <c r="AH256" s="111"/>
      <c r="AI256" s="100"/>
      <c r="AJ256" s="110"/>
      <c r="AK256" s="110"/>
      <c r="AL256" s="100"/>
      <c r="AM256" s="100"/>
      <c r="AN256" s="100"/>
      <c r="AO256" s="100"/>
      <c r="AP256" s="100"/>
      <c r="AQ256" s="100"/>
      <c r="AR256" s="100"/>
      <c r="AS256" s="100"/>
      <c r="AT256" s="100"/>
    </row>
    <row r="257" spans="1:48" ht="16.3">
      <c r="A257" s="83" t="s">
        <v>3</v>
      </c>
      <c r="B257" s="273">
        <f>SUM(J257+K257+L257+M257+N257+S257+V257+W257+X257+AA257+AI257+AJ257+AI257+AM257+AP257+AQ257+AS257+AT257+AU257+AV257)+13</f>
        <v>15</v>
      </c>
      <c r="C257" s="214">
        <f>SUM(J257+K257+L257+M257+N257+S257+W257+X257+V257+AA257+AJ257+AI257+AJ257+AN257+AQ257+AM257+AT257+AU257+AV257+AW257+AP257+AS257)+41</f>
        <v>43</v>
      </c>
      <c r="D257" s="133"/>
      <c r="E257" s="134"/>
      <c r="F257" s="135"/>
      <c r="G257" s="136"/>
      <c r="H257" s="96"/>
      <c r="I257" s="105"/>
      <c r="J257" s="104"/>
      <c r="K257" s="75"/>
      <c r="L257" s="75">
        <v>1</v>
      </c>
      <c r="M257" s="75"/>
      <c r="N257" s="75"/>
      <c r="O257" s="97"/>
      <c r="P257" s="108"/>
      <c r="Q257" s="109"/>
      <c r="R257" s="109"/>
      <c r="S257" s="100"/>
      <c r="T257" s="106"/>
      <c r="U257" s="137"/>
      <c r="V257" s="100"/>
      <c r="W257" s="100">
        <v>1</v>
      </c>
      <c r="X257" s="100"/>
      <c r="Y257" s="110"/>
      <c r="Z257" s="110"/>
      <c r="AA257" s="100"/>
      <c r="AB257" s="109"/>
      <c r="AC257" s="109"/>
      <c r="AD257" s="108"/>
      <c r="AE257" s="109"/>
      <c r="AF257" s="109"/>
      <c r="AG257" s="108"/>
      <c r="AH257" s="111"/>
      <c r="AI257" s="100"/>
      <c r="AJ257" s="110"/>
      <c r="AK257" s="110"/>
      <c r="AL257" s="100"/>
      <c r="AM257" s="100"/>
      <c r="AN257" s="100"/>
      <c r="AO257" s="100"/>
      <c r="AP257" s="100"/>
      <c r="AQ257" s="100"/>
      <c r="AR257" s="100"/>
      <c r="AS257" s="100"/>
      <c r="AT257" s="100"/>
    </row>
    <row r="258" spans="1:48" ht="17" thickBot="1">
      <c r="A258" s="85" t="s">
        <v>4</v>
      </c>
      <c r="B258" s="275">
        <f>SUM(J258+K258+L258+M258+N258+S258+V258+W258+X258+AA258+AI258+AJ258+AI258+AM258+AP258+AQ258+AS258+AT258+AU258+AV258)+65</f>
        <v>75</v>
      </c>
      <c r="C258" s="217">
        <f>SUM(J258+K258+L258+M258+N258+S258+W258+X258+V258+AA258+AJ258+AI258+AJ258+AN258+AQ258+AM258+AT258+AU258+AV258+AW258+AP258+AS258)+205</f>
        <v>215</v>
      </c>
      <c r="D258" s="144"/>
      <c r="E258" s="145"/>
      <c r="F258" s="146"/>
      <c r="G258" s="147"/>
      <c r="H258" s="114"/>
      <c r="I258" s="127"/>
      <c r="J258" s="113"/>
      <c r="K258" s="112"/>
      <c r="L258" s="112">
        <v>5</v>
      </c>
      <c r="M258" s="112"/>
      <c r="N258" s="112"/>
      <c r="O258" s="115"/>
      <c r="P258" s="117"/>
      <c r="Q258" s="118"/>
      <c r="R258" s="118"/>
      <c r="S258" s="116"/>
      <c r="T258" s="119"/>
      <c r="U258" s="148"/>
      <c r="V258" s="116"/>
      <c r="W258" s="116">
        <v>5</v>
      </c>
      <c r="X258" s="116"/>
      <c r="Y258" s="120"/>
      <c r="Z258" s="120"/>
      <c r="AA258" s="116"/>
      <c r="AB258" s="118"/>
      <c r="AC258" s="118"/>
      <c r="AD258" s="117"/>
      <c r="AE258" s="118"/>
      <c r="AF258" s="118"/>
      <c r="AG258" s="117"/>
      <c r="AH258" s="121"/>
      <c r="AI258" s="116"/>
      <c r="AJ258" s="120"/>
      <c r="AK258" s="120"/>
      <c r="AL258" s="116"/>
      <c r="AM258" s="116"/>
      <c r="AN258" s="116"/>
      <c r="AO258" s="116"/>
      <c r="AP258" s="116"/>
      <c r="AQ258" s="116"/>
      <c r="AR258" s="116"/>
      <c r="AS258" s="116"/>
      <c r="AT258" s="116"/>
    </row>
    <row r="259" spans="1:48" ht="21.1">
      <c r="A259" s="82" t="s">
        <v>612</v>
      </c>
      <c r="B259" s="273"/>
      <c r="C259" s="214"/>
      <c r="D259" s="133"/>
      <c r="E259" s="134"/>
      <c r="F259" s="135"/>
      <c r="G259" s="136"/>
      <c r="H259" s="96" t="s">
        <v>439</v>
      </c>
      <c r="I259" s="105"/>
      <c r="J259" s="104" t="s">
        <v>371</v>
      </c>
      <c r="K259" s="75" t="s">
        <v>371</v>
      </c>
      <c r="L259" s="75" t="s">
        <v>375</v>
      </c>
      <c r="M259" s="75" t="s">
        <v>375</v>
      </c>
      <c r="N259" s="75" t="s">
        <v>375</v>
      </c>
      <c r="O259" s="97"/>
      <c r="P259" s="108"/>
      <c r="Q259" s="109" t="s">
        <v>816</v>
      </c>
      <c r="R259" s="109"/>
      <c r="S259" s="100" t="s">
        <v>730</v>
      </c>
      <c r="T259" s="106" t="s">
        <v>371</v>
      </c>
      <c r="U259" s="137" t="s">
        <v>371</v>
      </c>
      <c r="V259" s="100" t="s">
        <v>375</v>
      </c>
      <c r="W259" s="100" t="s">
        <v>375</v>
      </c>
      <c r="X259" s="100" t="s">
        <v>375</v>
      </c>
      <c r="Y259" s="110" t="s">
        <v>371</v>
      </c>
      <c r="Z259" s="110" t="s">
        <v>371</v>
      </c>
      <c r="AA259" s="100" t="s">
        <v>371</v>
      </c>
      <c r="AB259" s="109" t="s">
        <v>730</v>
      </c>
      <c r="AC259" s="109" t="s">
        <v>371</v>
      </c>
      <c r="AD259" s="108"/>
      <c r="AE259" s="109" t="s">
        <v>1039</v>
      </c>
      <c r="AF259" s="109" t="s">
        <v>371</v>
      </c>
      <c r="AG259" s="108"/>
      <c r="AH259" s="111"/>
      <c r="AI259" s="100"/>
      <c r="AJ259" s="110"/>
      <c r="AK259" s="11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5"/>
      <c r="AV259" s="15"/>
    </row>
    <row r="260" spans="1:48" ht="16.3">
      <c r="A260" s="246" t="s">
        <v>1</v>
      </c>
      <c r="B260" s="274">
        <f>SUM(J260+K260+L260+M260+N260+S260+V260+W260+X260+AA260+AI260+AJ260+AI260+AM260+AP260+AQ260+AS260+AT260+AU260+AV260+AN260)</f>
        <v>3</v>
      </c>
      <c r="C260" s="215">
        <f>SUM(J260+K260+L260+M260+N260+S260+W260+X260+V260+AA260+AJ260+AI260+AJ260+AN260+AQ260+AM260+AT260+AU260+AV260+AW260+AP260+AS260)+1</f>
        <v>4</v>
      </c>
      <c r="D260" s="133"/>
      <c r="E260" s="134"/>
      <c r="F260" s="135"/>
      <c r="G260" s="136"/>
      <c r="H260" s="96">
        <v>1</v>
      </c>
      <c r="I260" s="105"/>
      <c r="J260" s="104">
        <v>1</v>
      </c>
      <c r="K260" s="75">
        <v>1</v>
      </c>
      <c r="L260" s="75"/>
      <c r="M260" s="75"/>
      <c r="N260" s="75"/>
      <c r="O260" s="97"/>
      <c r="P260" s="108"/>
      <c r="Q260" s="109"/>
      <c r="R260" s="109"/>
      <c r="S260" s="100"/>
      <c r="T260" s="106">
        <v>1</v>
      </c>
      <c r="U260" s="137">
        <v>1</v>
      </c>
      <c r="V260" s="100"/>
      <c r="W260" s="100"/>
      <c r="X260" s="100"/>
      <c r="Y260" s="110">
        <v>1</v>
      </c>
      <c r="Z260" s="110">
        <v>1</v>
      </c>
      <c r="AA260" s="100">
        <v>1</v>
      </c>
      <c r="AB260" s="109"/>
      <c r="AC260" s="109">
        <v>1</v>
      </c>
      <c r="AD260" s="108"/>
      <c r="AE260" s="109">
        <v>1</v>
      </c>
      <c r="AF260" s="109">
        <v>1</v>
      </c>
      <c r="AG260" s="108"/>
      <c r="AH260" s="111"/>
      <c r="AI260" s="100"/>
      <c r="AJ260" s="110"/>
      <c r="AK260" s="11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5"/>
      <c r="AV260" s="15"/>
    </row>
    <row r="261" spans="1:48" ht="16.3">
      <c r="A261" s="246" t="s">
        <v>2</v>
      </c>
      <c r="B261" s="274">
        <f>SUM(J261+K261+L261+M261+N261+S261+V261+W261+X261+AA261+AI261+AJ261+AI261+AM261+AP261+AQ261+AS261+AT261+AU261+AV261)</f>
        <v>7</v>
      </c>
      <c r="C261" s="215">
        <f>SUM(J261+K261+L261+M261+N261+S261+W261+X261+V261+AA261+AJ261+AI261+AJ261+AN261+AQ261+AM261+AT261+AU261+AV261+AW261+AP261+AS261)+16</f>
        <v>23</v>
      </c>
      <c r="D261" s="133"/>
      <c r="E261" s="134"/>
      <c r="F261" s="135"/>
      <c r="G261" s="136"/>
      <c r="H261" s="96"/>
      <c r="I261" s="105"/>
      <c r="J261" s="104"/>
      <c r="K261" s="75"/>
      <c r="L261" s="75">
        <v>1</v>
      </c>
      <c r="M261" s="75">
        <v>1</v>
      </c>
      <c r="N261" s="75">
        <v>1</v>
      </c>
      <c r="O261" s="97"/>
      <c r="P261" s="108"/>
      <c r="Q261" s="109"/>
      <c r="R261" s="109"/>
      <c r="S261" s="100">
        <v>1</v>
      </c>
      <c r="T261" s="106"/>
      <c r="U261" s="137"/>
      <c r="V261" s="100">
        <v>1</v>
      </c>
      <c r="W261" s="100">
        <v>1</v>
      </c>
      <c r="X261" s="100">
        <v>1</v>
      </c>
      <c r="Y261" s="110"/>
      <c r="Z261" s="110"/>
      <c r="AA261" s="100"/>
      <c r="AB261" s="109">
        <v>1</v>
      </c>
      <c r="AC261" s="109"/>
      <c r="AD261" s="108"/>
      <c r="AE261" s="109"/>
      <c r="AF261" s="109"/>
      <c r="AG261" s="108"/>
      <c r="AH261" s="111"/>
      <c r="AI261" s="100"/>
      <c r="AJ261" s="110"/>
      <c r="AK261" s="110"/>
      <c r="AL261" s="100"/>
      <c r="AM261" s="100"/>
      <c r="AN261" s="100"/>
      <c r="AO261" s="100"/>
      <c r="AP261" s="100"/>
      <c r="AQ261" s="100"/>
      <c r="AR261" s="100"/>
      <c r="AS261" s="100"/>
      <c r="AT261" s="100"/>
      <c r="AU261" s="15"/>
      <c r="AV261" s="15"/>
    </row>
    <row r="262" spans="1:48" ht="16.3">
      <c r="A262" s="83" t="s">
        <v>363</v>
      </c>
      <c r="B262" s="273">
        <f>SUM(B260+B261)</f>
        <v>10</v>
      </c>
      <c r="C262" s="214">
        <f>SUM(C260+C261)</f>
        <v>27</v>
      </c>
      <c r="D262" s="133"/>
      <c r="E262" s="134"/>
      <c r="F262" s="135"/>
      <c r="G262" s="136"/>
      <c r="H262" s="96"/>
      <c r="I262" s="105"/>
      <c r="J262" s="104"/>
      <c r="K262" s="75"/>
      <c r="L262" s="75"/>
      <c r="M262" s="75"/>
      <c r="N262" s="75"/>
      <c r="O262" s="97"/>
      <c r="P262" s="108"/>
      <c r="Q262" s="109"/>
      <c r="R262" s="109"/>
      <c r="S262" s="100"/>
      <c r="T262" s="106"/>
      <c r="U262" s="137"/>
      <c r="V262" s="100"/>
      <c r="W262" s="100"/>
      <c r="X262" s="100"/>
      <c r="Y262" s="110"/>
      <c r="Z262" s="110"/>
      <c r="AA262" s="100"/>
      <c r="AB262" s="109"/>
      <c r="AC262" s="109"/>
      <c r="AD262" s="108"/>
      <c r="AE262" s="109"/>
      <c r="AF262" s="109"/>
      <c r="AG262" s="108"/>
      <c r="AH262" s="111"/>
      <c r="AI262" s="100"/>
      <c r="AJ262" s="110"/>
      <c r="AK262" s="110"/>
      <c r="AL262" s="100"/>
      <c r="AM262" s="100"/>
      <c r="AN262" s="100"/>
      <c r="AO262" s="100"/>
      <c r="AP262" s="100"/>
      <c r="AQ262" s="100"/>
      <c r="AR262" s="100"/>
      <c r="AS262" s="100"/>
      <c r="AT262" s="100"/>
      <c r="AU262" s="15"/>
      <c r="AV262" s="15"/>
    </row>
    <row r="263" spans="1:48" ht="16.3">
      <c r="A263" s="246" t="s">
        <v>362</v>
      </c>
      <c r="B263" s="274">
        <f>SUM(J263+K263+L263+M263+N263+S263+V263+W263+X263+AA263+AI263+AJ263+AI263+AM263+AP263+AQ263+AS263+AT263+AU263+AV263)</f>
        <v>0</v>
      </c>
      <c r="C263" s="215">
        <f>SUM(J263+K263+L263+M263+N263+S263+W263+X263+V263+AA263+AJ263+AI263+AJ263+AN263+AQ263+AM263+AT263+AU263+AV263+AW263+AP263+AS263)</f>
        <v>0</v>
      </c>
      <c r="D263" s="133"/>
      <c r="E263" s="134"/>
      <c r="F263" s="135"/>
      <c r="G263" s="136"/>
      <c r="H263" s="96"/>
      <c r="I263" s="105"/>
      <c r="J263" s="104"/>
      <c r="K263" s="75"/>
      <c r="L263" s="75"/>
      <c r="M263" s="75"/>
      <c r="N263" s="75"/>
      <c r="O263" s="97"/>
      <c r="P263" s="108"/>
      <c r="Q263" s="109"/>
      <c r="R263" s="109"/>
      <c r="S263" s="100"/>
      <c r="T263" s="106"/>
      <c r="U263" s="137"/>
      <c r="V263" s="100"/>
      <c r="W263" s="100"/>
      <c r="X263" s="100"/>
      <c r="Y263" s="110"/>
      <c r="Z263" s="110"/>
      <c r="AA263" s="100"/>
      <c r="AB263" s="109"/>
      <c r="AC263" s="109"/>
      <c r="AD263" s="108"/>
      <c r="AE263" s="109">
        <v>1</v>
      </c>
      <c r="AF263" s="109"/>
      <c r="AG263" s="108"/>
      <c r="AH263" s="111"/>
      <c r="AI263" s="100"/>
      <c r="AJ263" s="110"/>
      <c r="AK263" s="110"/>
      <c r="AL263" s="100"/>
      <c r="AM263" s="100"/>
      <c r="AN263" s="100"/>
      <c r="AO263" s="100"/>
      <c r="AP263" s="100"/>
      <c r="AQ263" s="100"/>
      <c r="AR263" s="100"/>
      <c r="AS263" s="100"/>
      <c r="AT263" s="100"/>
      <c r="AU263" s="15"/>
      <c r="AV263" s="15"/>
    </row>
    <row r="264" spans="1:48" ht="16.3">
      <c r="A264" s="83" t="s">
        <v>3</v>
      </c>
      <c r="B264" s="273">
        <f>SUM(J264+K264+L264+M264+N264+S264+V264+W264+X264+AA264+AI264+AJ264+AI264+AM264+AP264+AQ264+AS264+AT264+AU264+AV264)</f>
        <v>4</v>
      </c>
      <c r="C264" s="214">
        <f>SUM(J264+K264+L264+M264+N264+S264+W264+X264+V264+AA264+AJ264+AI264+AJ264+AN264+AQ264+AM264+AT264+AU264+AV264+AW264+AP264+AS264)+3</f>
        <v>7</v>
      </c>
      <c r="D264" s="133"/>
      <c r="E264" s="134"/>
      <c r="F264" s="135"/>
      <c r="G264" s="136"/>
      <c r="H264" s="96">
        <v>1</v>
      </c>
      <c r="I264" s="105"/>
      <c r="J264" s="104">
        <v>1</v>
      </c>
      <c r="K264" s="75">
        <v>1</v>
      </c>
      <c r="L264" s="75">
        <v>1</v>
      </c>
      <c r="M264" s="75"/>
      <c r="N264" s="75"/>
      <c r="O264" s="97"/>
      <c r="P264" s="108"/>
      <c r="Q264" s="109"/>
      <c r="R264" s="109"/>
      <c r="S264" s="100"/>
      <c r="T264" s="106"/>
      <c r="U264" s="137"/>
      <c r="V264" s="100"/>
      <c r="W264" s="100">
        <v>1</v>
      </c>
      <c r="X264" s="100"/>
      <c r="Y264" s="110"/>
      <c r="Z264" s="110"/>
      <c r="AA264" s="100"/>
      <c r="AB264" s="109"/>
      <c r="AC264" s="109">
        <v>2</v>
      </c>
      <c r="AD264" s="108"/>
      <c r="AE264" s="109"/>
      <c r="AF264" s="109">
        <v>2</v>
      </c>
      <c r="AG264" s="108"/>
      <c r="AH264" s="111"/>
      <c r="AI264" s="100"/>
      <c r="AJ264" s="110"/>
      <c r="AK264" s="110"/>
      <c r="AL264" s="100"/>
      <c r="AM264" s="100"/>
      <c r="AN264" s="100"/>
      <c r="AO264" s="100"/>
      <c r="AP264" s="100"/>
      <c r="AQ264" s="100"/>
      <c r="AR264" s="100"/>
      <c r="AS264" s="100"/>
      <c r="AT264" s="100"/>
      <c r="AU264" s="15"/>
      <c r="AV264" s="15"/>
    </row>
    <row r="265" spans="1:48" ht="17" thickBot="1">
      <c r="A265" s="85" t="s">
        <v>4</v>
      </c>
      <c r="B265" s="275">
        <f>SUM(J265+K265+L265+M265+N265+S265+V265+W265+X265+AA265+AI265+AJ265+AI265+AM265+AP265+AQ265+AS265+AT265+AU265+AV265)</f>
        <v>20</v>
      </c>
      <c r="C265" s="217">
        <f>SUM(J265+K265+L265+M265+N265+S265+W265+X265+V265+AA265+AJ265+AI265+AJ265+AN265+AQ265+AM265+AT265+AU265+AV265+AW265+AP265+AS265)+15</f>
        <v>35</v>
      </c>
      <c r="D265" s="144"/>
      <c r="E265" s="145"/>
      <c r="F265" s="146"/>
      <c r="G265" s="147"/>
      <c r="H265" s="114">
        <v>5</v>
      </c>
      <c r="I265" s="127"/>
      <c r="J265" s="113">
        <v>5</v>
      </c>
      <c r="K265" s="112">
        <v>5</v>
      </c>
      <c r="L265" s="112">
        <v>5</v>
      </c>
      <c r="M265" s="112"/>
      <c r="N265" s="112"/>
      <c r="O265" s="115"/>
      <c r="P265" s="117"/>
      <c r="Q265" s="118"/>
      <c r="R265" s="118"/>
      <c r="S265" s="116"/>
      <c r="T265" s="119"/>
      <c r="U265" s="148"/>
      <c r="V265" s="116"/>
      <c r="W265" s="116">
        <v>5</v>
      </c>
      <c r="X265" s="116"/>
      <c r="Y265" s="120"/>
      <c r="Z265" s="119"/>
      <c r="AA265" s="104"/>
      <c r="AB265" s="109"/>
      <c r="AC265" s="109">
        <v>10</v>
      </c>
      <c r="AD265" s="108"/>
      <c r="AE265" s="109"/>
      <c r="AF265" s="109">
        <v>10</v>
      </c>
      <c r="AG265" s="108"/>
      <c r="AH265" s="111"/>
      <c r="AI265" s="100"/>
      <c r="AJ265" s="110"/>
      <c r="AK265" s="110"/>
      <c r="AL265" s="100"/>
      <c r="AM265" s="100"/>
      <c r="AN265" s="100"/>
      <c r="AO265" s="100"/>
      <c r="AP265" s="100"/>
      <c r="AQ265" s="100"/>
      <c r="AR265" s="100"/>
      <c r="AS265" s="100"/>
      <c r="AT265" s="100"/>
      <c r="AU265" s="15"/>
      <c r="AV265" s="15"/>
    </row>
    <row r="266" spans="1:48" ht="21.1">
      <c r="A266" s="82" t="s">
        <v>184</v>
      </c>
      <c r="B266" s="273"/>
      <c r="C266" s="214"/>
      <c r="D266" s="133"/>
      <c r="E266" s="134"/>
      <c r="F266" s="135"/>
      <c r="G266" s="136"/>
      <c r="H266" s="96" t="s">
        <v>375</v>
      </c>
      <c r="I266" s="105"/>
      <c r="J266" s="104" t="s">
        <v>375</v>
      </c>
      <c r="K266" s="75" t="s">
        <v>375</v>
      </c>
      <c r="L266" s="75" t="s">
        <v>730</v>
      </c>
      <c r="M266" s="75" t="s">
        <v>730</v>
      </c>
      <c r="N266" s="75"/>
      <c r="O266" s="97" t="s">
        <v>371</v>
      </c>
      <c r="P266" s="108"/>
      <c r="Q266" s="109" t="s">
        <v>371</v>
      </c>
      <c r="R266" s="109" t="s">
        <v>371</v>
      </c>
      <c r="S266" s="100"/>
      <c r="T266" s="106" t="s">
        <v>375</v>
      </c>
      <c r="U266" s="137" t="s">
        <v>375</v>
      </c>
      <c r="V266" s="100"/>
      <c r="W266" s="100"/>
      <c r="X266" s="100"/>
      <c r="Y266" s="110" t="s">
        <v>375</v>
      </c>
      <c r="Z266" s="110" t="s">
        <v>375</v>
      </c>
      <c r="AA266" s="102" t="s">
        <v>375</v>
      </c>
      <c r="AB266" s="99" t="s">
        <v>375</v>
      </c>
      <c r="AC266" s="99" t="s">
        <v>730</v>
      </c>
      <c r="AD266" s="98"/>
      <c r="AE266" s="99" t="s">
        <v>730</v>
      </c>
      <c r="AF266" s="99" t="s">
        <v>375</v>
      </c>
      <c r="AG266" s="98"/>
      <c r="AH266" s="103"/>
      <c r="AI266" s="102"/>
      <c r="AJ266" s="101"/>
      <c r="AK266" s="101"/>
      <c r="AL266" s="102"/>
      <c r="AM266" s="102"/>
      <c r="AN266" s="102"/>
      <c r="AO266" s="102"/>
      <c r="AP266" s="102"/>
      <c r="AQ266" s="102"/>
      <c r="AR266" s="102"/>
      <c r="AS266" s="102"/>
      <c r="AT266" s="102"/>
    </row>
    <row r="267" spans="1:48" ht="16.3">
      <c r="A267" s="246" t="s">
        <v>1</v>
      </c>
      <c r="B267" s="274">
        <f>SUM(J267+K267+L267+M267+N267+S267+V267+W267+X267+AA267+AI267+AJ267+AI267+AM267+AP267+AQ267+AS267+AT267+AU267+AV267+AN267)+1</f>
        <v>1</v>
      </c>
      <c r="C267" s="215">
        <f>B267</f>
        <v>1</v>
      </c>
      <c r="D267" s="133"/>
      <c r="E267" s="134"/>
      <c r="F267" s="135"/>
      <c r="G267" s="136"/>
      <c r="H267" s="96"/>
      <c r="I267" s="105"/>
      <c r="J267" s="104"/>
      <c r="K267" s="75"/>
      <c r="L267" s="75"/>
      <c r="M267" s="75"/>
      <c r="N267" s="75"/>
      <c r="O267" s="97">
        <v>1</v>
      </c>
      <c r="P267" s="108"/>
      <c r="Q267" s="109">
        <v>1</v>
      </c>
      <c r="R267" s="109">
        <v>1</v>
      </c>
      <c r="S267" s="100"/>
      <c r="T267" s="106"/>
      <c r="U267" s="137"/>
      <c r="V267" s="100"/>
      <c r="W267" s="100"/>
      <c r="X267" s="100"/>
      <c r="Y267" s="110"/>
      <c r="Z267" s="110"/>
      <c r="AA267" s="100"/>
      <c r="AB267" s="109"/>
      <c r="AC267" s="109"/>
      <c r="AD267" s="108"/>
      <c r="AE267" s="109"/>
      <c r="AF267" s="109"/>
      <c r="AG267" s="108"/>
      <c r="AH267" s="111"/>
      <c r="AI267" s="100"/>
      <c r="AJ267" s="110"/>
      <c r="AK267" s="110"/>
      <c r="AL267" s="100"/>
      <c r="AM267" s="100"/>
      <c r="AN267" s="100"/>
      <c r="AO267" s="100"/>
      <c r="AP267" s="100"/>
      <c r="AQ267" s="100"/>
      <c r="AR267" s="100"/>
      <c r="AS267" s="100"/>
      <c r="AT267" s="100"/>
    </row>
    <row r="268" spans="1:48" ht="16.3">
      <c r="A268" s="246" t="s">
        <v>2</v>
      </c>
      <c r="B268" s="274">
        <f>SUM(J268+K268+L268+M268+N268+S268+V268+W268+X268+AA268+AI268+AJ268+AI268+AM268+AP268+AQ268+AS268+AT268+AU268+AV268)+10</f>
        <v>15</v>
      </c>
      <c r="C268" s="215">
        <f t="shared" ref="C268:C271" si="39">B268</f>
        <v>15</v>
      </c>
      <c r="D268" s="133"/>
      <c r="E268" s="134"/>
      <c r="F268" s="135"/>
      <c r="G268" s="136"/>
      <c r="H268" s="96">
        <v>1</v>
      </c>
      <c r="I268" s="105"/>
      <c r="J268" s="104">
        <v>1</v>
      </c>
      <c r="K268" s="75">
        <v>1</v>
      </c>
      <c r="L268" s="75">
        <v>1</v>
      </c>
      <c r="M268" s="75">
        <v>1</v>
      </c>
      <c r="N268" s="75"/>
      <c r="O268" s="97"/>
      <c r="P268" s="108"/>
      <c r="Q268" s="109"/>
      <c r="R268" s="109"/>
      <c r="S268" s="100"/>
      <c r="T268" s="106">
        <v>1</v>
      </c>
      <c r="U268" s="137">
        <v>1</v>
      </c>
      <c r="V268" s="100"/>
      <c r="W268" s="100"/>
      <c r="X268" s="100"/>
      <c r="Y268" s="110">
        <v>1</v>
      </c>
      <c r="Z268" s="110">
        <v>1</v>
      </c>
      <c r="AA268" s="100">
        <v>1</v>
      </c>
      <c r="AB268" s="109">
        <v>1</v>
      </c>
      <c r="AC268" s="109">
        <v>1</v>
      </c>
      <c r="AD268" s="108"/>
      <c r="AE268" s="109">
        <v>1</v>
      </c>
      <c r="AF268" s="109">
        <v>1</v>
      </c>
      <c r="AG268" s="108"/>
      <c r="AH268" s="111"/>
      <c r="AI268" s="100"/>
      <c r="AJ268" s="110"/>
      <c r="AK268" s="110"/>
      <c r="AL268" s="100"/>
      <c r="AM268" s="100"/>
      <c r="AN268" s="100"/>
      <c r="AO268" s="100"/>
      <c r="AP268" s="100"/>
      <c r="AQ268" s="100"/>
      <c r="AR268" s="100"/>
      <c r="AS268" s="100"/>
      <c r="AT268" s="100"/>
    </row>
    <row r="269" spans="1:48" ht="16.3">
      <c r="A269" s="83" t="s">
        <v>363</v>
      </c>
      <c r="B269" s="273">
        <f>SUM(B267+B268)</f>
        <v>16</v>
      </c>
      <c r="C269" s="214">
        <f t="shared" si="39"/>
        <v>16</v>
      </c>
      <c r="D269" s="133"/>
      <c r="E269" s="134"/>
      <c r="F269" s="135"/>
      <c r="G269" s="136"/>
      <c r="H269" s="96"/>
      <c r="I269" s="105"/>
      <c r="J269" s="104"/>
      <c r="K269" s="75"/>
      <c r="L269" s="75"/>
      <c r="M269" s="75"/>
      <c r="N269" s="75"/>
      <c r="O269" s="97"/>
      <c r="P269" s="108"/>
      <c r="Q269" s="109"/>
      <c r="R269" s="109"/>
      <c r="S269" s="100"/>
      <c r="T269" s="106"/>
      <c r="U269" s="137"/>
      <c r="V269" s="100"/>
      <c r="W269" s="100"/>
      <c r="X269" s="100"/>
      <c r="Y269" s="110"/>
      <c r="Z269" s="110"/>
      <c r="AA269" s="100"/>
      <c r="AB269" s="109"/>
      <c r="AC269" s="109"/>
      <c r="AD269" s="108"/>
      <c r="AE269" s="109"/>
      <c r="AF269" s="109"/>
      <c r="AG269" s="108"/>
      <c r="AH269" s="111"/>
      <c r="AI269" s="100"/>
      <c r="AJ269" s="110"/>
      <c r="AK269" s="110"/>
      <c r="AL269" s="100"/>
      <c r="AM269" s="100"/>
      <c r="AN269" s="100"/>
      <c r="AO269" s="100"/>
      <c r="AP269" s="100"/>
      <c r="AQ269" s="100"/>
      <c r="AR269" s="100"/>
      <c r="AS269" s="100"/>
      <c r="AT269" s="100"/>
    </row>
    <row r="270" spans="1:48" ht="16.3">
      <c r="A270" s="83" t="s">
        <v>3</v>
      </c>
      <c r="B270" s="273">
        <f>SUM(J270+K270+L270+M270+N270+S270+V270+W270+X270+AA270+AI270+AJ270+AI270+AM270+AP270+AQ270+AS270+AT270+AU270+AV270)+1</f>
        <v>1</v>
      </c>
      <c r="C270" s="214">
        <f t="shared" si="39"/>
        <v>1</v>
      </c>
      <c r="D270" s="133"/>
      <c r="E270" s="134"/>
      <c r="F270" s="135"/>
      <c r="G270" s="136"/>
      <c r="H270" s="96"/>
      <c r="I270" s="105"/>
      <c r="J270" s="104"/>
      <c r="K270" s="75"/>
      <c r="L270" s="75"/>
      <c r="M270" s="75"/>
      <c r="N270" s="75"/>
      <c r="O270" s="97"/>
      <c r="P270" s="108"/>
      <c r="Q270" s="109">
        <v>1</v>
      </c>
      <c r="R270" s="109"/>
      <c r="S270" s="100"/>
      <c r="T270" s="106"/>
      <c r="U270" s="137"/>
      <c r="V270" s="100"/>
      <c r="W270" s="100"/>
      <c r="X270" s="100"/>
      <c r="Y270" s="110"/>
      <c r="Z270" s="110"/>
      <c r="AA270" s="100"/>
      <c r="AB270" s="109"/>
      <c r="AC270" s="109"/>
      <c r="AD270" s="108"/>
      <c r="AE270" s="109">
        <v>1</v>
      </c>
      <c r="AF270" s="109"/>
      <c r="AG270" s="108"/>
      <c r="AH270" s="111"/>
      <c r="AI270" s="100"/>
      <c r="AJ270" s="110"/>
      <c r="AK270" s="110"/>
      <c r="AL270" s="100"/>
      <c r="AM270" s="100"/>
      <c r="AN270" s="100"/>
      <c r="AO270" s="100"/>
      <c r="AP270" s="100"/>
      <c r="AQ270" s="100"/>
      <c r="AR270" s="100"/>
      <c r="AS270" s="100"/>
      <c r="AT270" s="100"/>
    </row>
    <row r="271" spans="1:48" ht="17" thickBot="1">
      <c r="A271" s="85" t="s">
        <v>4</v>
      </c>
      <c r="B271" s="275">
        <f>SUM(J271+K271+L271+M271+N271+S271+V271+W271+X271+AA271+AI271+AJ271+AI271+AM271+AP271+AQ271+AS271+AT271+AU271+AV271)+5</f>
        <v>5</v>
      </c>
      <c r="C271" s="217">
        <f t="shared" si="39"/>
        <v>5</v>
      </c>
      <c r="D271" s="144"/>
      <c r="E271" s="145"/>
      <c r="F271" s="146"/>
      <c r="G271" s="147"/>
      <c r="H271" s="114"/>
      <c r="I271" s="127"/>
      <c r="J271" s="113"/>
      <c r="K271" s="112"/>
      <c r="L271" s="112"/>
      <c r="M271" s="112"/>
      <c r="N271" s="112"/>
      <c r="O271" s="115"/>
      <c r="P271" s="117"/>
      <c r="Q271" s="118">
        <v>5</v>
      </c>
      <c r="R271" s="118"/>
      <c r="S271" s="112"/>
      <c r="T271" s="119"/>
      <c r="U271" s="148"/>
      <c r="V271" s="116"/>
      <c r="W271" s="116"/>
      <c r="X271" s="116"/>
      <c r="Y271" s="120"/>
      <c r="Z271" s="120"/>
      <c r="AA271" s="116"/>
      <c r="AB271" s="118"/>
      <c r="AC271" s="118"/>
      <c r="AD271" s="117"/>
      <c r="AE271" s="118">
        <v>5</v>
      </c>
      <c r="AF271" s="118"/>
      <c r="AG271" s="117"/>
      <c r="AH271" s="121"/>
      <c r="AI271" s="116"/>
      <c r="AJ271" s="120"/>
      <c r="AK271" s="120"/>
      <c r="AL271" s="116"/>
      <c r="AM271" s="116"/>
      <c r="AN271" s="116"/>
      <c r="AO271" s="116"/>
      <c r="AP271" s="116"/>
      <c r="AQ271" s="116"/>
      <c r="AR271" s="116"/>
      <c r="AS271" s="116"/>
      <c r="AT271" s="116"/>
    </row>
    <row r="272" spans="1:48" ht="21.1">
      <c r="A272" s="82" t="s">
        <v>405</v>
      </c>
      <c r="B272" s="273"/>
      <c r="C272" s="214"/>
      <c r="D272" s="133"/>
      <c r="E272" s="134"/>
      <c r="F272" s="135"/>
      <c r="G272" s="136"/>
      <c r="H272" s="96"/>
      <c r="I272" s="105"/>
      <c r="J272" s="75"/>
      <c r="K272" s="75"/>
      <c r="L272" s="75"/>
      <c r="M272" s="75"/>
      <c r="N272" s="75"/>
      <c r="O272" s="97"/>
      <c r="P272" s="98"/>
      <c r="Q272" s="99" t="s">
        <v>375</v>
      </c>
      <c r="R272" s="109" t="s">
        <v>375</v>
      </c>
      <c r="S272" s="100"/>
      <c r="T272" s="106"/>
      <c r="U272" s="137"/>
      <c r="V272" s="102"/>
      <c r="W272" s="102"/>
      <c r="X272" s="100"/>
      <c r="Y272" s="101"/>
      <c r="Z272" s="101"/>
      <c r="AA272" s="102"/>
      <c r="AB272" s="99"/>
      <c r="AC272" s="99" t="s">
        <v>375</v>
      </c>
      <c r="AD272" s="98"/>
      <c r="AE272" s="99" t="s">
        <v>375</v>
      </c>
      <c r="AF272" s="99"/>
      <c r="AG272" s="98"/>
      <c r="AH272" s="103"/>
      <c r="AI272" s="102"/>
      <c r="AJ272" s="101"/>
      <c r="AK272" s="101"/>
      <c r="AL272" s="102"/>
      <c r="AM272" s="102"/>
      <c r="AN272" s="102"/>
      <c r="AO272" s="102"/>
      <c r="AP272" s="102"/>
      <c r="AQ272" s="102"/>
      <c r="AR272" s="102"/>
      <c r="AS272" s="102"/>
      <c r="AT272" s="102"/>
    </row>
    <row r="273" spans="1:46" ht="16.3">
      <c r="A273" s="246" t="s">
        <v>1</v>
      </c>
      <c r="B273" s="274">
        <f>SUM(J273+K273+L273+M273+N273+S273+V273+W273+X273+AA273+AI273+AJ273+AI273+AM273+AP273+AQ273+AS273+AT273+AU273+AV273+AN273)+3</f>
        <v>3</v>
      </c>
      <c r="C273" s="215">
        <f>SUM(J273+K273+L273+M273+N273+S273+W273+X273+V273+AA273+AJ273+AI273+AJ273+AN273+AQ273+AM273+AT273+AU273+AV273+AW273+AP273+AS273)+3</f>
        <v>3</v>
      </c>
      <c r="D273" s="133"/>
      <c r="E273" s="134"/>
      <c r="F273" s="135"/>
      <c r="G273" s="136"/>
      <c r="H273" s="96"/>
      <c r="I273" s="105"/>
      <c r="J273" s="104"/>
      <c r="K273" s="75"/>
      <c r="L273" s="75"/>
      <c r="M273" s="75"/>
      <c r="N273" s="75"/>
      <c r="O273" s="97"/>
      <c r="P273" s="108"/>
      <c r="Q273" s="109"/>
      <c r="R273" s="109"/>
      <c r="S273" s="100"/>
      <c r="T273" s="106"/>
      <c r="U273" s="137"/>
      <c r="V273" s="100"/>
      <c r="W273" s="100"/>
      <c r="X273" s="100"/>
      <c r="Y273" s="110"/>
      <c r="Z273" s="110"/>
      <c r="AA273" s="100"/>
      <c r="AB273" s="109"/>
      <c r="AC273" s="109"/>
      <c r="AD273" s="108"/>
      <c r="AE273" s="109"/>
      <c r="AF273" s="109"/>
      <c r="AG273" s="108"/>
      <c r="AH273" s="111"/>
      <c r="AI273" s="100"/>
      <c r="AJ273" s="110"/>
      <c r="AK273" s="110"/>
      <c r="AL273" s="100"/>
      <c r="AM273" s="100"/>
      <c r="AN273" s="100"/>
      <c r="AO273" s="100"/>
      <c r="AP273" s="100"/>
      <c r="AQ273" s="100"/>
      <c r="AR273" s="100"/>
      <c r="AS273" s="100"/>
      <c r="AT273" s="100"/>
    </row>
    <row r="274" spans="1:46" ht="16.3">
      <c r="A274" s="246" t="s">
        <v>2</v>
      </c>
      <c r="B274" s="274">
        <f>SUM(J274+K274+L274+M274+N274+S274+V274+W274+X274+AA274+AI274+AJ274+AI274+AM274+AP274+AQ274+AS274+AT274+AU274+AV274)+8</f>
        <v>8</v>
      </c>
      <c r="C274" s="215">
        <f>SUM(J274+K274+L274+M274+N274+S274+W274+X274+V274+AA274+AJ274+AI274+AJ274+AN274+AQ274+AM274+AT274+AU274+AV274+AW274+AP274+AS274)+9</f>
        <v>9</v>
      </c>
      <c r="D274" s="133"/>
      <c r="E274" s="134"/>
      <c r="F274" s="135"/>
      <c r="G274" s="136"/>
      <c r="H274" s="96"/>
      <c r="I274" s="105"/>
      <c r="J274" s="104"/>
      <c r="K274" s="75"/>
      <c r="L274" s="75"/>
      <c r="M274" s="75"/>
      <c r="N274" s="75"/>
      <c r="O274" s="97"/>
      <c r="P274" s="108"/>
      <c r="Q274" s="109">
        <v>1</v>
      </c>
      <c r="R274" s="109">
        <v>1</v>
      </c>
      <c r="S274" s="100"/>
      <c r="T274" s="106"/>
      <c r="U274" s="137"/>
      <c r="V274" s="100"/>
      <c r="W274" s="100"/>
      <c r="X274" s="100"/>
      <c r="Y274" s="110"/>
      <c r="Z274" s="110"/>
      <c r="AA274" s="100"/>
      <c r="AB274" s="109"/>
      <c r="AC274" s="109">
        <v>1</v>
      </c>
      <c r="AD274" s="108"/>
      <c r="AE274" s="109">
        <v>1</v>
      </c>
      <c r="AF274" s="109"/>
      <c r="AG274" s="108"/>
      <c r="AH274" s="111"/>
      <c r="AI274" s="100"/>
      <c r="AJ274" s="110"/>
      <c r="AK274" s="110"/>
      <c r="AL274" s="100"/>
      <c r="AM274" s="100"/>
      <c r="AN274" s="100"/>
      <c r="AO274" s="100"/>
      <c r="AP274" s="100"/>
      <c r="AQ274" s="100"/>
      <c r="AR274" s="100"/>
      <c r="AS274" s="100"/>
      <c r="AT274" s="100"/>
    </row>
    <row r="275" spans="1:46" ht="16.3">
      <c r="A275" s="83" t="s">
        <v>363</v>
      </c>
      <c r="B275" s="273">
        <f>SUM(B273+B274)</f>
        <v>11</v>
      </c>
      <c r="C275" s="214">
        <f>SUM(C273+C274)</f>
        <v>12</v>
      </c>
      <c r="D275" s="133"/>
      <c r="E275" s="134"/>
      <c r="F275" s="135"/>
      <c r="G275" s="136"/>
      <c r="H275" s="96"/>
      <c r="I275" s="105"/>
      <c r="J275" s="104"/>
      <c r="K275" s="75"/>
      <c r="L275" s="75"/>
      <c r="M275" s="75"/>
      <c r="N275" s="75"/>
      <c r="O275" s="97"/>
      <c r="P275" s="108"/>
      <c r="Q275" s="109"/>
      <c r="R275" s="109"/>
      <c r="S275" s="100"/>
      <c r="T275" s="106"/>
      <c r="U275" s="137"/>
      <c r="V275" s="100"/>
      <c r="W275" s="100"/>
      <c r="X275" s="100"/>
      <c r="Y275" s="110"/>
      <c r="Z275" s="110"/>
      <c r="AA275" s="100"/>
      <c r="AB275" s="109"/>
      <c r="AC275" s="109"/>
      <c r="AD275" s="108"/>
      <c r="AE275" s="109"/>
      <c r="AF275" s="109"/>
      <c r="AG275" s="108"/>
      <c r="AH275" s="111"/>
      <c r="AI275" s="100"/>
      <c r="AJ275" s="110"/>
      <c r="AK275" s="110"/>
      <c r="AL275" s="100"/>
      <c r="AM275" s="100"/>
      <c r="AN275" s="100"/>
      <c r="AO275" s="100"/>
      <c r="AP275" s="100"/>
      <c r="AQ275" s="100"/>
      <c r="AR275" s="100"/>
      <c r="AS275" s="100"/>
      <c r="AT275" s="100"/>
    </row>
    <row r="276" spans="1:46" ht="16.3">
      <c r="A276" s="83" t="s">
        <v>3</v>
      </c>
      <c r="B276" s="273">
        <f>SUM(J276+K276+L276+M276+N276+S276+V276+W276+X276+AA276+AI276+AJ276+AI276+AM276+AP276+AQ276+AS276+AT276+AU276+AV276)+2</f>
        <v>2</v>
      </c>
      <c r="C276" s="214">
        <f>SUM(J276+K276+L276+M276+N276+S276+W276+X276+V276+AA276+AJ276+AI276+AJ276+AN276+AQ276+AM276+AT276+AU276+AV276+AW276+AP276+AS276)+3</f>
        <v>3</v>
      </c>
      <c r="D276" s="133"/>
      <c r="E276" s="134"/>
      <c r="F276" s="135"/>
      <c r="G276" s="136"/>
      <c r="H276" s="96"/>
      <c r="I276" s="105"/>
      <c r="J276" s="104"/>
      <c r="K276" s="75"/>
      <c r="L276" s="75"/>
      <c r="M276" s="75"/>
      <c r="N276" s="75"/>
      <c r="O276" s="97"/>
      <c r="P276" s="108"/>
      <c r="Q276" s="109">
        <v>1</v>
      </c>
      <c r="R276" s="109"/>
      <c r="S276" s="100"/>
      <c r="T276" s="106"/>
      <c r="U276" s="137"/>
      <c r="V276" s="100"/>
      <c r="W276" s="100"/>
      <c r="X276" s="100"/>
      <c r="Y276" s="110"/>
      <c r="Z276" s="110"/>
      <c r="AA276" s="100"/>
      <c r="AB276" s="109"/>
      <c r="AC276" s="109"/>
      <c r="AD276" s="108"/>
      <c r="AE276" s="109"/>
      <c r="AF276" s="109"/>
      <c r="AG276" s="108"/>
      <c r="AH276" s="111"/>
      <c r="AI276" s="100"/>
      <c r="AJ276" s="110"/>
      <c r="AK276" s="110"/>
      <c r="AL276" s="100"/>
      <c r="AM276" s="100"/>
      <c r="AN276" s="100"/>
      <c r="AO276" s="100"/>
      <c r="AP276" s="100"/>
      <c r="AQ276" s="100"/>
      <c r="AR276" s="100"/>
      <c r="AS276" s="100"/>
      <c r="AT276" s="100"/>
    </row>
    <row r="277" spans="1:46" ht="17" thickBot="1">
      <c r="A277" s="85" t="s">
        <v>4</v>
      </c>
      <c r="B277" s="275">
        <f>SUM(J277+K277+L277+M277+N277+S277+V277+W277+X277+AA277+AI277+AJ277+AI277+AM277+AP277+AQ277+AS277+AT277+AU277+AV277)+10</f>
        <v>10</v>
      </c>
      <c r="C277" s="217">
        <f>SUM(J277+K277+L277+M277+N277+S277+W277+X277+V277+AA277+AJ277+AI277+AJ277+AN277+AQ277+AM277+AT277+AU277+AV277+AW277+AP277+AS277)+15</f>
        <v>15</v>
      </c>
      <c r="D277" s="144"/>
      <c r="E277" s="145"/>
      <c r="F277" s="146"/>
      <c r="G277" s="147"/>
      <c r="H277" s="114"/>
      <c r="I277" s="127"/>
      <c r="J277" s="113"/>
      <c r="K277" s="112"/>
      <c r="L277" s="112"/>
      <c r="M277" s="112"/>
      <c r="N277" s="112"/>
      <c r="O277" s="115"/>
      <c r="P277" s="117"/>
      <c r="Q277" s="118">
        <v>5</v>
      </c>
      <c r="R277" s="118"/>
      <c r="S277" s="112"/>
      <c r="T277" s="119"/>
      <c r="U277" s="148"/>
      <c r="V277" s="116"/>
      <c r="W277" s="116"/>
      <c r="X277" s="116"/>
      <c r="Y277" s="120"/>
      <c r="Z277" s="120"/>
      <c r="AA277" s="116"/>
      <c r="AB277" s="118"/>
      <c r="AC277" s="118"/>
      <c r="AD277" s="117"/>
      <c r="AE277" s="118"/>
      <c r="AF277" s="118"/>
      <c r="AG277" s="117"/>
      <c r="AH277" s="121"/>
      <c r="AI277" s="116"/>
      <c r="AJ277" s="120"/>
      <c r="AK277" s="120"/>
      <c r="AL277" s="116"/>
      <c r="AM277" s="116"/>
      <c r="AN277" s="116"/>
      <c r="AO277" s="116"/>
      <c r="AP277" s="116"/>
      <c r="AQ277" s="116"/>
      <c r="AR277" s="116"/>
      <c r="AS277" s="116"/>
      <c r="AT277" s="116"/>
    </row>
    <row r="278" spans="1:46" ht="21.1">
      <c r="A278" s="82" t="s">
        <v>497</v>
      </c>
      <c r="B278" s="273"/>
      <c r="C278" s="214"/>
      <c r="D278" s="133"/>
      <c r="E278" s="134"/>
      <c r="F278" s="135"/>
      <c r="G278" s="136"/>
      <c r="H278" s="96"/>
      <c r="I278" s="105"/>
      <c r="J278" s="104"/>
      <c r="K278" s="75"/>
      <c r="L278" s="75"/>
      <c r="M278" s="75"/>
      <c r="N278" s="75"/>
      <c r="O278" s="97" t="s">
        <v>375</v>
      </c>
      <c r="P278" s="108"/>
      <c r="Q278" s="109"/>
      <c r="R278" s="109"/>
      <c r="S278" s="100"/>
      <c r="T278" s="106"/>
      <c r="U278" s="137"/>
      <c r="V278" s="100"/>
      <c r="W278" s="100"/>
      <c r="X278" s="100"/>
      <c r="Y278" s="110"/>
      <c r="Z278" s="110"/>
      <c r="AA278" s="100"/>
      <c r="AB278" s="109"/>
      <c r="AC278" s="109"/>
      <c r="AD278" s="108"/>
      <c r="AE278" s="109"/>
      <c r="AF278" s="109"/>
      <c r="AG278" s="108"/>
      <c r="AH278" s="111"/>
      <c r="AI278" s="100"/>
      <c r="AJ278" s="110"/>
      <c r="AK278" s="110"/>
      <c r="AL278" s="100"/>
      <c r="AM278" s="100"/>
      <c r="AN278" s="100"/>
      <c r="AO278" s="100"/>
      <c r="AP278" s="100"/>
      <c r="AQ278" s="100"/>
      <c r="AR278" s="100"/>
      <c r="AS278" s="100"/>
      <c r="AT278" s="100"/>
    </row>
    <row r="279" spans="1:46" ht="16.3">
      <c r="A279" s="246" t="s">
        <v>1</v>
      </c>
      <c r="B279" s="274">
        <f>SUM(J279+K279+L279+M279+N279+S279+V279+W279+X279+AA279+AI279+AJ279+AI279+AM279+AP279+AQ279+AS279+AT279+AU279+AV279+AN279)</f>
        <v>0</v>
      </c>
      <c r="C279" s="215">
        <f t="shared" ref="C279:C280" si="40">B279</f>
        <v>0</v>
      </c>
      <c r="D279" s="133"/>
      <c r="E279" s="134"/>
      <c r="F279" s="135"/>
      <c r="G279" s="136"/>
      <c r="H279" s="96"/>
      <c r="I279" s="105"/>
      <c r="J279" s="104"/>
      <c r="K279" s="75"/>
      <c r="L279" s="75"/>
      <c r="M279" s="75"/>
      <c r="N279" s="75"/>
      <c r="O279" s="97"/>
      <c r="P279" s="108"/>
      <c r="Q279" s="109"/>
      <c r="R279" s="109"/>
      <c r="S279" s="100"/>
      <c r="T279" s="106"/>
      <c r="U279" s="137"/>
      <c r="V279" s="100"/>
      <c r="W279" s="100"/>
      <c r="X279" s="100"/>
      <c r="Y279" s="110"/>
      <c r="Z279" s="110"/>
      <c r="AA279" s="100"/>
      <c r="AB279" s="109"/>
      <c r="AC279" s="109"/>
      <c r="AD279" s="108"/>
      <c r="AE279" s="109"/>
      <c r="AF279" s="109"/>
      <c r="AG279" s="108"/>
      <c r="AH279" s="111"/>
      <c r="AI279" s="100"/>
      <c r="AJ279" s="110"/>
      <c r="AK279" s="110"/>
      <c r="AL279" s="100"/>
      <c r="AM279" s="100"/>
      <c r="AN279" s="100"/>
      <c r="AO279" s="100"/>
      <c r="AP279" s="100"/>
      <c r="AQ279" s="100"/>
      <c r="AR279" s="100"/>
      <c r="AS279" s="100"/>
      <c r="AT279" s="100"/>
    </row>
    <row r="280" spans="1:46" ht="16.3">
      <c r="A280" s="246" t="s">
        <v>2</v>
      </c>
      <c r="B280" s="274">
        <f>SUM(J280+K280+L280+M280+N280+S280+V280+W280+X280+AA280+AI280+AJ280+AI280+AM280+AP280+AQ280+AS280+AT280+AU280+AV280)+1</f>
        <v>1</v>
      </c>
      <c r="C280" s="215">
        <f t="shared" si="40"/>
        <v>1</v>
      </c>
      <c r="D280" s="133"/>
      <c r="E280" s="134"/>
      <c r="F280" s="135"/>
      <c r="G280" s="136"/>
      <c r="H280" s="96"/>
      <c r="I280" s="105"/>
      <c r="J280" s="104"/>
      <c r="K280" s="75"/>
      <c r="L280" s="75"/>
      <c r="M280" s="75"/>
      <c r="N280" s="75"/>
      <c r="O280" s="97">
        <v>1</v>
      </c>
      <c r="P280" s="108"/>
      <c r="Q280" s="109"/>
      <c r="R280" s="109"/>
      <c r="S280" s="100"/>
      <c r="T280" s="106"/>
      <c r="U280" s="137"/>
      <c r="V280" s="100"/>
      <c r="W280" s="100"/>
      <c r="X280" s="100"/>
      <c r="Y280" s="110"/>
      <c r="Z280" s="110"/>
      <c r="AA280" s="100"/>
      <c r="AB280" s="109"/>
      <c r="AC280" s="109"/>
      <c r="AD280" s="108"/>
      <c r="AE280" s="109"/>
      <c r="AF280" s="109"/>
      <c r="AG280" s="108"/>
      <c r="AH280" s="111"/>
      <c r="AI280" s="100"/>
      <c r="AJ280" s="110"/>
      <c r="AK280" s="110"/>
      <c r="AL280" s="100"/>
      <c r="AM280" s="100"/>
      <c r="AN280" s="100"/>
      <c r="AO280" s="100"/>
      <c r="AP280" s="100"/>
      <c r="AQ280" s="100"/>
      <c r="AR280" s="100"/>
      <c r="AS280" s="100"/>
      <c r="AT280" s="100"/>
    </row>
    <row r="281" spans="1:46" ht="16.3">
      <c r="A281" s="83" t="s">
        <v>363</v>
      </c>
      <c r="B281" s="273">
        <f>SUM(B279+B280)</f>
        <v>1</v>
      </c>
      <c r="C281" s="214">
        <f>SUM(C279+C280)</f>
        <v>1</v>
      </c>
      <c r="D281" s="133"/>
      <c r="E281" s="134"/>
      <c r="F281" s="135"/>
      <c r="G281" s="136"/>
      <c r="H281" s="96"/>
      <c r="I281" s="105"/>
      <c r="J281" s="104"/>
      <c r="K281" s="75"/>
      <c r="L281" s="75"/>
      <c r="M281" s="75"/>
      <c r="N281" s="75"/>
      <c r="O281" s="97"/>
      <c r="P281" s="108"/>
      <c r="Q281" s="109"/>
      <c r="R281" s="109"/>
      <c r="S281" s="100"/>
      <c r="T281" s="106"/>
      <c r="U281" s="137"/>
      <c r="V281" s="100"/>
      <c r="W281" s="100"/>
      <c r="X281" s="100"/>
      <c r="Y281" s="110"/>
      <c r="Z281" s="110"/>
      <c r="AA281" s="100"/>
      <c r="AB281" s="109"/>
      <c r="AC281" s="109"/>
      <c r="AD281" s="108"/>
      <c r="AE281" s="109"/>
      <c r="AF281" s="109"/>
      <c r="AG281" s="108"/>
      <c r="AH281" s="111"/>
      <c r="AI281" s="100"/>
      <c r="AJ281" s="110"/>
      <c r="AK281" s="110"/>
      <c r="AL281" s="100"/>
      <c r="AM281" s="100"/>
      <c r="AN281" s="100"/>
      <c r="AO281" s="100"/>
      <c r="AP281" s="100"/>
      <c r="AQ281" s="100"/>
      <c r="AR281" s="100"/>
      <c r="AS281" s="100"/>
      <c r="AT281" s="100"/>
    </row>
    <row r="282" spans="1:46" ht="16.3">
      <c r="A282" s="83" t="s">
        <v>3</v>
      </c>
      <c r="B282" s="273">
        <f>SUM(J282+K282+L282+M282+N282+S282+V282+W282+X282+AA282+AI282+AJ282+AI282+AM282+AP282+AQ282+AS282+AT282+AU282+AV282)</f>
        <v>0</v>
      </c>
      <c r="C282" s="214">
        <f t="shared" ref="C282:C283" si="41">B282</f>
        <v>0</v>
      </c>
      <c r="D282" s="133"/>
      <c r="E282" s="134"/>
      <c r="F282" s="135"/>
      <c r="G282" s="136"/>
      <c r="H282" s="96"/>
      <c r="I282" s="105"/>
      <c r="J282" s="104"/>
      <c r="K282" s="75"/>
      <c r="L282" s="75"/>
      <c r="M282" s="75"/>
      <c r="N282" s="75"/>
      <c r="O282" s="97"/>
      <c r="P282" s="108"/>
      <c r="Q282" s="109"/>
      <c r="R282" s="109"/>
      <c r="S282" s="100"/>
      <c r="T282" s="106"/>
      <c r="U282" s="137"/>
      <c r="V282" s="100"/>
      <c r="W282" s="100"/>
      <c r="X282" s="100"/>
      <c r="Y282" s="110"/>
      <c r="Z282" s="110"/>
      <c r="AA282" s="100"/>
      <c r="AB282" s="109"/>
      <c r="AC282" s="109"/>
      <c r="AD282" s="108"/>
      <c r="AE282" s="109"/>
      <c r="AF282" s="109"/>
      <c r="AG282" s="108"/>
      <c r="AH282" s="111"/>
      <c r="AI282" s="100"/>
      <c r="AJ282" s="110"/>
      <c r="AK282" s="110"/>
      <c r="AL282" s="100"/>
      <c r="AM282" s="100"/>
      <c r="AN282" s="100"/>
      <c r="AO282" s="100"/>
      <c r="AP282" s="100"/>
      <c r="AQ282" s="100"/>
      <c r="AR282" s="100"/>
      <c r="AS282" s="100"/>
      <c r="AT282" s="100"/>
    </row>
    <row r="283" spans="1:46" ht="17" thickBot="1">
      <c r="A283" s="85" t="s">
        <v>4</v>
      </c>
      <c r="B283" s="275">
        <f>SUM(J283+K283+L283+M283+N283+S283+V283+W283+X283+AA283+AI283+AJ283+AI283+AM283+AP283+AQ283+AS283+AT283+AU283+AV283)</f>
        <v>0</v>
      </c>
      <c r="C283" s="217">
        <f t="shared" si="41"/>
        <v>0</v>
      </c>
      <c r="D283" s="144"/>
      <c r="E283" s="145"/>
      <c r="F283" s="146"/>
      <c r="G283" s="147"/>
      <c r="H283" s="114"/>
      <c r="I283" s="127"/>
      <c r="J283" s="113"/>
      <c r="K283" s="112"/>
      <c r="L283" s="112"/>
      <c r="M283" s="112"/>
      <c r="N283" s="112"/>
      <c r="O283" s="115"/>
      <c r="P283" s="117"/>
      <c r="Q283" s="118"/>
      <c r="R283" s="118"/>
      <c r="S283" s="116"/>
      <c r="T283" s="119"/>
      <c r="U283" s="148"/>
      <c r="V283" s="116"/>
      <c r="W283" s="116"/>
      <c r="X283" s="116"/>
      <c r="Y283" s="120"/>
      <c r="Z283" s="120"/>
      <c r="AA283" s="116"/>
      <c r="AB283" s="118"/>
      <c r="AC283" s="118"/>
      <c r="AD283" s="117"/>
      <c r="AE283" s="118"/>
      <c r="AF283" s="118"/>
      <c r="AG283" s="117"/>
      <c r="AH283" s="121"/>
      <c r="AI283" s="116"/>
      <c r="AJ283" s="120"/>
      <c r="AK283" s="120"/>
      <c r="AL283" s="116"/>
      <c r="AM283" s="116"/>
      <c r="AN283" s="116"/>
      <c r="AO283" s="116"/>
      <c r="AP283" s="116"/>
      <c r="AQ283" s="116"/>
      <c r="AR283" s="116"/>
      <c r="AS283" s="116"/>
      <c r="AT283" s="116"/>
    </row>
    <row r="284" spans="1:46" ht="21.1">
      <c r="A284" s="82" t="s">
        <v>293</v>
      </c>
      <c r="B284" s="273"/>
      <c r="C284" s="214"/>
      <c r="D284" s="133"/>
      <c r="E284" s="134"/>
      <c r="F284" s="135"/>
      <c r="G284" s="136"/>
      <c r="H284" s="96" t="s">
        <v>387</v>
      </c>
      <c r="I284" s="105"/>
      <c r="J284" s="104" t="s">
        <v>375</v>
      </c>
      <c r="K284" s="75" t="s">
        <v>387</v>
      </c>
      <c r="L284" s="75">
        <v>5</v>
      </c>
      <c r="M284" s="75" t="s">
        <v>387</v>
      </c>
      <c r="N284" s="75"/>
      <c r="O284" s="97"/>
      <c r="P284" s="108"/>
      <c r="Q284" s="109"/>
      <c r="R284" s="109"/>
      <c r="S284" s="100" t="s">
        <v>393</v>
      </c>
      <c r="T284" s="106" t="s">
        <v>375</v>
      </c>
      <c r="U284" s="137" t="s">
        <v>375</v>
      </c>
      <c r="V284" s="100" t="s">
        <v>375</v>
      </c>
      <c r="W284" s="100" t="s">
        <v>387</v>
      </c>
      <c r="X284" s="100"/>
      <c r="Y284" s="110" t="s">
        <v>375</v>
      </c>
      <c r="Z284" s="110" t="s">
        <v>437</v>
      </c>
      <c r="AA284" s="100" t="s">
        <v>703</v>
      </c>
      <c r="AB284" s="109" t="s">
        <v>703</v>
      </c>
      <c r="AC284" s="109" t="s">
        <v>703</v>
      </c>
      <c r="AD284" s="108"/>
      <c r="AE284" s="109">
        <v>5</v>
      </c>
      <c r="AF284" s="109" t="s">
        <v>393</v>
      </c>
      <c r="AG284" s="108"/>
      <c r="AH284" s="111"/>
      <c r="AI284" s="100"/>
      <c r="AJ284" s="110"/>
      <c r="AK284" s="110"/>
      <c r="AL284" s="100"/>
      <c r="AM284" s="100"/>
      <c r="AN284" s="100"/>
      <c r="AO284" s="100"/>
      <c r="AP284" s="100"/>
      <c r="AQ284" s="100"/>
      <c r="AR284" s="100"/>
      <c r="AS284" s="100"/>
      <c r="AT284" s="100"/>
    </row>
    <row r="285" spans="1:46" ht="16.3">
      <c r="A285" s="246" t="s">
        <v>1</v>
      </c>
      <c r="B285" s="274">
        <f>SUM(J285+K285+L285+M285+N285+S285+V285+W285+X285+AA285+AI285+AJ285+AI285+AM285+AP285+AQ285+AS285+AT285+AU285+AV285+AN285)+10</f>
        <v>14</v>
      </c>
      <c r="C285" s="215">
        <f t="shared" ref="C285:C286" si="42">B285</f>
        <v>14</v>
      </c>
      <c r="D285" s="133"/>
      <c r="E285" s="134"/>
      <c r="F285" s="135"/>
      <c r="G285" s="136"/>
      <c r="H285" s="96">
        <v>1</v>
      </c>
      <c r="I285" s="105"/>
      <c r="J285" s="104"/>
      <c r="K285" s="75">
        <v>1</v>
      </c>
      <c r="L285" s="75">
        <v>1</v>
      </c>
      <c r="M285" s="75">
        <v>1</v>
      </c>
      <c r="N285" s="75"/>
      <c r="O285" s="97"/>
      <c r="P285" s="108"/>
      <c r="Q285" s="109"/>
      <c r="R285" s="109"/>
      <c r="S285" s="100"/>
      <c r="T285" s="106"/>
      <c r="U285" s="137"/>
      <c r="V285" s="100"/>
      <c r="W285" s="100">
        <v>1</v>
      </c>
      <c r="X285" s="100"/>
      <c r="Y285" s="110"/>
      <c r="Z285" s="110">
        <v>1</v>
      </c>
      <c r="AA285" s="100"/>
      <c r="AB285" s="109"/>
      <c r="AC285" s="109"/>
      <c r="AD285" s="108"/>
      <c r="AE285" s="109">
        <v>1</v>
      </c>
      <c r="AF285" s="109"/>
      <c r="AG285" s="108"/>
      <c r="AH285" s="111"/>
      <c r="AI285" s="100"/>
      <c r="AJ285" s="110"/>
      <c r="AK285" s="110"/>
      <c r="AL285" s="100"/>
      <c r="AM285" s="100"/>
      <c r="AN285" s="100"/>
      <c r="AO285" s="100"/>
      <c r="AP285" s="100"/>
      <c r="AQ285" s="100"/>
      <c r="AR285" s="100"/>
      <c r="AS285" s="100"/>
      <c r="AT285" s="100"/>
    </row>
    <row r="286" spans="1:46" ht="16.3">
      <c r="A286" s="246" t="s">
        <v>2</v>
      </c>
      <c r="B286" s="274">
        <f>SUM(J286+K286+L286+M286+N286+S286+V286+W286+X286+AA286+AI286+AJ286+AI286+AM286+AP286+AQ286+AS286+AT286+AU286+AV286)+7</f>
        <v>9</v>
      </c>
      <c r="C286" s="215">
        <f t="shared" si="42"/>
        <v>9</v>
      </c>
      <c r="D286" s="133"/>
      <c r="E286" s="134"/>
      <c r="F286" s="135"/>
      <c r="G286" s="136"/>
      <c r="H286" s="96"/>
      <c r="I286" s="105"/>
      <c r="J286" s="104">
        <v>1</v>
      </c>
      <c r="K286" s="75"/>
      <c r="L286" s="75"/>
      <c r="M286" s="75"/>
      <c r="N286" s="75"/>
      <c r="O286" s="97"/>
      <c r="P286" s="108"/>
      <c r="Q286" s="109"/>
      <c r="R286" s="109"/>
      <c r="S286" s="100"/>
      <c r="T286" s="106">
        <v>1</v>
      </c>
      <c r="U286" s="137">
        <v>1</v>
      </c>
      <c r="V286" s="100">
        <v>1</v>
      </c>
      <c r="W286" s="100"/>
      <c r="X286" s="100"/>
      <c r="Y286" s="110">
        <v>1</v>
      </c>
      <c r="Z286" s="110"/>
      <c r="AA286" s="100"/>
      <c r="AB286" s="109"/>
      <c r="AC286" s="109"/>
      <c r="AD286" s="108"/>
      <c r="AE286" s="109"/>
      <c r="AF286" s="109"/>
      <c r="AG286" s="108"/>
      <c r="AH286" s="111"/>
      <c r="AI286" s="100"/>
      <c r="AJ286" s="110"/>
      <c r="AK286" s="110"/>
      <c r="AL286" s="100"/>
      <c r="AM286" s="100"/>
      <c r="AN286" s="100"/>
      <c r="AO286" s="100"/>
      <c r="AP286" s="100"/>
      <c r="AQ286" s="100"/>
      <c r="AR286" s="100"/>
      <c r="AS286" s="100"/>
      <c r="AT286" s="100"/>
    </row>
    <row r="287" spans="1:46" ht="16.3">
      <c r="A287" s="83" t="s">
        <v>363</v>
      </c>
      <c r="B287" s="273">
        <f>SUM(B285+B286)</f>
        <v>23</v>
      </c>
      <c r="C287" s="214">
        <f>SUM(C285+C286)</f>
        <v>23</v>
      </c>
      <c r="D287" s="133"/>
      <c r="E287" s="134"/>
      <c r="F287" s="135"/>
      <c r="G287" s="136"/>
      <c r="H287" s="96"/>
      <c r="I287" s="105"/>
      <c r="J287" s="104"/>
      <c r="K287" s="75"/>
      <c r="L287" s="75"/>
      <c r="M287" s="75"/>
      <c r="N287" s="75"/>
      <c r="O287" s="97"/>
      <c r="P287" s="108"/>
      <c r="Q287" s="109"/>
      <c r="R287" s="109"/>
      <c r="S287" s="100"/>
      <c r="T287" s="106"/>
      <c r="U287" s="137"/>
      <c r="V287" s="100"/>
      <c r="W287" s="100"/>
      <c r="X287" s="100"/>
      <c r="Y287" s="110"/>
      <c r="Z287" s="110"/>
      <c r="AA287" s="100"/>
      <c r="AB287" s="109"/>
      <c r="AC287" s="109"/>
      <c r="AD287" s="108"/>
      <c r="AE287" s="109"/>
      <c r="AF287" s="109"/>
      <c r="AG287" s="108"/>
      <c r="AH287" s="111"/>
      <c r="AI287" s="100"/>
      <c r="AJ287" s="110"/>
      <c r="AK287" s="110"/>
      <c r="AL287" s="100"/>
      <c r="AM287" s="100"/>
      <c r="AN287" s="100"/>
      <c r="AO287" s="100"/>
      <c r="AP287" s="100"/>
      <c r="AQ287" s="100"/>
      <c r="AR287" s="100"/>
      <c r="AS287" s="100"/>
      <c r="AT287" s="100"/>
    </row>
    <row r="288" spans="1:46" ht="16.3">
      <c r="A288" s="246" t="s">
        <v>362</v>
      </c>
      <c r="B288" s="274">
        <f>SUM(J288+K288+L288+M288+N288+S288+V288+W288+X288+AA288+AI288+AJ288+AI288+AM288+AP288+AQ288+AS288+AT288+AU288+AV288)</f>
        <v>0</v>
      </c>
      <c r="C288" s="215">
        <f t="shared" ref="C288" si="43">B288</f>
        <v>0</v>
      </c>
      <c r="D288" s="133"/>
      <c r="E288" s="134"/>
      <c r="F288" s="135"/>
      <c r="G288" s="136"/>
      <c r="H288" s="96"/>
      <c r="I288" s="105"/>
      <c r="J288" s="104"/>
      <c r="K288" s="75"/>
      <c r="L288" s="75"/>
      <c r="M288" s="75"/>
      <c r="N288" s="75"/>
      <c r="O288" s="97"/>
      <c r="P288" s="108"/>
      <c r="Q288" s="109"/>
      <c r="R288" s="109"/>
      <c r="S288" s="100"/>
      <c r="T288" s="106"/>
      <c r="U288" s="137"/>
      <c r="V288" s="100"/>
      <c r="W288" s="100"/>
      <c r="X288" s="100"/>
      <c r="Y288" s="110"/>
      <c r="Z288" s="110">
        <v>1</v>
      </c>
      <c r="AA288" s="100"/>
      <c r="AB288" s="109"/>
      <c r="AC288" s="109"/>
      <c r="AD288" s="108"/>
      <c r="AE288" s="109"/>
      <c r="AF288" s="109"/>
      <c r="AG288" s="108"/>
      <c r="AH288" s="111"/>
      <c r="AI288" s="100"/>
      <c r="AJ288" s="110"/>
      <c r="AK288" s="110"/>
      <c r="AL288" s="100"/>
      <c r="AM288" s="100"/>
      <c r="AN288" s="100"/>
      <c r="AO288" s="100"/>
      <c r="AP288" s="100"/>
      <c r="AQ288" s="100"/>
      <c r="AR288" s="100"/>
      <c r="AS288" s="100"/>
      <c r="AT288" s="100"/>
    </row>
    <row r="289" spans="1:46" ht="16.3">
      <c r="A289" s="83" t="s">
        <v>3</v>
      </c>
      <c r="B289" s="273">
        <f>SUM(J289+K289+L289+M289+N289+S289+V289+W289+X289+AA289+AI289+AJ289+AI289+AM289+AP289+AQ289+AS289+AT289+AU289+AV289)</f>
        <v>1</v>
      </c>
      <c r="C289" s="214">
        <f t="shared" ref="C289:C290" si="44">B289</f>
        <v>1</v>
      </c>
      <c r="D289" s="133"/>
      <c r="E289" s="134"/>
      <c r="F289" s="135"/>
      <c r="G289" s="136"/>
      <c r="H289" s="96"/>
      <c r="I289" s="105"/>
      <c r="J289" s="104">
        <v>1</v>
      </c>
      <c r="K289" s="75"/>
      <c r="L289" s="75"/>
      <c r="M289" s="75"/>
      <c r="N289" s="75"/>
      <c r="O289" s="97"/>
      <c r="P289" s="108"/>
      <c r="Q289" s="109"/>
      <c r="R289" s="109"/>
      <c r="S289" s="100"/>
      <c r="T289" s="106"/>
      <c r="U289" s="137"/>
      <c r="V289" s="100"/>
      <c r="W289" s="100"/>
      <c r="X289" s="100"/>
      <c r="Y289" s="110"/>
      <c r="Z289" s="110"/>
      <c r="AA289" s="100"/>
      <c r="AB289" s="109"/>
      <c r="AC289" s="109"/>
      <c r="AD289" s="108"/>
      <c r="AE289" s="109"/>
      <c r="AF289" s="109"/>
      <c r="AG289" s="108"/>
      <c r="AH289" s="111"/>
      <c r="AI289" s="100"/>
      <c r="AJ289" s="110"/>
      <c r="AK289" s="110"/>
      <c r="AL289" s="100"/>
      <c r="AM289" s="100"/>
      <c r="AN289" s="100"/>
      <c r="AO289" s="100"/>
      <c r="AP289" s="100"/>
      <c r="AQ289" s="100"/>
      <c r="AR289" s="100"/>
      <c r="AS289" s="100"/>
      <c r="AT289" s="100"/>
    </row>
    <row r="290" spans="1:46" ht="17" thickBot="1">
      <c r="A290" s="85" t="s">
        <v>4</v>
      </c>
      <c r="B290" s="275">
        <f>SUM(J290+K290+L290+M290+N290+S290+V290+W290+X290+AA290+AI290+AJ290+AI290+AM290+AP290+AQ290+AS290+AT290+AU290+AV290)</f>
        <v>5</v>
      </c>
      <c r="C290" s="217">
        <f t="shared" si="44"/>
        <v>5</v>
      </c>
      <c r="D290" s="144"/>
      <c r="E290" s="145"/>
      <c r="F290" s="146"/>
      <c r="G290" s="147"/>
      <c r="H290" s="114"/>
      <c r="I290" s="127"/>
      <c r="J290" s="113">
        <v>5</v>
      </c>
      <c r="K290" s="112"/>
      <c r="L290" s="112"/>
      <c r="M290" s="112"/>
      <c r="N290" s="112"/>
      <c r="O290" s="115"/>
      <c r="P290" s="117"/>
      <c r="Q290" s="118"/>
      <c r="R290" s="118"/>
      <c r="S290" s="112"/>
      <c r="T290" s="119"/>
      <c r="U290" s="148"/>
      <c r="V290" s="116"/>
      <c r="W290" s="116"/>
      <c r="X290" s="116"/>
      <c r="Y290" s="110"/>
      <c r="Z290" s="110"/>
      <c r="AA290" s="100"/>
      <c r="AB290" s="109"/>
      <c r="AC290" s="109"/>
      <c r="AD290" s="108"/>
      <c r="AE290" s="109"/>
      <c r="AF290" s="109"/>
      <c r="AG290" s="108"/>
      <c r="AH290" s="111"/>
      <c r="AI290" s="100"/>
      <c r="AJ290" s="110"/>
      <c r="AK290" s="110"/>
      <c r="AL290" s="100"/>
      <c r="AM290" s="100"/>
      <c r="AN290" s="100"/>
      <c r="AO290" s="100"/>
      <c r="AP290" s="100"/>
      <c r="AQ290" s="100"/>
      <c r="AR290" s="100"/>
      <c r="AS290" s="100"/>
      <c r="AT290" s="100"/>
    </row>
    <row r="291" spans="1:46" ht="21.1">
      <c r="A291" s="82" t="s">
        <v>183</v>
      </c>
      <c r="B291" s="273"/>
      <c r="C291" s="214"/>
      <c r="D291" s="133"/>
      <c r="E291" s="134"/>
      <c r="F291" s="135"/>
      <c r="G291" s="136"/>
      <c r="H291" s="96">
        <v>4</v>
      </c>
      <c r="I291" s="105"/>
      <c r="J291" s="104">
        <v>5</v>
      </c>
      <c r="K291" s="75">
        <v>4</v>
      </c>
      <c r="L291" s="75" t="s">
        <v>729</v>
      </c>
      <c r="M291" s="75">
        <v>4</v>
      </c>
      <c r="N291" s="75">
        <v>5</v>
      </c>
      <c r="O291" s="97"/>
      <c r="P291" s="108"/>
      <c r="Q291" s="109" t="s">
        <v>816</v>
      </c>
      <c r="R291" s="109"/>
      <c r="S291" s="100">
        <v>5</v>
      </c>
      <c r="T291" s="106">
        <v>5</v>
      </c>
      <c r="U291" s="137">
        <v>5</v>
      </c>
      <c r="V291" s="100">
        <v>5</v>
      </c>
      <c r="W291" s="100">
        <v>4</v>
      </c>
      <c r="X291" s="100">
        <v>5</v>
      </c>
      <c r="Y291" s="101">
        <v>4</v>
      </c>
      <c r="Z291" s="101"/>
      <c r="AA291" s="102">
        <v>5</v>
      </c>
      <c r="AB291" s="99" t="s">
        <v>816</v>
      </c>
      <c r="AC291" s="99" t="s">
        <v>816</v>
      </c>
      <c r="AD291" s="98"/>
      <c r="AE291" s="99">
        <v>4</v>
      </c>
      <c r="AF291" s="99">
        <v>5</v>
      </c>
      <c r="AG291" s="98"/>
      <c r="AH291" s="103"/>
      <c r="AI291" s="102"/>
      <c r="AJ291" s="101"/>
      <c r="AK291" s="101"/>
      <c r="AL291" s="102"/>
      <c r="AM291" s="102"/>
      <c r="AN291" s="102"/>
      <c r="AO291" s="102"/>
      <c r="AP291" s="102"/>
      <c r="AQ291" s="102"/>
      <c r="AR291" s="102"/>
      <c r="AS291" s="102"/>
      <c r="AT291" s="102"/>
    </row>
    <row r="292" spans="1:46" ht="16.3">
      <c r="A292" s="246" t="s">
        <v>1</v>
      </c>
      <c r="B292" s="274">
        <f>SUM(J292+K292+L292+M292+N292+S292+V292+W292+X292+AA292+AI292+AJ292+AI292+AM292+AP292+AQ292+AS292+AT292+AU292+AV292+AN292)+9</f>
        <v>19</v>
      </c>
      <c r="C292" s="215">
        <f>B292</f>
        <v>19</v>
      </c>
      <c r="D292" s="133"/>
      <c r="E292" s="134"/>
      <c r="F292" s="135"/>
      <c r="G292" s="136"/>
      <c r="H292" s="96">
        <v>1</v>
      </c>
      <c r="I292" s="105"/>
      <c r="J292" s="104">
        <v>1</v>
      </c>
      <c r="K292" s="75">
        <v>1</v>
      </c>
      <c r="L292" s="75">
        <v>1</v>
      </c>
      <c r="M292" s="75">
        <v>1</v>
      </c>
      <c r="N292" s="75">
        <v>1</v>
      </c>
      <c r="O292" s="97"/>
      <c r="P292" s="108"/>
      <c r="Q292" s="109"/>
      <c r="R292" s="109"/>
      <c r="S292" s="100">
        <v>1</v>
      </c>
      <c r="T292" s="106">
        <v>1</v>
      </c>
      <c r="U292" s="137">
        <v>1</v>
      </c>
      <c r="V292" s="100">
        <v>1</v>
      </c>
      <c r="W292" s="100">
        <v>1</v>
      </c>
      <c r="X292" s="100">
        <v>1</v>
      </c>
      <c r="Y292" s="110">
        <v>1</v>
      </c>
      <c r="Z292" s="110"/>
      <c r="AA292" s="100">
        <v>1</v>
      </c>
      <c r="AB292" s="109"/>
      <c r="AC292" s="109"/>
      <c r="AD292" s="108"/>
      <c r="AE292" s="109">
        <v>1</v>
      </c>
      <c r="AF292" s="109">
        <v>1</v>
      </c>
      <c r="AG292" s="108"/>
      <c r="AH292" s="111"/>
      <c r="AI292" s="100"/>
      <c r="AJ292" s="110"/>
      <c r="AK292" s="110"/>
      <c r="AL292" s="100"/>
      <c r="AM292" s="100"/>
      <c r="AN292" s="100"/>
      <c r="AO292" s="100"/>
      <c r="AP292" s="100"/>
      <c r="AQ292" s="100"/>
      <c r="AR292" s="100"/>
      <c r="AS292" s="100"/>
      <c r="AT292" s="100"/>
    </row>
    <row r="293" spans="1:46" ht="16.3">
      <c r="A293" s="246" t="s">
        <v>2</v>
      </c>
      <c r="B293" s="274">
        <f>SUM(J293+K293+L293+M293+N293+S293+V293+W293+X293+AA293+AI293+AJ293+AI293+AM293+AP293+AQ293+AS293+AT293+AU293+AV293)+19</f>
        <v>19</v>
      </c>
      <c r="C293" s="215">
        <f t="shared" ref="C293:C297" si="45">B293</f>
        <v>19</v>
      </c>
      <c r="D293" s="133"/>
      <c r="E293" s="134"/>
      <c r="F293" s="135"/>
      <c r="G293" s="136"/>
      <c r="H293" s="96"/>
      <c r="I293" s="105"/>
      <c r="J293" s="104"/>
      <c r="K293" s="75"/>
      <c r="L293" s="75"/>
      <c r="M293" s="75"/>
      <c r="N293" s="75"/>
      <c r="O293" s="97"/>
      <c r="P293" s="108"/>
      <c r="Q293" s="109"/>
      <c r="R293" s="109"/>
      <c r="S293" s="100"/>
      <c r="T293" s="106"/>
      <c r="U293" s="137"/>
      <c r="V293" s="100"/>
      <c r="W293" s="100"/>
      <c r="X293" s="100"/>
      <c r="Y293" s="110"/>
      <c r="Z293" s="110"/>
      <c r="AA293" s="100"/>
      <c r="AB293" s="109"/>
      <c r="AC293" s="109"/>
      <c r="AD293" s="108"/>
      <c r="AE293" s="109"/>
      <c r="AF293" s="109"/>
      <c r="AG293" s="108"/>
      <c r="AH293" s="111"/>
      <c r="AI293" s="100"/>
      <c r="AJ293" s="110"/>
      <c r="AK293" s="110"/>
      <c r="AL293" s="100"/>
      <c r="AM293" s="100"/>
      <c r="AN293" s="100"/>
      <c r="AO293" s="100"/>
      <c r="AP293" s="100"/>
      <c r="AQ293" s="100"/>
      <c r="AR293" s="100"/>
      <c r="AS293" s="100"/>
      <c r="AT293" s="100"/>
    </row>
    <row r="294" spans="1:46" ht="16.3">
      <c r="A294" s="83" t="s">
        <v>363</v>
      </c>
      <c r="B294" s="273">
        <f>SUM(B292+B293)</f>
        <v>38</v>
      </c>
      <c r="C294" s="214">
        <f t="shared" si="45"/>
        <v>38</v>
      </c>
      <c r="D294" s="133"/>
      <c r="E294" s="134"/>
      <c r="F294" s="135"/>
      <c r="G294" s="136"/>
      <c r="H294" s="96"/>
      <c r="I294" s="105"/>
      <c r="J294" s="104"/>
      <c r="K294" s="75"/>
      <c r="L294" s="75"/>
      <c r="M294" s="75"/>
      <c r="N294" s="75"/>
      <c r="O294" s="97"/>
      <c r="P294" s="108"/>
      <c r="Q294" s="109"/>
      <c r="R294" s="109"/>
      <c r="S294" s="100"/>
      <c r="T294" s="106"/>
      <c r="U294" s="137"/>
      <c r="V294" s="100"/>
      <c r="W294" s="100"/>
      <c r="X294" s="100"/>
      <c r="Y294" s="110"/>
      <c r="Z294" s="110"/>
      <c r="AA294" s="100"/>
      <c r="AB294" s="109"/>
      <c r="AC294" s="109"/>
      <c r="AD294" s="108"/>
      <c r="AE294" s="109"/>
      <c r="AF294" s="109"/>
      <c r="AG294" s="108"/>
      <c r="AH294" s="111"/>
      <c r="AI294" s="100"/>
      <c r="AJ294" s="110"/>
      <c r="AK294" s="110"/>
      <c r="AL294" s="100"/>
      <c r="AM294" s="100"/>
      <c r="AN294" s="100"/>
      <c r="AO294" s="100"/>
      <c r="AP294" s="100"/>
      <c r="AQ294" s="100"/>
      <c r="AR294" s="100"/>
      <c r="AS294" s="100"/>
      <c r="AT294" s="100"/>
    </row>
    <row r="295" spans="1:46" ht="16.3">
      <c r="A295" s="246" t="s">
        <v>362</v>
      </c>
      <c r="B295" s="274">
        <f>SUM(J295+K295+L295+M295+N295+S295+V295+W295+X295+AA295+AI295+AJ295+AI295+AM295+AP295+AQ295+AS295+AT295+AU295+AV295)+2</f>
        <v>2</v>
      </c>
      <c r="C295" s="215">
        <f t="shared" si="45"/>
        <v>2</v>
      </c>
      <c r="D295" s="133"/>
      <c r="E295" s="134"/>
      <c r="F295" s="135"/>
      <c r="G295" s="136"/>
      <c r="H295" s="96"/>
      <c r="I295" s="105"/>
      <c r="J295" s="104"/>
      <c r="K295" s="75"/>
      <c r="L295" s="75"/>
      <c r="M295" s="75"/>
      <c r="N295" s="75"/>
      <c r="O295" s="97"/>
      <c r="P295" s="108"/>
      <c r="Q295" s="109"/>
      <c r="R295" s="109"/>
      <c r="S295" s="100"/>
      <c r="T295" s="106"/>
      <c r="U295" s="137"/>
      <c r="V295" s="100"/>
      <c r="W295" s="100"/>
      <c r="X295" s="100"/>
      <c r="Y295" s="110"/>
      <c r="Z295" s="110"/>
      <c r="AA295" s="100"/>
      <c r="AB295" s="109"/>
      <c r="AC295" s="109"/>
      <c r="AD295" s="108"/>
      <c r="AE295" s="109"/>
      <c r="AF295" s="109"/>
      <c r="AG295" s="108"/>
      <c r="AH295" s="111"/>
      <c r="AI295" s="100"/>
      <c r="AJ295" s="110"/>
      <c r="AK295" s="110"/>
      <c r="AL295" s="100"/>
      <c r="AM295" s="100"/>
      <c r="AN295" s="100"/>
      <c r="AO295" s="100"/>
      <c r="AP295" s="100"/>
      <c r="AQ295" s="100"/>
      <c r="AR295" s="100"/>
      <c r="AS295" s="100"/>
      <c r="AT295" s="100"/>
    </row>
    <row r="296" spans="1:46" ht="16.3">
      <c r="A296" s="83" t="s">
        <v>3</v>
      </c>
      <c r="B296" s="273">
        <f>SUM(J296+K296+L296+M296+N296+S296+V296+W296+X296+AA296+AI296+AJ296+AI296+AM296+AP296+AQ296+AS296+AT296+AU296+AV296)</f>
        <v>0</v>
      </c>
      <c r="C296" s="214">
        <f t="shared" si="45"/>
        <v>0</v>
      </c>
      <c r="D296" s="133"/>
      <c r="E296" s="134"/>
      <c r="F296" s="135"/>
      <c r="G296" s="136"/>
      <c r="H296" s="96"/>
      <c r="I296" s="105"/>
      <c r="J296" s="104"/>
      <c r="K296" s="75"/>
      <c r="L296" s="75"/>
      <c r="M296" s="75"/>
      <c r="N296" s="75"/>
      <c r="O296" s="97"/>
      <c r="P296" s="108"/>
      <c r="Q296" s="109"/>
      <c r="R296" s="109"/>
      <c r="S296" s="100"/>
      <c r="T296" s="106"/>
      <c r="U296" s="137"/>
      <c r="V296" s="100"/>
      <c r="W296" s="100"/>
      <c r="X296" s="100"/>
      <c r="Y296" s="110"/>
      <c r="Z296" s="110"/>
      <c r="AA296" s="100"/>
      <c r="AB296" s="109"/>
      <c r="AC296" s="109"/>
      <c r="AD296" s="108"/>
      <c r="AE296" s="109"/>
      <c r="AF296" s="109">
        <v>1</v>
      </c>
      <c r="AG296" s="108"/>
      <c r="AH296" s="111"/>
      <c r="AI296" s="100"/>
      <c r="AJ296" s="110"/>
      <c r="AK296" s="110"/>
      <c r="AL296" s="100"/>
      <c r="AM296" s="100"/>
      <c r="AN296" s="100"/>
      <c r="AO296" s="100"/>
      <c r="AP296" s="100"/>
      <c r="AQ296" s="100"/>
      <c r="AR296" s="100"/>
      <c r="AS296" s="100"/>
      <c r="AT296" s="100"/>
    </row>
    <row r="297" spans="1:46" ht="17" thickBot="1">
      <c r="A297" s="85" t="s">
        <v>4</v>
      </c>
      <c r="B297" s="275">
        <f>SUM(J297+K297+L297+M297+N297+S297+V297+W297+X297+AA297+AI297+AJ297+AI297+AM297+AP297+AQ297+AS297+AT297+AU297+AV297)</f>
        <v>0</v>
      </c>
      <c r="C297" s="217">
        <f t="shared" si="45"/>
        <v>0</v>
      </c>
      <c r="D297" s="144"/>
      <c r="E297" s="145"/>
      <c r="F297" s="146"/>
      <c r="G297" s="147"/>
      <c r="H297" s="114"/>
      <c r="I297" s="127"/>
      <c r="J297" s="113"/>
      <c r="K297" s="112"/>
      <c r="L297" s="112"/>
      <c r="M297" s="112"/>
      <c r="N297" s="112"/>
      <c r="O297" s="115"/>
      <c r="P297" s="117"/>
      <c r="Q297" s="118"/>
      <c r="R297" s="118"/>
      <c r="S297" s="112"/>
      <c r="T297" s="119"/>
      <c r="U297" s="148"/>
      <c r="V297" s="116"/>
      <c r="W297" s="116"/>
      <c r="X297" s="116"/>
      <c r="Y297" s="120"/>
      <c r="Z297" s="120"/>
      <c r="AA297" s="116"/>
      <c r="AB297" s="118"/>
      <c r="AC297" s="118"/>
      <c r="AD297" s="117"/>
      <c r="AE297" s="118"/>
      <c r="AF297" s="118">
        <v>5</v>
      </c>
      <c r="AG297" s="117"/>
      <c r="AH297" s="121"/>
      <c r="AI297" s="116"/>
      <c r="AJ297" s="120"/>
      <c r="AK297" s="120"/>
      <c r="AL297" s="116"/>
      <c r="AM297" s="116"/>
      <c r="AN297" s="116"/>
      <c r="AO297" s="116"/>
      <c r="AP297" s="116"/>
      <c r="AQ297" s="116"/>
      <c r="AR297" s="116"/>
      <c r="AS297" s="116"/>
      <c r="AT297" s="116"/>
    </row>
    <row r="298" spans="1:46" ht="21.1">
      <c r="A298" s="82" t="s">
        <v>400</v>
      </c>
      <c r="B298" s="273"/>
      <c r="C298" s="214"/>
      <c r="D298" s="133"/>
      <c r="E298" s="134"/>
      <c r="F298" s="135"/>
      <c r="G298" s="136"/>
      <c r="H298" s="96" t="s">
        <v>375</v>
      </c>
      <c r="I298" s="105"/>
      <c r="J298" s="104" t="s">
        <v>393</v>
      </c>
      <c r="K298" s="75" t="s">
        <v>375</v>
      </c>
      <c r="L298" s="75" t="s">
        <v>375</v>
      </c>
      <c r="M298" s="75" t="s">
        <v>375</v>
      </c>
      <c r="N298" s="75" t="s">
        <v>393</v>
      </c>
      <c r="O298" s="97" t="s">
        <v>595</v>
      </c>
      <c r="P298" s="108"/>
      <c r="Q298" s="124">
        <v>5</v>
      </c>
      <c r="R298" s="97" t="s">
        <v>443</v>
      </c>
      <c r="S298" s="100" t="s">
        <v>375</v>
      </c>
      <c r="T298" s="106" t="s">
        <v>372</v>
      </c>
      <c r="U298" s="137" t="s">
        <v>372</v>
      </c>
      <c r="V298" s="100" t="s">
        <v>372</v>
      </c>
      <c r="W298" s="100" t="s">
        <v>375</v>
      </c>
      <c r="X298" s="100" t="s">
        <v>375</v>
      </c>
      <c r="Y298" s="110" t="s">
        <v>375</v>
      </c>
      <c r="Z298" s="110" t="s">
        <v>372</v>
      </c>
      <c r="AA298" s="100" t="s">
        <v>375</v>
      </c>
      <c r="AB298" s="109" t="s">
        <v>443</v>
      </c>
      <c r="AC298" s="109" t="s">
        <v>443</v>
      </c>
      <c r="AD298" s="108"/>
      <c r="AE298" s="109"/>
      <c r="AF298" s="109"/>
      <c r="AG298" s="108"/>
      <c r="AH298" s="111"/>
      <c r="AI298" s="100"/>
      <c r="AJ298" s="110"/>
      <c r="AK298" s="110"/>
      <c r="AL298" s="100"/>
      <c r="AM298" s="100"/>
      <c r="AN298" s="100"/>
      <c r="AO298" s="100"/>
      <c r="AP298" s="100"/>
      <c r="AQ298" s="100"/>
      <c r="AR298" s="100"/>
      <c r="AS298" s="100"/>
      <c r="AT298" s="100"/>
    </row>
    <row r="299" spans="1:46" ht="16.3">
      <c r="A299" s="246" t="s">
        <v>1</v>
      </c>
      <c r="B299" s="274">
        <f>SUM(J299+K299+L299+M299+N299+S299+V299+W299+X299+AA299+AI299+AJ299+AI299+AM299+AP299+AQ299+AS299+AT299+AU299+AV299+AN299)</f>
        <v>1</v>
      </c>
      <c r="C299" s="215">
        <f>B299</f>
        <v>1</v>
      </c>
      <c r="D299" s="133"/>
      <c r="E299" s="134"/>
      <c r="F299" s="135"/>
      <c r="G299" s="136"/>
      <c r="H299" s="96"/>
      <c r="I299" s="105"/>
      <c r="J299" s="104"/>
      <c r="K299" s="75"/>
      <c r="L299" s="75"/>
      <c r="M299" s="75"/>
      <c r="N299" s="75"/>
      <c r="O299" s="97">
        <v>1</v>
      </c>
      <c r="P299" s="108"/>
      <c r="Q299" s="96">
        <v>1</v>
      </c>
      <c r="R299" s="97">
        <v>1</v>
      </c>
      <c r="S299" s="100"/>
      <c r="T299" s="106">
        <v>1</v>
      </c>
      <c r="U299" s="137">
        <v>1</v>
      </c>
      <c r="V299" s="100">
        <v>1</v>
      </c>
      <c r="W299" s="100"/>
      <c r="X299" s="100"/>
      <c r="Y299" s="110"/>
      <c r="Z299" s="110">
        <v>1</v>
      </c>
      <c r="AA299" s="100"/>
      <c r="AB299" s="109">
        <v>1</v>
      </c>
      <c r="AC299" s="109">
        <v>1</v>
      </c>
      <c r="AD299" s="108"/>
      <c r="AE299" s="109"/>
      <c r="AF299" s="109"/>
      <c r="AG299" s="108"/>
      <c r="AH299" s="111"/>
      <c r="AI299" s="100"/>
      <c r="AJ299" s="110"/>
      <c r="AK299" s="110"/>
      <c r="AL299" s="100"/>
      <c r="AM299" s="100"/>
      <c r="AN299" s="100"/>
      <c r="AO299" s="100"/>
      <c r="AP299" s="100"/>
      <c r="AQ299" s="100"/>
      <c r="AR299" s="100"/>
      <c r="AS299" s="100"/>
      <c r="AT299" s="100"/>
    </row>
    <row r="300" spans="1:46" ht="16.3">
      <c r="A300" s="246" t="s">
        <v>2</v>
      </c>
      <c r="B300" s="274">
        <f>SUM(J300+K300+L300+M300+N300+S300+V300+W300+X300+AA300+AI300+AJ300+AI300+AM300+AP300+AQ300+AS300+AT300+AU300+AV300)+2</f>
        <v>9</v>
      </c>
      <c r="C300" s="215">
        <f t="shared" ref="C300:C304" si="46">B300</f>
        <v>9</v>
      </c>
      <c r="D300" s="133"/>
      <c r="E300" s="134"/>
      <c r="F300" s="135"/>
      <c r="G300" s="136"/>
      <c r="H300" s="96">
        <v>1</v>
      </c>
      <c r="I300" s="105"/>
      <c r="J300" s="104"/>
      <c r="K300" s="75">
        <v>1</v>
      </c>
      <c r="L300" s="75">
        <v>1</v>
      </c>
      <c r="M300" s="75">
        <v>1</v>
      </c>
      <c r="N300" s="75"/>
      <c r="O300" s="97"/>
      <c r="P300" s="108"/>
      <c r="Q300" s="109"/>
      <c r="R300" s="109"/>
      <c r="S300" s="100">
        <v>1</v>
      </c>
      <c r="T300" s="106"/>
      <c r="U300" s="137"/>
      <c r="V300" s="100"/>
      <c r="W300" s="100">
        <v>1</v>
      </c>
      <c r="X300" s="100">
        <v>1</v>
      </c>
      <c r="Y300" s="110">
        <v>1</v>
      </c>
      <c r="Z300" s="110"/>
      <c r="AA300" s="100">
        <v>1</v>
      </c>
      <c r="AB300" s="109"/>
      <c r="AC300" s="109"/>
      <c r="AD300" s="108"/>
      <c r="AE300" s="109"/>
      <c r="AF300" s="109"/>
      <c r="AG300" s="108"/>
      <c r="AH300" s="111"/>
      <c r="AI300" s="100"/>
      <c r="AJ300" s="110"/>
      <c r="AK300" s="110"/>
      <c r="AL300" s="100"/>
      <c r="AM300" s="100"/>
      <c r="AN300" s="100"/>
      <c r="AO300" s="100"/>
      <c r="AP300" s="100"/>
      <c r="AQ300" s="100"/>
      <c r="AR300" s="100"/>
      <c r="AS300" s="100"/>
      <c r="AT300" s="100"/>
    </row>
    <row r="301" spans="1:46" ht="16.3">
      <c r="A301" s="83" t="s">
        <v>363</v>
      </c>
      <c r="B301" s="273">
        <f>SUM(B299+B300)</f>
        <v>10</v>
      </c>
      <c r="C301" s="214">
        <f t="shared" si="46"/>
        <v>10</v>
      </c>
      <c r="D301" s="133"/>
      <c r="E301" s="134"/>
      <c r="F301" s="135"/>
      <c r="G301" s="136"/>
      <c r="H301" s="96"/>
      <c r="I301" s="105"/>
      <c r="J301" s="104"/>
      <c r="K301" s="75"/>
      <c r="L301" s="75"/>
      <c r="M301" s="75"/>
      <c r="N301" s="75"/>
      <c r="O301" s="97"/>
      <c r="P301" s="108"/>
      <c r="Q301" s="109"/>
      <c r="R301" s="109"/>
      <c r="S301" s="100"/>
      <c r="T301" s="106"/>
      <c r="U301" s="137"/>
      <c r="V301" s="100"/>
      <c r="W301" s="100"/>
      <c r="X301" s="100"/>
      <c r="Y301" s="110"/>
      <c r="Z301" s="110"/>
      <c r="AA301" s="100"/>
      <c r="AB301" s="109"/>
      <c r="AC301" s="109"/>
      <c r="AD301" s="108"/>
      <c r="AE301" s="109"/>
      <c r="AF301" s="109"/>
      <c r="AG301" s="108"/>
      <c r="AH301" s="111"/>
      <c r="AI301" s="100"/>
      <c r="AJ301" s="110"/>
      <c r="AK301" s="110"/>
      <c r="AL301" s="100"/>
      <c r="AM301" s="100"/>
      <c r="AN301" s="100"/>
      <c r="AO301" s="100"/>
      <c r="AP301" s="100"/>
      <c r="AQ301" s="100"/>
      <c r="AR301" s="100"/>
      <c r="AS301" s="100"/>
      <c r="AT301" s="100"/>
    </row>
    <row r="302" spans="1:46" ht="16.3">
      <c r="A302" s="246" t="s">
        <v>366</v>
      </c>
      <c r="B302" s="274">
        <f>SUM(J302+K302+L302+M302+N302+S302+V302+W302+X302+AA302+AI302+AJ302+AI302+AM302+AP302+AQ302+AS302+AT302+AU302+AV302)</f>
        <v>0</v>
      </c>
      <c r="C302" s="215">
        <f t="shared" ref="C302" si="47">B302</f>
        <v>0</v>
      </c>
      <c r="D302" s="133"/>
      <c r="E302" s="134"/>
      <c r="F302" s="135"/>
      <c r="G302" s="136"/>
      <c r="H302" s="96"/>
      <c r="I302" s="105"/>
      <c r="J302" s="104"/>
      <c r="K302" s="75"/>
      <c r="L302" s="75"/>
      <c r="M302" s="75"/>
      <c r="N302" s="75"/>
      <c r="O302" s="97"/>
      <c r="P302" s="108"/>
      <c r="Q302" s="109"/>
      <c r="R302" s="109"/>
      <c r="S302" s="100"/>
      <c r="T302" s="106"/>
      <c r="U302" s="137"/>
      <c r="V302" s="100"/>
      <c r="W302" s="100"/>
      <c r="X302" s="100"/>
      <c r="Y302" s="110"/>
      <c r="Z302" s="110"/>
      <c r="AA302" s="100"/>
      <c r="AB302" s="109">
        <v>1</v>
      </c>
      <c r="AC302" s="109">
        <v>1</v>
      </c>
      <c r="AD302" s="108"/>
      <c r="AE302" s="109"/>
      <c r="AF302" s="109"/>
      <c r="AG302" s="108"/>
      <c r="AH302" s="111"/>
      <c r="AI302" s="100"/>
      <c r="AJ302" s="110"/>
      <c r="AK302" s="110"/>
      <c r="AL302" s="100"/>
      <c r="AM302" s="100"/>
      <c r="AN302" s="100"/>
      <c r="AO302" s="100"/>
      <c r="AP302" s="100"/>
      <c r="AQ302" s="100"/>
      <c r="AR302" s="100"/>
      <c r="AS302" s="100"/>
      <c r="AT302" s="100"/>
    </row>
    <row r="303" spans="1:46" ht="16.3">
      <c r="A303" s="83" t="s">
        <v>3</v>
      </c>
      <c r="B303" s="273">
        <f>SUM(J303+K303+L303+M303+N303+S303+V303+W303+X303+AA303+AI303+AJ303+AI303+AM303+AP303+AQ303+AS303+AT303+AU303+AV303)</f>
        <v>0</v>
      </c>
      <c r="C303" s="214">
        <f t="shared" si="46"/>
        <v>0</v>
      </c>
      <c r="D303" s="133"/>
      <c r="E303" s="134"/>
      <c r="F303" s="135"/>
      <c r="G303" s="136"/>
      <c r="H303" s="96"/>
      <c r="I303" s="105"/>
      <c r="J303" s="104"/>
      <c r="K303" s="75"/>
      <c r="L303" s="75"/>
      <c r="M303" s="75"/>
      <c r="N303" s="75"/>
      <c r="O303" s="97"/>
      <c r="P303" s="108"/>
      <c r="Q303" s="109"/>
      <c r="R303" s="109"/>
      <c r="S303" s="100"/>
      <c r="T303" s="106"/>
      <c r="U303" s="137"/>
      <c r="V303" s="100"/>
      <c r="W303" s="100"/>
      <c r="X303" s="100"/>
      <c r="Y303" s="110"/>
      <c r="Z303" s="110"/>
      <c r="AA303" s="100"/>
      <c r="AB303" s="109"/>
      <c r="AC303" s="109"/>
      <c r="AD303" s="108"/>
      <c r="AE303" s="109"/>
      <c r="AF303" s="109"/>
      <c r="AG303" s="108"/>
      <c r="AH303" s="111"/>
      <c r="AI303" s="100"/>
      <c r="AJ303" s="110"/>
      <c r="AK303" s="110"/>
      <c r="AL303" s="100"/>
      <c r="AM303" s="100"/>
      <c r="AN303" s="100"/>
      <c r="AO303" s="100"/>
      <c r="AP303" s="100"/>
      <c r="AQ303" s="100"/>
      <c r="AR303" s="100"/>
      <c r="AS303" s="100"/>
      <c r="AT303" s="100"/>
    </row>
    <row r="304" spans="1:46" ht="17" thickBot="1">
      <c r="A304" s="85" t="s">
        <v>4</v>
      </c>
      <c r="B304" s="275">
        <f>SUM(J304+K304+L304+M304+N304+S304+V304+W304+X304+AA304+AI304+AJ304+AI304+AM304+AP304+AQ304+AS304+AT304+AU304+AV304)</f>
        <v>0</v>
      </c>
      <c r="C304" s="217">
        <f t="shared" si="46"/>
        <v>0</v>
      </c>
      <c r="D304" s="144"/>
      <c r="E304" s="145"/>
      <c r="F304" s="146"/>
      <c r="G304" s="147"/>
      <c r="H304" s="114"/>
      <c r="I304" s="127"/>
      <c r="J304" s="113"/>
      <c r="K304" s="112"/>
      <c r="L304" s="112"/>
      <c r="M304" s="112"/>
      <c r="N304" s="112"/>
      <c r="O304" s="115"/>
      <c r="P304" s="117"/>
      <c r="Q304" s="118"/>
      <c r="R304" s="118"/>
      <c r="S304" s="116"/>
      <c r="T304" s="119"/>
      <c r="U304" s="148"/>
      <c r="V304" s="116"/>
      <c r="W304" s="116"/>
      <c r="X304" s="116"/>
      <c r="Y304" s="120"/>
      <c r="Z304" s="120"/>
      <c r="AA304" s="116"/>
      <c r="AB304" s="118"/>
      <c r="AC304" s="118"/>
      <c r="AD304" s="117"/>
      <c r="AE304" s="118"/>
      <c r="AF304" s="118"/>
      <c r="AG304" s="117"/>
      <c r="AH304" s="121"/>
      <c r="AI304" s="116"/>
      <c r="AJ304" s="120"/>
      <c r="AK304" s="120"/>
      <c r="AL304" s="116"/>
      <c r="AM304" s="116"/>
      <c r="AN304" s="116"/>
      <c r="AO304" s="116"/>
      <c r="AP304" s="116"/>
      <c r="AQ304" s="116"/>
      <c r="AR304" s="116"/>
      <c r="AS304" s="116"/>
      <c r="AT304" s="116"/>
    </row>
    <row r="305" spans="1:46" ht="21.1">
      <c r="A305" s="82" t="s">
        <v>796</v>
      </c>
      <c r="B305" s="273"/>
      <c r="C305" s="214"/>
      <c r="D305" s="133"/>
      <c r="E305" s="134"/>
      <c r="F305" s="135"/>
      <c r="G305" s="136"/>
      <c r="H305" s="96"/>
      <c r="I305" s="105"/>
      <c r="J305" s="104"/>
      <c r="K305" s="75"/>
      <c r="L305" s="75"/>
      <c r="M305" s="75"/>
      <c r="N305" s="75"/>
      <c r="O305" s="97">
        <v>4</v>
      </c>
      <c r="P305" s="108"/>
      <c r="Q305" s="109" t="s">
        <v>375</v>
      </c>
      <c r="R305" s="109">
        <v>4</v>
      </c>
      <c r="S305" s="100"/>
      <c r="T305" s="106"/>
      <c r="U305" s="137"/>
      <c r="V305" s="100"/>
      <c r="W305" s="100"/>
      <c r="X305" s="100"/>
      <c r="Y305" s="110"/>
      <c r="Z305" s="110" t="s">
        <v>375</v>
      </c>
      <c r="AA305" s="100"/>
      <c r="AB305" s="109" t="s">
        <v>372</v>
      </c>
      <c r="AC305" s="109" t="s">
        <v>984</v>
      </c>
      <c r="AD305" s="108"/>
      <c r="AE305" s="109"/>
      <c r="AF305" s="109"/>
      <c r="AG305" s="108"/>
      <c r="AH305" s="111"/>
      <c r="AI305" s="100"/>
      <c r="AJ305" s="110"/>
      <c r="AK305" s="110"/>
      <c r="AL305" s="100"/>
      <c r="AM305" s="100"/>
      <c r="AN305" s="100"/>
      <c r="AO305" s="100"/>
      <c r="AP305" s="100"/>
      <c r="AQ305" s="100"/>
      <c r="AR305" s="100"/>
      <c r="AS305" s="100"/>
      <c r="AT305" s="100"/>
    </row>
    <row r="306" spans="1:46" ht="16.3">
      <c r="A306" s="246" t="s">
        <v>1</v>
      </c>
      <c r="B306" s="274">
        <f>SUM(J306+K306+L306+M306+N306+S306+V306+W306+X306+AA306+AI306+AJ306+AI306+AM306+AP306+AQ306+AS306+AT306+AU306+AV306+AN306)</f>
        <v>0</v>
      </c>
      <c r="C306" s="215">
        <f>B306</f>
        <v>0</v>
      </c>
      <c r="D306" s="133"/>
      <c r="E306" s="134"/>
      <c r="F306" s="135"/>
      <c r="G306" s="136"/>
      <c r="H306" s="96"/>
      <c r="I306" s="105"/>
      <c r="J306" s="104"/>
      <c r="K306" s="75"/>
      <c r="L306" s="75"/>
      <c r="M306" s="75"/>
      <c r="N306" s="75"/>
      <c r="O306" s="97">
        <v>1</v>
      </c>
      <c r="P306" s="108"/>
      <c r="Q306" s="109"/>
      <c r="R306" s="109">
        <v>1</v>
      </c>
      <c r="S306" s="100"/>
      <c r="T306" s="106"/>
      <c r="U306" s="137"/>
      <c r="V306" s="100"/>
      <c r="W306" s="100"/>
      <c r="X306" s="100"/>
      <c r="Y306" s="110"/>
      <c r="Z306" s="110"/>
      <c r="AA306" s="100"/>
      <c r="AB306" s="109">
        <v>1</v>
      </c>
      <c r="AC306" s="109"/>
      <c r="AD306" s="108"/>
      <c r="AE306" s="109"/>
      <c r="AF306" s="109"/>
      <c r="AG306" s="108"/>
      <c r="AH306" s="111"/>
      <c r="AI306" s="100"/>
      <c r="AJ306" s="110"/>
      <c r="AK306" s="110"/>
      <c r="AL306" s="100"/>
      <c r="AM306" s="100"/>
      <c r="AN306" s="100"/>
      <c r="AO306" s="100"/>
      <c r="AP306" s="100"/>
      <c r="AQ306" s="100"/>
      <c r="AR306" s="100"/>
      <c r="AS306" s="100"/>
      <c r="AT306" s="100"/>
    </row>
    <row r="307" spans="1:46" ht="16.3">
      <c r="A307" s="246" t="s">
        <v>2</v>
      </c>
      <c r="B307" s="274">
        <f>SUM(J307+K307+L307+M307+N307+S307+V307+W307+X307+AA307+AI307+AJ307+AI307+AM307+AP307+AQ307+AS307+AT307+AU307+AV307)</f>
        <v>0</v>
      </c>
      <c r="C307" s="215">
        <f t="shared" ref="C307:C310" si="48">B307</f>
        <v>0</v>
      </c>
      <c r="D307" s="133"/>
      <c r="E307" s="134"/>
      <c r="F307" s="135"/>
      <c r="G307" s="136"/>
      <c r="H307" s="96"/>
      <c r="I307" s="105"/>
      <c r="J307" s="104"/>
      <c r="K307" s="75"/>
      <c r="L307" s="75"/>
      <c r="M307" s="75"/>
      <c r="N307" s="75"/>
      <c r="O307" s="97"/>
      <c r="P307" s="108"/>
      <c r="Q307" s="109">
        <v>1</v>
      </c>
      <c r="R307" s="109"/>
      <c r="S307" s="100"/>
      <c r="T307" s="106"/>
      <c r="U307" s="137"/>
      <c r="V307" s="100"/>
      <c r="W307" s="100"/>
      <c r="X307" s="100"/>
      <c r="Y307" s="110"/>
      <c r="Z307" s="110">
        <v>1</v>
      </c>
      <c r="AA307" s="100"/>
      <c r="AB307" s="109"/>
      <c r="AC307" s="109"/>
      <c r="AD307" s="108"/>
      <c r="AE307" s="109"/>
      <c r="AF307" s="109"/>
      <c r="AG307" s="108"/>
      <c r="AH307" s="111"/>
      <c r="AI307" s="100"/>
      <c r="AJ307" s="110"/>
      <c r="AK307" s="110"/>
      <c r="AL307" s="100"/>
      <c r="AM307" s="100"/>
      <c r="AN307" s="100"/>
      <c r="AO307" s="100"/>
      <c r="AP307" s="100"/>
      <c r="AQ307" s="100"/>
      <c r="AR307" s="100"/>
      <c r="AS307" s="100"/>
      <c r="AT307" s="100"/>
    </row>
    <row r="308" spans="1:46" ht="16.3">
      <c r="A308" s="83" t="s">
        <v>363</v>
      </c>
      <c r="B308" s="273">
        <f>SUM(B306+B307)</f>
        <v>0</v>
      </c>
      <c r="C308" s="214">
        <f t="shared" si="48"/>
        <v>0</v>
      </c>
      <c r="D308" s="133"/>
      <c r="E308" s="134"/>
      <c r="F308" s="135"/>
      <c r="G308" s="136"/>
      <c r="H308" s="96"/>
      <c r="I308" s="105"/>
      <c r="J308" s="104"/>
      <c r="K308" s="75"/>
      <c r="L308" s="75"/>
      <c r="M308" s="75"/>
      <c r="N308" s="75"/>
      <c r="O308" s="97"/>
      <c r="P308" s="108"/>
      <c r="Q308" s="109"/>
      <c r="R308" s="109"/>
      <c r="S308" s="100"/>
      <c r="T308" s="106"/>
      <c r="U308" s="137"/>
      <c r="V308" s="100"/>
      <c r="W308" s="100"/>
      <c r="X308" s="100"/>
      <c r="Y308" s="110"/>
      <c r="Z308" s="110"/>
      <c r="AA308" s="100"/>
      <c r="AB308" s="109"/>
      <c r="AC308" s="109"/>
      <c r="AD308" s="108"/>
      <c r="AE308" s="109"/>
      <c r="AF308" s="109"/>
      <c r="AG308" s="108"/>
      <c r="AH308" s="111"/>
      <c r="AI308" s="100"/>
      <c r="AJ308" s="110"/>
      <c r="AK308" s="110"/>
      <c r="AL308" s="100"/>
      <c r="AM308" s="100"/>
      <c r="AN308" s="100"/>
      <c r="AO308" s="100"/>
      <c r="AP308" s="100"/>
      <c r="AQ308" s="100"/>
      <c r="AR308" s="100"/>
      <c r="AS308" s="100"/>
      <c r="AT308" s="100"/>
    </row>
    <row r="309" spans="1:46" ht="16.3">
      <c r="A309" s="83" t="s">
        <v>3</v>
      </c>
      <c r="B309" s="273">
        <f>SUM(J309+K309+L309+M309+N309+S309+V309+W309+X309+AA309+AI309+AJ309+AI309+AM309+AP309+AQ309+AS309+AT309+AU309+AV309)</f>
        <v>0</v>
      </c>
      <c r="C309" s="214">
        <f t="shared" si="48"/>
        <v>0</v>
      </c>
      <c r="D309" s="133"/>
      <c r="E309" s="134"/>
      <c r="F309" s="135"/>
      <c r="G309" s="136"/>
      <c r="H309" s="96"/>
      <c r="I309" s="105"/>
      <c r="J309" s="104"/>
      <c r="K309" s="75"/>
      <c r="L309" s="75"/>
      <c r="M309" s="75"/>
      <c r="N309" s="75"/>
      <c r="O309" s="97"/>
      <c r="P309" s="108"/>
      <c r="Q309" s="109"/>
      <c r="R309" s="109"/>
      <c r="S309" s="100"/>
      <c r="T309" s="106"/>
      <c r="U309" s="137"/>
      <c r="V309" s="100"/>
      <c r="W309" s="100"/>
      <c r="X309" s="100"/>
      <c r="Y309" s="110"/>
      <c r="Z309" s="110"/>
      <c r="AA309" s="100"/>
      <c r="AB309" s="109"/>
      <c r="AC309" s="109"/>
      <c r="AD309" s="108"/>
      <c r="AE309" s="109"/>
      <c r="AF309" s="109"/>
      <c r="AG309" s="108"/>
      <c r="AH309" s="111"/>
      <c r="AI309" s="100"/>
      <c r="AJ309" s="110"/>
      <c r="AK309" s="110"/>
      <c r="AL309" s="100"/>
      <c r="AM309" s="100"/>
      <c r="AN309" s="100"/>
      <c r="AO309" s="100"/>
      <c r="AP309" s="100"/>
      <c r="AQ309" s="100"/>
      <c r="AR309" s="100"/>
      <c r="AS309" s="100"/>
      <c r="AT309" s="100"/>
    </row>
    <row r="310" spans="1:46" ht="17" thickBot="1">
      <c r="A310" s="85" t="s">
        <v>4</v>
      </c>
      <c r="B310" s="275">
        <f>SUM(J310+K310+L310+M310+N310+S310+V310+W310+X310+AA310+AI310+AJ310+AI310+AM310+AP310+AQ310+AS310+AT310+AU310+AV310)</f>
        <v>0</v>
      </c>
      <c r="C310" s="217">
        <f t="shared" si="48"/>
        <v>0</v>
      </c>
      <c r="D310" s="144"/>
      <c r="E310" s="145"/>
      <c r="F310" s="146"/>
      <c r="G310" s="147"/>
      <c r="H310" s="114"/>
      <c r="I310" s="127"/>
      <c r="J310" s="113"/>
      <c r="K310" s="112"/>
      <c r="L310" s="112"/>
      <c r="M310" s="112"/>
      <c r="N310" s="112"/>
      <c r="O310" s="115"/>
      <c r="P310" s="117"/>
      <c r="Q310" s="118"/>
      <c r="R310" s="118"/>
      <c r="S310" s="116"/>
      <c r="T310" s="119"/>
      <c r="U310" s="148"/>
      <c r="V310" s="116"/>
      <c r="W310" s="116"/>
      <c r="X310" s="116"/>
      <c r="Y310" s="120"/>
      <c r="Z310" s="120"/>
      <c r="AA310" s="116"/>
      <c r="AB310" s="118"/>
      <c r="AC310" s="118"/>
      <c r="AD310" s="117"/>
      <c r="AE310" s="118"/>
      <c r="AF310" s="118"/>
      <c r="AG310" s="117"/>
      <c r="AH310" s="121"/>
      <c r="AI310" s="116"/>
      <c r="AJ310" s="120"/>
      <c r="AK310" s="120"/>
      <c r="AL310" s="116"/>
      <c r="AM310" s="116"/>
      <c r="AN310" s="116"/>
      <c r="AO310" s="116"/>
      <c r="AP310" s="116"/>
      <c r="AQ310" s="116"/>
      <c r="AR310" s="116"/>
      <c r="AS310" s="116"/>
      <c r="AT310" s="116"/>
    </row>
    <row r="311" spans="1:46" ht="21.1">
      <c r="A311" s="82" t="s">
        <v>797</v>
      </c>
      <c r="B311" s="273"/>
      <c r="C311" s="214"/>
      <c r="D311" s="133"/>
      <c r="E311" s="134"/>
      <c r="F311" s="135"/>
      <c r="G311" s="136"/>
      <c r="H311" s="96"/>
      <c r="I311" s="105"/>
      <c r="J311" s="104"/>
      <c r="K311" s="75"/>
      <c r="L311" s="75"/>
      <c r="M311" s="75"/>
      <c r="N311" s="75"/>
      <c r="O311" s="97" t="s">
        <v>393</v>
      </c>
      <c r="P311" s="108"/>
      <c r="Q311" s="109"/>
      <c r="R311" s="109"/>
      <c r="S311" s="100"/>
      <c r="T311" s="106"/>
      <c r="U311" s="137"/>
      <c r="V311" s="100"/>
      <c r="W311" s="100"/>
      <c r="X311" s="100"/>
      <c r="Y311" s="110"/>
      <c r="Z311" s="110"/>
      <c r="AA311" s="100"/>
      <c r="AB311" s="109"/>
      <c r="AC311" s="109" t="s">
        <v>375</v>
      </c>
      <c r="AD311" s="108"/>
      <c r="AE311" s="109"/>
      <c r="AF311" s="109"/>
      <c r="AG311" s="108"/>
      <c r="AH311" s="111"/>
      <c r="AI311" s="100"/>
      <c r="AJ311" s="110"/>
      <c r="AK311" s="110"/>
      <c r="AL311" s="100"/>
      <c r="AM311" s="100"/>
      <c r="AN311" s="100"/>
      <c r="AO311" s="100"/>
      <c r="AP311" s="100"/>
      <c r="AQ311" s="100"/>
      <c r="AR311" s="100"/>
      <c r="AS311" s="100"/>
      <c r="AT311" s="100"/>
    </row>
    <row r="312" spans="1:46" ht="16.3">
      <c r="A312" s="246" t="s">
        <v>1</v>
      </c>
      <c r="B312" s="274">
        <f>SUM(J312+K312+L312+M312+N312+S312+V312+W312+X312+AA312+AI312+AJ312+AI312+AM312+AP312+AQ312+AS312+AT312+AU312+AV312+AN312)</f>
        <v>0</v>
      </c>
      <c r="C312" s="215">
        <f>B312</f>
        <v>0</v>
      </c>
      <c r="D312" s="133"/>
      <c r="E312" s="134"/>
      <c r="F312" s="135"/>
      <c r="G312" s="136"/>
      <c r="H312" s="96"/>
      <c r="I312" s="105"/>
      <c r="J312" s="104"/>
      <c r="K312" s="75"/>
      <c r="L312" s="75"/>
      <c r="M312" s="75"/>
      <c r="N312" s="75"/>
      <c r="O312" s="97"/>
      <c r="P312" s="108"/>
      <c r="Q312" s="109"/>
      <c r="R312" s="109"/>
      <c r="S312" s="100"/>
      <c r="T312" s="106"/>
      <c r="U312" s="137"/>
      <c r="V312" s="100"/>
      <c r="W312" s="100"/>
      <c r="X312" s="100"/>
      <c r="Y312" s="110"/>
      <c r="Z312" s="110"/>
      <c r="AA312" s="100"/>
      <c r="AB312" s="109"/>
      <c r="AC312" s="109"/>
      <c r="AD312" s="108"/>
      <c r="AE312" s="109"/>
      <c r="AF312" s="109"/>
      <c r="AG312" s="108"/>
      <c r="AH312" s="111"/>
      <c r="AI312" s="100"/>
      <c r="AJ312" s="110"/>
      <c r="AK312" s="110"/>
      <c r="AL312" s="100"/>
      <c r="AM312" s="100"/>
      <c r="AN312" s="100"/>
      <c r="AO312" s="100"/>
      <c r="AP312" s="100"/>
      <c r="AQ312" s="100"/>
      <c r="AR312" s="100"/>
      <c r="AS312" s="100"/>
      <c r="AT312" s="100"/>
    </row>
    <row r="313" spans="1:46" ht="16.3">
      <c r="A313" s="246" t="s">
        <v>2</v>
      </c>
      <c r="B313" s="274">
        <f>SUM(J313+K313+L313+M313+N313+S313+V313+W313+X313+AA313+AI313+AJ313+AI313+AM313+AP313+AQ313+AS313+AT313+AU313+AV313)</f>
        <v>0</v>
      </c>
      <c r="C313" s="215">
        <f t="shared" ref="C313:C316" si="49">B313</f>
        <v>0</v>
      </c>
      <c r="D313" s="133"/>
      <c r="E313" s="134"/>
      <c r="F313" s="135"/>
      <c r="G313" s="136"/>
      <c r="H313" s="96"/>
      <c r="I313" s="105"/>
      <c r="J313" s="104"/>
      <c r="K313" s="75"/>
      <c r="L313" s="75"/>
      <c r="M313" s="75"/>
      <c r="N313" s="75"/>
      <c r="O313" s="97"/>
      <c r="P313" s="108"/>
      <c r="Q313" s="109"/>
      <c r="R313" s="109"/>
      <c r="S313" s="100"/>
      <c r="T313" s="106"/>
      <c r="U313" s="137"/>
      <c r="V313" s="100"/>
      <c r="W313" s="100"/>
      <c r="X313" s="100"/>
      <c r="Y313" s="110"/>
      <c r="Z313" s="110"/>
      <c r="AA313" s="100"/>
      <c r="AB313" s="109"/>
      <c r="AC313" s="109">
        <v>1</v>
      </c>
      <c r="AD313" s="108"/>
      <c r="AE313" s="109"/>
      <c r="AF313" s="109"/>
      <c r="AG313" s="108"/>
      <c r="AH313" s="111"/>
      <c r="AI313" s="100"/>
      <c r="AJ313" s="110"/>
      <c r="AK313" s="110"/>
      <c r="AL313" s="100"/>
      <c r="AM313" s="100"/>
      <c r="AN313" s="100"/>
      <c r="AO313" s="100"/>
      <c r="AP313" s="100"/>
      <c r="AQ313" s="100"/>
      <c r="AR313" s="100"/>
      <c r="AS313" s="100"/>
      <c r="AT313" s="100"/>
    </row>
    <row r="314" spans="1:46" ht="16.3">
      <c r="A314" s="83" t="s">
        <v>363</v>
      </c>
      <c r="B314" s="273">
        <f>SUM(B312+B313)</f>
        <v>0</v>
      </c>
      <c r="C314" s="214">
        <f t="shared" si="49"/>
        <v>0</v>
      </c>
      <c r="D314" s="133"/>
      <c r="E314" s="134"/>
      <c r="F314" s="135"/>
      <c r="G314" s="136"/>
      <c r="H314" s="96"/>
      <c r="I314" s="105"/>
      <c r="J314" s="104"/>
      <c r="K314" s="75"/>
      <c r="L314" s="75"/>
      <c r="M314" s="75"/>
      <c r="N314" s="75"/>
      <c r="O314" s="97"/>
      <c r="P314" s="108"/>
      <c r="Q314" s="109"/>
      <c r="R314" s="109"/>
      <c r="S314" s="100"/>
      <c r="T314" s="106"/>
      <c r="U314" s="137"/>
      <c r="V314" s="100"/>
      <c r="W314" s="100"/>
      <c r="X314" s="100"/>
      <c r="Y314" s="110"/>
      <c r="Z314" s="110"/>
      <c r="AA314" s="100"/>
      <c r="AB314" s="109"/>
      <c r="AC314" s="109"/>
      <c r="AD314" s="108"/>
      <c r="AE314" s="109"/>
      <c r="AF314" s="109"/>
      <c r="AG314" s="108"/>
      <c r="AH314" s="111"/>
      <c r="AI314" s="100"/>
      <c r="AJ314" s="110"/>
      <c r="AK314" s="110"/>
      <c r="AL314" s="100"/>
      <c r="AM314" s="100"/>
      <c r="AN314" s="100"/>
      <c r="AO314" s="100"/>
      <c r="AP314" s="100"/>
      <c r="AQ314" s="100"/>
      <c r="AR314" s="100"/>
      <c r="AS314" s="100"/>
      <c r="AT314" s="100"/>
    </row>
    <row r="315" spans="1:46" ht="16.3">
      <c r="A315" s="83" t="s">
        <v>3</v>
      </c>
      <c r="B315" s="273">
        <f>SUM(J315+K315+L315+M315+N315+S315+V315+W315+X315+AA315+AI315+AJ315+AI315+AM315+AP315+AQ315+AS315+AT315+AU315+AV315)</f>
        <v>0</v>
      </c>
      <c r="C315" s="214">
        <f t="shared" si="49"/>
        <v>0</v>
      </c>
      <c r="D315" s="133"/>
      <c r="E315" s="134"/>
      <c r="F315" s="135"/>
      <c r="G315" s="136"/>
      <c r="H315" s="96"/>
      <c r="I315" s="105"/>
      <c r="J315" s="104"/>
      <c r="K315" s="75"/>
      <c r="L315" s="75"/>
      <c r="M315" s="75"/>
      <c r="N315" s="75"/>
      <c r="O315" s="97"/>
      <c r="P315" s="108"/>
      <c r="Q315" s="109"/>
      <c r="R315" s="109"/>
      <c r="S315" s="100"/>
      <c r="T315" s="106"/>
      <c r="U315" s="137"/>
      <c r="V315" s="100"/>
      <c r="W315" s="100"/>
      <c r="X315" s="100"/>
      <c r="Y315" s="110"/>
      <c r="Z315" s="110"/>
      <c r="AA315" s="100"/>
      <c r="AB315" s="109"/>
      <c r="AC315" s="109"/>
      <c r="AD315" s="108"/>
      <c r="AE315" s="109"/>
      <c r="AF315" s="109"/>
      <c r="AG315" s="108"/>
      <c r="AH315" s="111"/>
      <c r="AI315" s="100"/>
      <c r="AJ315" s="110"/>
      <c r="AK315" s="110"/>
      <c r="AL315" s="100"/>
      <c r="AM315" s="100"/>
      <c r="AN315" s="100"/>
      <c r="AO315" s="100"/>
      <c r="AP315" s="100"/>
      <c r="AQ315" s="100"/>
      <c r="AR315" s="100"/>
      <c r="AS315" s="100"/>
      <c r="AT315" s="100"/>
    </row>
    <row r="316" spans="1:46" ht="17" thickBot="1">
      <c r="A316" s="85" t="s">
        <v>4</v>
      </c>
      <c r="B316" s="275">
        <f>SUM(J316+K316+L316+M316+N316+S316+V316+W316+X316+AA316+AI316+AJ316+AI316+AM316+AP316+AQ316+AS316+AT316+AU316+AV316)</f>
        <v>0</v>
      </c>
      <c r="C316" s="217">
        <f t="shared" si="49"/>
        <v>0</v>
      </c>
      <c r="D316" s="144"/>
      <c r="E316" s="145"/>
      <c r="F316" s="146"/>
      <c r="G316" s="147"/>
      <c r="H316" s="114"/>
      <c r="I316" s="127"/>
      <c r="J316" s="113"/>
      <c r="K316" s="112"/>
      <c r="L316" s="112"/>
      <c r="M316" s="112"/>
      <c r="N316" s="112"/>
      <c r="O316" s="115"/>
      <c r="P316" s="117"/>
      <c r="Q316" s="118"/>
      <c r="R316" s="118"/>
      <c r="S316" s="116"/>
      <c r="T316" s="119"/>
      <c r="U316" s="148"/>
      <c r="V316" s="116"/>
      <c r="W316" s="116"/>
      <c r="X316" s="116"/>
      <c r="Y316" s="120"/>
      <c r="Z316" s="120"/>
      <c r="AA316" s="116"/>
      <c r="AB316" s="118"/>
      <c r="AC316" s="118"/>
      <c r="AD316" s="117"/>
      <c r="AE316" s="118"/>
      <c r="AF316" s="118"/>
      <c r="AG316" s="117"/>
      <c r="AH316" s="121"/>
      <c r="AI316" s="116"/>
      <c r="AJ316" s="120"/>
      <c r="AK316" s="120"/>
      <c r="AL316" s="116"/>
      <c r="AM316" s="116"/>
      <c r="AN316" s="116"/>
      <c r="AO316" s="116"/>
      <c r="AP316" s="116"/>
      <c r="AQ316" s="116"/>
      <c r="AR316" s="116"/>
      <c r="AS316" s="116"/>
      <c r="AT316" s="116"/>
    </row>
    <row r="317" spans="1:46" ht="21.1">
      <c r="A317" s="82" t="s">
        <v>613</v>
      </c>
      <c r="B317" s="273"/>
      <c r="C317" s="214"/>
      <c r="D317" s="133"/>
      <c r="E317" s="134"/>
      <c r="F317" s="135"/>
      <c r="G317" s="136"/>
      <c r="H317" s="96" t="s">
        <v>458</v>
      </c>
      <c r="I317" s="105"/>
      <c r="J317" s="104" t="s">
        <v>382</v>
      </c>
      <c r="K317" s="75" t="s">
        <v>339</v>
      </c>
      <c r="L317" s="75" t="s">
        <v>339</v>
      </c>
      <c r="M317" s="75" t="s">
        <v>339</v>
      </c>
      <c r="N317" s="75" t="s">
        <v>382</v>
      </c>
      <c r="O317" s="97"/>
      <c r="P317" s="108"/>
      <c r="Q317" s="109" t="s">
        <v>382</v>
      </c>
      <c r="R317" s="109"/>
      <c r="S317" s="100" t="s">
        <v>382</v>
      </c>
      <c r="T317" s="106" t="s">
        <v>382</v>
      </c>
      <c r="U317" s="137">
        <v>6</v>
      </c>
      <c r="V317" s="100" t="s">
        <v>382</v>
      </c>
      <c r="W317" s="100" t="s">
        <v>382</v>
      </c>
      <c r="X317" s="100" t="s">
        <v>382</v>
      </c>
      <c r="Y317" s="110" t="s">
        <v>382</v>
      </c>
      <c r="Z317" s="110"/>
      <c r="AA317" s="100">
        <v>6</v>
      </c>
      <c r="AB317" s="109">
        <v>6</v>
      </c>
      <c r="AC317" s="109"/>
      <c r="AD317" s="108"/>
      <c r="AE317" s="109" t="s">
        <v>374</v>
      </c>
      <c r="AF317" s="109" t="s">
        <v>838</v>
      </c>
      <c r="AG317" s="108"/>
      <c r="AH317" s="111"/>
      <c r="AI317" s="100"/>
      <c r="AJ317" s="110"/>
      <c r="AK317" s="110"/>
      <c r="AL317" s="100"/>
      <c r="AM317" s="100"/>
      <c r="AN317" s="100"/>
      <c r="AO317" s="100"/>
      <c r="AP317" s="100"/>
      <c r="AQ317" s="100"/>
      <c r="AR317" s="100"/>
      <c r="AS317" s="100"/>
      <c r="AT317" s="100"/>
    </row>
    <row r="318" spans="1:46" ht="16.3">
      <c r="A318" s="246" t="s">
        <v>1</v>
      </c>
      <c r="B318" s="274">
        <f>SUM(J318+K318+L318+M318+N318+S318+V318+W318+X318+AA318+AI318+AJ318+AI318+AM318+AP318+AQ318+AS318+AT318+AU318+AV318+AN318)</f>
        <v>7</v>
      </c>
      <c r="C318" s="215">
        <f>SUM(J318+K318+L318+M318+N318+S318+W318+X318+V318+AA318+AJ318+AI318+AJ318+AN318+AQ318+AM318+AT318+AU318+AV318+AW318+AP318+AS318)+67</f>
        <v>74</v>
      </c>
      <c r="D318" s="133"/>
      <c r="E318" s="134"/>
      <c r="F318" s="135"/>
      <c r="G318" s="136"/>
      <c r="H318" s="96">
        <v>1</v>
      </c>
      <c r="I318" s="105"/>
      <c r="J318" s="104">
        <v>1</v>
      </c>
      <c r="K318" s="75"/>
      <c r="L318" s="75"/>
      <c r="M318" s="75"/>
      <c r="N318" s="75">
        <v>1</v>
      </c>
      <c r="O318" s="97"/>
      <c r="P318" s="108"/>
      <c r="Q318" s="109">
        <v>1</v>
      </c>
      <c r="R318" s="109"/>
      <c r="S318" s="100">
        <v>1</v>
      </c>
      <c r="T318" s="106">
        <v>1</v>
      </c>
      <c r="U318" s="137">
        <v>1</v>
      </c>
      <c r="V318" s="100">
        <v>1</v>
      </c>
      <c r="W318" s="100">
        <v>1</v>
      </c>
      <c r="X318" s="100">
        <v>1</v>
      </c>
      <c r="Y318" s="110">
        <v>1</v>
      </c>
      <c r="Z318" s="110"/>
      <c r="AA318" s="100">
        <v>1</v>
      </c>
      <c r="AB318" s="109">
        <v>1</v>
      </c>
      <c r="AC318" s="109"/>
      <c r="AD318" s="108"/>
      <c r="AE318" s="109">
        <v>1</v>
      </c>
      <c r="AF318" s="109">
        <v>1</v>
      </c>
      <c r="AG318" s="108"/>
      <c r="AH318" s="111"/>
      <c r="AI318" s="100"/>
      <c r="AJ318" s="110"/>
      <c r="AK318" s="110"/>
      <c r="AL318" s="100"/>
      <c r="AM318" s="100"/>
      <c r="AN318" s="100"/>
      <c r="AO318" s="100"/>
      <c r="AP318" s="100"/>
      <c r="AQ318" s="100"/>
      <c r="AR318" s="100"/>
      <c r="AS318" s="100"/>
      <c r="AT318" s="100"/>
    </row>
    <row r="319" spans="1:46" ht="16.3">
      <c r="A319" s="246" t="s">
        <v>2</v>
      </c>
      <c r="B319" s="274">
        <f>SUM(J319+K319+L319+M319+N319+S319+V319+W319+X319+AA319+AI319+AJ319+AI319+AM319+AP319+AQ319+AS319+AT319+AU319+AV319)</f>
        <v>0</v>
      </c>
      <c r="C319" s="215">
        <f>SUM(J319+K319+L319+M319+N319+S319+W319+X319+V319+AA319+AJ319+AI319+AJ319+AN319+AQ319+AM319+AT319+AU319+AV319+AW319+AP319+AS319)+4</f>
        <v>4</v>
      </c>
      <c r="D319" s="133"/>
      <c r="E319" s="134"/>
      <c r="F319" s="135"/>
      <c r="G319" s="136"/>
      <c r="H319" s="96"/>
      <c r="I319" s="105"/>
      <c r="J319" s="104"/>
      <c r="K319" s="75"/>
      <c r="L319" s="75"/>
      <c r="M319" s="75"/>
      <c r="N319" s="75"/>
      <c r="O319" s="97"/>
      <c r="P319" s="108"/>
      <c r="Q319" s="109"/>
      <c r="R319" s="109"/>
      <c r="S319" s="100"/>
      <c r="T319" s="106"/>
      <c r="U319" s="137"/>
      <c r="V319" s="100"/>
      <c r="W319" s="100"/>
      <c r="X319" s="100"/>
      <c r="Y319" s="110"/>
      <c r="Z319" s="110"/>
      <c r="AA319" s="100"/>
      <c r="AB319" s="109"/>
      <c r="AC319" s="109"/>
      <c r="AD319" s="108"/>
      <c r="AE319" s="109"/>
      <c r="AF319" s="109"/>
      <c r="AG319" s="108"/>
      <c r="AH319" s="111"/>
      <c r="AI319" s="100"/>
      <c r="AJ319" s="110"/>
      <c r="AK319" s="110"/>
      <c r="AL319" s="100"/>
      <c r="AM319" s="100"/>
      <c r="AN319" s="100"/>
      <c r="AO319" s="100"/>
      <c r="AP319" s="100"/>
      <c r="AQ319" s="100"/>
      <c r="AR319" s="100"/>
      <c r="AS319" s="100"/>
      <c r="AT319" s="100"/>
    </row>
    <row r="320" spans="1:46" ht="16.3">
      <c r="A320" s="83" t="s">
        <v>363</v>
      </c>
      <c r="B320" s="273">
        <f>SUM(B318+B319)</f>
        <v>7</v>
      </c>
      <c r="C320" s="214">
        <f>SUM(C318+C319)</f>
        <v>78</v>
      </c>
      <c r="D320" s="133"/>
      <c r="E320" s="134"/>
      <c r="F320" s="135"/>
      <c r="G320" s="136"/>
      <c r="H320" s="96"/>
      <c r="I320" s="105"/>
      <c r="J320" s="104"/>
      <c r="K320" s="75"/>
      <c r="L320" s="75"/>
      <c r="M320" s="75"/>
      <c r="N320" s="75"/>
      <c r="O320" s="97"/>
      <c r="P320" s="108"/>
      <c r="Q320" s="109"/>
      <c r="R320" s="109"/>
      <c r="S320" s="100"/>
      <c r="T320" s="106"/>
      <c r="U320" s="137"/>
      <c r="V320" s="100"/>
      <c r="W320" s="100"/>
      <c r="X320" s="100"/>
      <c r="Y320" s="110"/>
      <c r="Z320" s="110"/>
      <c r="AA320" s="100"/>
      <c r="AB320" s="109"/>
      <c r="AC320" s="109"/>
      <c r="AD320" s="108"/>
      <c r="AE320" s="109"/>
      <c r="AF320" s="109"/>
      <c r="AG320" s="108"/>
      <c r="AH320" s="111"/>
      <c r="AI320" s="100"/>
      <c r="AJ320" s="110"/>
      <c r="AK320" s="110"/>
      <c r="AL320" s="100"/>
      <c r="AM320" s="100"/>
      <c r="AN320" s="100"/>
      <c r="AO320" s="100"/>
      <c r="AP320" s="100"/>
      <c r="AQ320" s="100"/>
      <c r="AR320" s="100"/>
      <c r="AS320" s="100"/>
      <c r="AT320" s="100"/>
    </row>
    <row r="321" spans="1:46" ht="16.3">
      <c r="A321" s="246" t="s">
        <v>362</v>
      </c>
      <c r="B321" s="274">
        <f>SUM(J321+K321+L321+M321+N321+S321+V321+W321+X321+AA321+AI321+AJ321+AI321+AM321+AP321+AQ321+AS321+AT321+AU321+AV321)</f>
        <v>0</v>
      </c>
      <c r="C321" s="215">
        <f>SUM(J321+K321+L321+M321+N321+S321+W321+X321+V321+AA321+AJ321+AI321+AJ321+AN321+AQ321+AM321+AT321+AU321+AV321+AW321+AP321+AS321)+3</f>
        <v>3</v>
      </c>
      <c r="D321" s="133"/>
      <c r="E321" s="134"/>
      <c r="F321" s="135"/>
      <c r="G321" s="136"/>
      <c r="H321" s="96"/>
      <c r="I321" s="105"/>
      <c r="J321" s="104"/>
      <c r="K321" s="75"/>
      <c r="L321" s="75"/>
      <c r="M321" s="75"/>
      <c r="N321" s="75"/>
      <c r="O321" s="97"/>
      <c r="P321" s="108"/>
      <c r="Q321" s="109"/>
      <c r="R321" s="109"/>
      <c r="S321" s="100"/>
      <c r="T321" s="106"/>
      <c r="U321" s="137"/>
      <c r="V321" s="100"/>
      <c r="W321" s="100"/>
      <c r="X321" s="100"/>
      <c r="Y321" s="110"/>
      <c r="Z321" s="110"/>
      <c r="AA321" s="100"/>
      <c r="AB321" s="109"/>
      <c r="AC321" s="109"/>
      <c r="AD321" s="108"/>
      <c r="AE321" s="109"/>
      <c r="AF321" s="109">
        <v>1</v>
      </c>
      <c r="AG321" s="108"/>
      <c r="AH321" s="111"/>
      <c r="AI321" s="100"/>
      <c r="AJ321" s="110"/>
      <c r="AK321" s="110"/>
      <c r="AL321" s="100"/>
      <c r="AM321" s="100"/>
      <c r="AN321" s="100"/>
      <c r="AO321" s="100"/>
      <c r="AP321" s="100"/>
      <c r="AQ321" s="100"/>
      <c r="AR321" s="100"/>
      <c r="AS321" s="100"/>
      <c r="AT321" s="100"/>
    </row>
    <row r="322" spans="1:46" ht="16.3">
      <c r="A322" s="83" t="s">
        <v>3</v>
      </c>
      <c r="B322" s="273">
        <f>SUM(J322+K322+L322+M322+N322+S322+V322+W322+X322+AA322+AI322+AJ322+AI322+AM322+AP322+AQ322+AS322+AT322+AU322+AV322)</f>
        <v>2</v>
      </c>
      <c r="C322" s="214">
        <f>SUM(J322+K322+L322+M322+N322+S322+W322+X322+V322+AA322+AJ322+AI322+AJ322+AN322+AQ322+AM322+AT322+AU322+AV322+AW322+AP322+AS322)+22</f>
        <v>24</v>
      </c>
      <c r="D322" s="133"/>
      <c r="E322" s="134"/>
      <c r="F322" s="135"/>
      <c r="G322" s="136"/>
      <c r="H322" s="96"/>
      <c r="I322" s="105"/>
      <c r="J322" s="104"/>
      <c r="K322" s="75"/>
      <c r="L322" s="75"/>
      <c r="M322" s="75"/>
      <c r="N322" s="75"/>
      <c r="O322" s="97"/>
      <c r="P322" s="108"/>
      <c r="Q322" s="109"/>
      <c r="R322" s="109"/>
      <c r="S322" s="100"/>
      <c r="T322" s="106"/>
      <c r="U322" s="137"/>
      <c r="V322" s="100"/>
      <c r="W322" s="100">
        <v>2</v>
      </c>
      <c r="X322" s="100"/>
      <c r="Y322" s="110"/>
      <c r="Z322" s="110"/>
      <c r="AA322" s="100"/>
      <c r="AB322" s="109"/>
      <c r="AC322" s="109"/>
      <c r="AD322" s="108"/>
      <c r="AE322" s="109"/>
      <c r="AF322" s="109"/>
      <c r="AG322" s="108"/>
      <c r="AH322" s="111"/>
      <c r="AI322" s="100"/>
      <c r="AJ322" s="110"/>
      <c r="AK322" s="110"/>
      <c r="AL322" s="100"/>
      <c r="AM322" s="100"/>
      <c r="AN322" s="100"/>
      <c r="AO322" s="100"/>
      <c r="AP322" s="100"/>
      <c r="AQ322" s="100"/>
      <c r="AR322" s="100"/>
      <c r="AS322" s="100"/>
      <c r="AT322" s="100"/>
    </row>
    <row r="323" spans="1:46" ht="17" thickBot="1">
      <c r="A323" s="85" t="s">
        <v>4</v>
      </c>
      <c r="B323" s="275">
        <f>SUM(J323+K323+L323+M323+N323+S323+V323+W323+X323+AA323+AI323+AJ323+AI323+AM323+AP323+AQ323+AS323+AT323+AU323+AV323)</f>
        <v>10</v>
      </c>
      <c r="C323" s="217">
        <f>SUM(J323+K323+L323+M323+N323+S323+W323+X323+V323+AA323+AJ323+AI323+AJ323+AN323+AQ323+AM323+AT323+AU323+AV323+AW323+AP323+AS323)+110</f>
        <v>120</v>
      </c>
      <c r="D323" s="144"/>
      <c r="E323" s="145"/>
      <c r="F323" s="146"/>
      <c r="G323" s="147"/>
      <c r="H323" s="114"/>
      <c r="I323" s="127"/>
      <c r="J323" s="113"/>
      <c r="K323" s="112"/>
      <c r="L323" s="112"/>
      <c r="M323" s="112"/>
      <c r="N323" s="112"/>
      <c r="O323" s="115"/>
      <c r="P323" s="117"/>
      <c r="Q323" s="118"/>
      <c r="R323" s="118"/>
      <c r="S323" s="112"/>
      <c r="T323" s="119"/>
      <c r="U323" s="148"/>
      <c r="V323" s="116"/>
      <c r="W323" s="116">
        <v>10</v>
      </c>
      <c r="X323" s="116"/>
      <c r="Y323" s="120"/>
      <c r="Z323" s="120"/>
      <c r="AA323" s="116"/>
      <c r="AB323" s="118"/>
      <c r="AC323" s="118"/>
      <c r="AD323" s="117"/>
      <c r="AE323" s="118"/>
      <c r="AF323" s="118"/>
      <c r="AG323" s="117"/>
      <c r="AH323" s="121"/>
      <c r="AI323" s="116"/>
      <c r="AJ323" s="120"/>
      <c r="AK323" s="120"/>
      <c r="AL323" s="116"/>
      <c r="AM323" s="116"/>
      <c r="AN323" s="116"/>
      <c r="AO323" s="116"/>
      <c r="AP323" s="116"/>
      <c r="AQ323" s="116"/>
      <c r="AR323" s="116"/>
      <c r="AS323" s="116"/>
      <c r="AT323" s="116"/>
    </row>
    <row r="324" spans="1:46" ht="21.1">
      <c r="A324" s="82" t="s">
        <v>78</v>
      </c>
      <c r="B324" s="273"/>
      <c r="C324" s="214"/>
      <c r="D324" s="133"/>
      <c r="E324" s="134"/>
      <c r="F324" s="135"/>
      <c r="G324" s="136"/>
      <c r="H324" s="96" t="s">
        <v>501</v>
      </c>
      <c r="I324" s="105"/>
      <c r="J324" s="104" t="s">
        <v>373</v>
      </c>
      <c r="K324" s="75" t="s">
        <v>373</v>
      </c>
      <c r="L324" s="75" t="s">
        <v>339</v>
      </c>
      <c r="M324" s="75" t="s">
        <v>339</v>
      </c>
      <c r="N324" s="75" t="s">
        <v>339</v>
      </c>
      <c r="O324" s="97" t="s">
        <v>339</v>
      </c>
      <c r="P324" s="108"/>
      <c r="Q324" s="97" t="s">
        <v>339</v>
      </c>
      <c r="R324" s="96" t="s">
        <v>339</v>
      </c>
      <c r="S324" s="100" t="s">
        <v>339</v>
      </c>
      <c r="T324" s="106" t="s">
        <v>375</v>
      </c>
      <c r="U324" s="137" t="s">
        <v>374</v>
      </c>
      <c r="V324" s="100" t="s">
        <v>339</v>
      </c>
      <c r="W324" s="75" t="s">
        <v>339</v>
      </c>
      <c r="X324" s="100" t="s">
        <v>339</v>
      </c>
      <c r="Y324" s="110" t="s">
        <v>339</v>
      </c>
      <c r="Z324" s="110" t="s">
        <v>339</v>
      </c>
      <c r="AA324" s="100" t="s">
        <v>339</v>
      </c>
      <c r="AB324" s="109" t="s">
        <v>339</v>
      </c>
      <c r="AC324" s="109" t="s">
        <v>339</v>
      </c>
      <c r="AD324" s="108"/>
      <c r="AE324" s="109" t="s">
        <v>339</v>
      </c>
      <c r="AF324" s="109" t="s">
        <v>339</v>
      </c>
      <c r="AG324" s="108"/>
      <c r="AH324" s="107"/>
      <c r="AI324" s="100"/>
      <c r="AJ324" s="110"/>
      <c r="AK324" s="110"/>
      <c r="AL324" s="100"/>
      <c r="AM324" s="100"/>
      <c r="AN324" s="100"/>
      <c r="AO324" s="100"/>
      <c r="AP324" s="100"/>
      <c r="AQ324" s="100"/>
      <c r="AR324" s="100"/>
      <c r="AS324" s="100"/>
      <c r="AT324" s="100"/>
    </row>
    <row r="325" spans="1:46" ht="16.3">
      <c r="A325" s="246" t="s">
        <v>1</v>
      </c>
      <c r="B325" s="274">
        <f>SUM(J325+K325+L325+M325+N325+S325+V325+W325+X325+AA325+AI325+AJ325+AI325+AM325+AP325+AQ325+AS325+AT325+AU325+AV325+AN325)+104</f>
        <v>106</v>
      </c>
      <c r="C325" s="215">
        <f>B325</f>
        <v>106</v>
      </c>
      <c r="D325" s="133"/>
      <c r="E325" s="134"/>
      <c r="F325" s="135"/>
      <c r="G325" s="136"/>
      <c r="H325" s="96"/>
      <c r="I325" s="105"/>
      <c r="J325" s="104">
        <v>1</v>
      </c>
      <c r="K325" s="75">
        <v>1</v>
      </c>
      <c r="L325" s="75"/>
      <c r="M325" s="75"/>
      <c r="N325" s="75"/>
      <c r="O325" s="97"/>
      <c r="P325" s="108"/>
      <c r="Q325" s="97"/>
      <c r="R325" s="96"/>
      <c r="S325" s="100"/>
      <c r="T325" s="106"/>
      <c r="U325" s="137">
        <v>1</v>
      </c>
      <c r="V325" s="100"/>
      <c r="W325" s="75"/>
      <c r="X325" s="100"/>
      <c r="Y325" s="110"/>
      <c r="Z325" s="110"/>
      <c r="AA325" s="100"/>
      <c r="AB325" s="109"/>
      <c r="AC325" s="109"/>
      <c r="AD325" s="108"/>
      <c r="AE325" s="109"/>
      <c r="AF325" s="109"/>
      <c r="AG325" s="108"/>
      <c r="AH325" s="107"/>
      <c r="AI325" s="100"/>
      <c r="AJ325" s="110"/>
      <c r="AK325" s="110"/>
      <c r="AL325" s="100"/>
      <c r="AM325" s="100"/>
      <c r="AN325" s="100"/>
      <c r="AO325" s="100"/>
      <c r="AP325" s="100"/>
      <c r="AQ325" s="100"/>
      <c r="AR325" s="100"/>
      <c r="AS325" s="100"/>
      <c r="AT325" s="100"/>
    </row>
    <row r="326" spans="1:46" ht="16.3">
      <c r="A326" s="246" t="s">
        <v>2</v>
      </c>
      <c r="B326" s="274">
        <f>SUM(J326+K326+L326+M326+N326+S326+V326+W326+X326+AA326+AI326+AJ326+AI326+AM326+AP326+AQ326+AS326+AT326+AU326+AV326)+30</f>
        <v>30</v>
      </c>
      <c r="C326" s="215">
        <f t="shared" ref="C326:C330" si="50">B326</f>
        <v>30</v>
      </c>
      <c r="D326" s="133"/>
      <c r="E326" s="134"/>
      <c r="F326" s="135"/>
      <c r="G326" s="136"/>
      <c r="H326" s="96"/>
      <c r="I326" s="105"/>
      <c r="J326" s="104"/>
      <c r="K326" s="75"/>
      <c r="L326" s="75"/>
      <c r="M326" s="75"/>
      <c r="N326" s="75"/>
      <c r="O326" s="97"/>
      <c r="P326" s="108"/>
      <c r="Q326" s="97"/>
      <c r="R326" s="96"/>
      <c r="S326" s="100"/>
      <c r="T326" s="106">
        <v>1</v>
      </c>
      <c r="U326" s="137"/>
      <c r="V326" s="100"/>
      <c r="W326" s="100"/>
      <c r="X326" s="100"/>
      <c r="Y326" s="110"/>
      <c r="Z326" s="110"/>
      <c r="AA326" s="100"/>
      <c r="AB326" s="109"/>
      <c r="AC326" s="109"/>
      <c r="AD326" s="108"/>
      <c r="AE326" s="109"/>
      <c r="AF326" s="109"/>
      <c r="AG326" s="108"/>
      <c r="AH326" s="111"/>
      <c r="AI326" s="100"/>
      <c r="AJ326" s="110"/>
      <c r="AK326" s="110"/>
      <c r="AL326" s="100"/>
      <c r="AM326" s="100"/>
      <c r="AN326" s="100"/>
      <c r="AO326" s="100"/>
      <c r="AP326" s="100"/>
      <c r="AQ326" s="100"/>
      <c r="AR326" s="100"/>
      <c r="AS326" s="100"/>
      <c r="AT326" s="100"/>
    </row>
    <row r="327" spans="1:46" ht="16.3">
      <c r="A327" s="83" t="s">
        <v>363</v>
      </c>
      <c r="B327" s="273">
        <f>SUM(B325+B326)</f>
        <v>136</v>
      </c>
      <c r="C327" s="214">
        <f t="shared" si="50"/>
        <v>136</v>
      </c>
      <c r="D327" s="133"/>
      <c r="E327" s="134"/>
      <c r="F327" s="135"/>
      <c r="G327" s="136"/>
      <c r="H327" s="96"/>
      <c r="I327" s="105"/>
      <c r="J327" s="104"/>
      <c r="K327" s="75"/>
      <c r="L327" s="75"/>
      <c r="M327" s="75"/>
      <c r="N327" s="75"/>
      <c r="O327" s="97"/>
      <c r="P327" s="108"/>
      <c r="Q327" s="97"/>
      <c r="R327" s="96"/>
      <c r="S327" s="100"/>
      <c r="T327" s="106"/>
      <c r="U327" s="137"/>
      <c r="V327" s="100"/>
      <c r="W327" s="100"/>
      <c r="X327" s="100"/>
      <c r="Y327" s="110"/>
      <c r="Z327" s="110"/>
      <c r="AA327" s="100"/>
      <c r="AB327" s="109"/>
      <c r="AC327" s="109"/>
      <c r="AD327" s="108"/>
      <c r="AE327" s="109"/>
      <c r="AF327" s="109"/>
      <c r="AG327" s="108"/>
      <c r="AH327" s="111"/>
      <c r="AI327" s="100"/>
      <c r="AJ327" s="110"/>
      <c r="AK327" s="110"/>
      <c r="AL327" s="100"/>
      <c r="AM327" s="100"/>
      <c r="AN327" s="100"/>
      <c r="AO327" s="100"/>
      <c r="AP327" s="100"/>
      <c r="AQ327" s="100"/>
      <c r="AR327" s="100"/>
      <c r="AS327" s="100"/>
      <c r="AT327" s="100"/>
    </row>
    <row r="328" spans="1:46" ht="16.3">
      <c r="A328" s="246" t="s">
        <v>366</v>
      </c>
      <c r="B328" s="274">
        <f>SUM(J328+K328+L328+M328+N328+S328+V328+W328+X328+AA328+AI328+AJ328+AI328+AM328+AP328+AQ328+AS328+AT328+AU328+AV328)+39</f>
        <v>39</v>
      </c>
      <c r="C328" s="215">
        <f t="shared" ref="C328" si="51">B328</f>
        <v>39</v>
      </c>
      <c r="D328" s="133"/>
      <c r="E328" s="134"/>
      <c r="F328" s="135"/>
      <c r="G328" s="136"/>
      <c r="H328" s="96"/>
      <c r="I328" s="105"/>
      <c r="J328" s="104"/>
      <c r="K328" s="75"/>
      <c r="L328" s="75"/>
      <c r="M328" s="75"/>
      <c r="N328" s="75"/>
      <c r="O328" s="97"/>
      <c r="P328" s="108"/>
      <c r="Q328" s="97"/>
      <c r="R328" s="96"/>
      <c r="S328" s="100"/>
      <c r="T328" s="106"/>
      <c r="U328" s="137"/>
      <c r="V328" s="100"/>
      <c r="W328" s="100"/>
      <c r="X328" s="100"/>
      <c r="Y328" s="110"/>
      <c r="Z328" s="110"/>
      <c r="AA328" s="100"/>
      <c r="AB328" s="109"/>
      <c r="AC328" s="109"/>
      <c r="AD328" s="108"/>
      <c r="AE328" s="109"/>
      <c r="AF328" s="109"/>
      <c r="AG328" s="108"/>
      <c r="AH328" s="111"/>
      <c r="AI328" s="100"/>
      <c r="AJ328" s="110"/>
      <c r="AK328" s="110"/>
      <c r="AL328" s="100"/>
      <c r="AM328" s="100"/>
      <c r="AN328" s="100"/>
      <c r="AO328" s="100"/>
      <c r="AP328" s="100"/>
      <c r="AQ328" s="100"/>
      <c r="AR328" s="100"/>
      <c r="AS328" s="100"/>
      <c r="AT328" s="100"/>
    </row>
    <row r="329" spans="1:46" ht="16.3">
      <c r="A329" s="246" t="s">
        <v>362</v>
      </c>
      <c r="B329" s="274">
        <f>SUM(J329+K329+L329+M329+N329+S329+V329+W329+X329+AA329+AI329+AJ329+AI329+AM329+AP329+AQ329+AS329+AT329+AU329+AV329)+6</f>
        <v>6</v>
      </c>
      <c r="C329" s="215">
        <f t="shared" si="50"/>
        <v>6</v>
      </c>
      <c r="D329" s="133"/>
      <c r="E329" s="134"/>
      <c r="F329" s="135"/>
      <c r="G329" s="136"/>
      <c r="H329" s="96"/>
      <c r="I329" s="105"/>
      <c r="J329" s="104"/>
      <c r="K329" s="75"/>
      <c r="L329" s="75"/>
      <c r="M329" s="75"/>
      <c r="N329" s="75"/>
      <c r="O329" s="97"/>
      <c r="P329" s="108"/>
      <c r="Q329" s="97"/>
      <c r="R329" s="96"/>
      <c r="S329" s="100"/>
      <c r="T329" s="106"/>
      <c r="U329" s="137"/>
      <c r="V329" s="100"/>
      <c r="W329" s="100"/>
      <c r="X329" s="100"/>
      <c r="Y329" s="110"/>
      <c r="Z329" s="110"/>
      <c r="AA329" s="100"/>
      <c r="AB329" s="109"/>
      <c r="AC329" s="109"/>
      <c r="AD329" s="108"/>
      <c r="AE329" s="109"/>
      <c r="AF329" s="109"/>
      <c r="AG329" s="108"/>
      <c r="AH329" s="111"/>
      <c r="AI329" s="100"/>
      <c r="AJ329" s="110"/>
      <c r="AK329" s="110"/>
      <c r="AL329" s="100"/>
      <c r="AM329" s="100"/>
      <c r="AN329" s="100"/>
      <c r="AO329" s="100"/>
      <c r="AP329" s="100"/>
      <c r="AQ329" s="100"/>
      <c r="AR329" s="100"/>
      <c r="AS329" s="100"/>
      <c r="AT329" s="100"/>
    </row>
    <row r="330" spans="1:46" ht="16.3">
      <c r="A330" s="83" t="s">
        <v>3</v>
      </c>
      <c r="B330" s="273">
        <f>SUM(J330+K330+L330+M330+N330+S330+V330+W330+X330+AA330+AI330+AJ330+AI330+AM330+AP330+AQ330+AS330+AT330+AU330+AV330)+23</f>
        <v>23</v>
      </c>
      <c r="C330" s="214">
        <f t="shared" si="50"/>
        <v>23</v>
      </c>
      <c r="D330" s="133"/>
      <c r="E330" s="134"/>
      <c r="F330" s="135"/>
      <c r="G330" s="136"/>
      <c r="H330" s="96"/>
      <c r="I330" s="105"/>
      <c r="J330" s="104"/>
      <c r="K330" s="75"/>
      <c r="L330" s="75"/>
      <c r="M330" s="75"/>
      <c r="N330" s="75"/>
      <c r="O330" s="97"/>
      <c r="P330" s="108"/>
      <c r="Q330" s="97"/>
      <c r="R330" s="109"/>
      <c r="S330" s="100"/>
      <c r="T330" s="106"/>
      <c r="U330" s="137"/>
      <c r="V330" s="100"/>
      <c r="W330" s="100"/>
      <c r="X330" s="100"/>
      <c r="Y330" s="110"/>
      <c r="Z330" s="110"/>
      <c r="AA330" s="100"/>
      <c r="AB330" s="109"/>
      <c r="AC330" s="109"/>
      <c r="AD330" s="108"/>
      <c r="AE330" s="109"/>
      <c r="AF330" s="109"/>
      <c r="AG330" s="108"/>
      <c r="AH330" s="111"/>
      <c r="AI330" s="100"/>
      <c r="AJ330" s="110"/>
      <c r="AK330" s="110"/>
      <c r="AL330" s="100"/>
      <c r="AM330" s="100"/>
      <c r="AN330" s="100"/>
      <c r="AO330" s="100"/>
      <c r="AP330" s="100"/>
      <c r="AQ330" s="100"/>
      <c r="AR330" s="100"/>
      <c r="AS330" s="100"/>
      <c r="AT330" s="100"/>
    </row>
    <row r="331" spans="1:46" ht="17" thickBot="1">
      <c r="A331" s="85" t="s">
        <v>4</v>
      </c>
      <c r="B331" s="273">
        <f>SUM(J331+K331+L331+M331+N331+S331+V331+W331+X331+AA331+AI331+AJ331+AI331+AM331+AP331+AQ331+AS331+AT331+AU331+AV331)+115</f>
        <v>115</v>
      </c>
      <c r="C331" s="214">
        <f t="shared" ref="C331" si="52">B331</f>
        <v>115</v>
      </c>
      <c r="D331" s="133"/>
      <c r="E331" s="134"/>
      <c r="F331" s="135"/>
      <c r="G331" s="136"/>
      <c r="H331" s="114"/>
      <c r="I331" s="127"/>
      <c r="J331" s="113"/>
      <c r="K331" s="112"/>
      <c r="L331" s="112"/>
      <c r="M331" s="112"/>
      <c r="N331" s="112"/>
      <c r="O331" s="115"/>
      <c r="P331" s="117"/>
      <c r="Q331" s="115"/>
      <c r="R331" s="118"/>
      <c r="S331" s="112"/>
      <c r="T331" s="119"/>
      <c r="U331" s="148"/>
      <c r="V331" s="116"/>
      <c r="W331" s="116"/>
      <c r="X331" s="116"/>
      <c r="Y331" s="120"/>
      <c r="Z331" s="120"/>
      <c r="AA331" s="116"/>
      <c r="AB331" s="118"/>
      <c r="AC331" s="118"/>
      <c r="AD331" s="117"/>
      <c r="AE331" s="118"/>
      <c r="AF331" s="118"/>
      <c r="AG331" s="117"/>
      <c r="AH331" s="121"/>
      <c r="AI331" s="116"/>
      <c r="AJ331" s="120"/>
      <c r="AK331" s="120"/>
      <c r="AL331" s="116"/>
      <c r="AM331" s="116"/>
      <c r="AN331" s="116"/>
      <c r="AO331" s="116"/>
      <c r="AP331" s="116"/>
      <c r="AQ331" s="116"/>
      <c r="AR331" s="116"/>
      <c r="AS331" s="116"/>
      <c r="AT331" s="116"/>
    </row>
    <row r="332" spans="1:46" ht="21.1">
      <c r="A332" s="82" t="s">
        <v>109</v>
      </c>
      <c r="B332" s="278"/>
      <c r="C332" s="218"/>
      <c r="D332" s="153"/>
      <c r="E332" s="154"/>
      <c r="F332" s="155"/>
      <c r="G332" s="156"/>
      <c r="H332" s="96" t="s">
        <v>708</v>
      </c>
      <c r="I332" s="105"/>
      <c r="J332" s="104" t="s">
        <v>708</v>
      </c>
      <c r="K332" s="104" t="s">
        <v>708</v>
      </c>
      <c r="L332" s="75" t="s">
        <v>339</v>
      </c>
      <c r="M332" s="75" t="s">
        <v>339</v>
      </c>
      <c r="N332" s="75" t="s">
        <v>339</v>
      </c>
      <c r="O332" s="97" t="s">
        <v>775</v>
      </c>
      <c r="P332" s="105"/>
      <c r="Q332" s="97" t="s">
        <v>775</v>
      </c>
      <c r="R332" s="109" t="s">
        <v>775</v>
      </c>
      <c r="S332" s="100" t="s">
        <v>623</v>
      </c>
      <c r="T332" s="181">
        <v>8</v>
      </c>
      <c r="U332" s="137"/>
      <c r="V332" s="102" t="s">
        <v>374</v>
      </c>
      <c r="W332" s="122">
        <v>8</v>
      </c>
      <c r="X332" s="122" t="s">
        <v>374</v>
      </c>
      <c r="Y332" s="181" t="s">
        <v>374</v>
      </c>
      <c r="Z332" s="181"/>
      <c r="AA332" s="104" t="s">
        <v>969</v>
      </c>
      <c r="AB332" s="99" t="s">
        <v>775</v>
      </c>
      <c r="AC332" s="99" t="s">
        <v>775</v>
      </c>
      <c r="AD332" s="98"/>
      <c r="AE332" s="99" t="s">
        <v>775</v>
      </c>
      <c r="AF332" s="99" t="s">
        <v>775</v>
      </c>
      <c r="AG332" s="98"/>
      <c r="AH332" s="103"/>
      <c r="AI332" s="102"/>
      <c r="AJ332" s="101"/>
      <c r="AK332" s="101"/>
      <c r="AL332" s="102"/>
      <c r="AM332" s="102"/>
      <c r="AN332" s="102"/>
      <c r="AO332" s="102"/>
      <c r="AP332" s="102"/>
      <c r="AQ332" s="102"/>
      <c r="AR332" s="102"/>
      <c r="AS332" s="102"/>
      <c r="AT332" s="102"/>
    </row>
    <row r="333" spans="1:46" ht="16.3">
      <c r="A333" s="246" t="s">
        <v>1</v>
      </c>
      <c r="B333" s="274">
        <f>SUM(J333+K333+L333+M333+N333+S333+V333+W333+X333+AA333+AI333+AJ333+AI333+AM333+AP333+AQ333+AS333+AT333+AU333+AV333+AN333)+69</f>
        <v>74</v>
      </c>
      <c r="C333" s="215">
        <f>B333</f>
        <v>74</v>
      </c>
      <c r="D333" s="133"/>
      <c r="E333" s="134"/>
      <c r="F333" s="135"/>
      <c r="G333" s="136"/>
      <c r="H333" s="96"/>
      <c r="I333" s="105"/>
      <c r="J333" s="104"/>
      <c r="K333" s="75"/>
      <c r="L333" s="75"/>
      <c r="M333" s="75"/>
      <c r="N333" s="75"/>
      <c r="O333" s="97"/>
      <c r="P333" s="105"/>
      <c r="Q333" s="96"/>
      <c r="R333" s="109"/>
      <c r="S333" s="100">
        <v>1</v>
      </c>
      <c r="T333" s="106">
        <v>1</v>
      </c>
      <c r="U333" s="137"/>
      <c r="V333" s="100">
        <v>1</v>
      </c>
      <c r="W333" s="75">
        <v>1</v>
      </c>
      <c r="X333" s="75">
        <v>1</v>
      </c>
      <c r="Y333" s="106">
        <v>1</v>
      </c>
      <c r="Z333" s="106"/>
      <c r="AA333" s="104">
        <v>1</v>
      </c>
      <c r="AB333" s="109"/>
      <c r="AC333" s="109"/>
      <c r="AD333" s="108"/>
      <c r="AE333" s="109"/>
      <c r="AF333" s="109"/>
      <c r="AG333" s="108"/>
      <c r="AH333" s="111"/>
      <c r="AI333" s="100"/>
      <c r="AJ333" s="110"/>
      <c r="AK333" s="11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1:46" ht="16.3">
      <c r="A334" s="246" t="s">
        <v>2</v>
      </c>
      <c r="B334" s="274">
        <f>SUM(J334+K334+L334+M334+N334+S334+V334+W334+X334+AA334+AI334+AJ334+AI334+AM334+AP334+AQ334+AS334+AT334+AU334+AV334)+15</f>
        <v>15</v>
      </c>
      <c r="C334" s="215">
        <f t="shared" ref="C334:C339" si="53">B334</f>
        <v>15</v>
      </c>
      <c r="D334" s="133"/>
      <c r="E334" s="134"/>
      <c r="F334" s="135"/>
      <c r="G334" s="136"/>
      <c r="H334" s="96"/>
      <c r="I334" s="105"/>
      <c r="J334" s="104"/>
      <c r="K334" s="75"/>
      <c r="L334" s="75"/>
      <c r="M334" s="75"/>
      <c r="N334" s="75"/>
      <c r="O334" s="97"/>
      <c r="P334" s="108"/>
      <c r="Q334" s="109"/>
      <c r="R334" s="109"/>
      <c r="S334" s="100"/>
      <c r="T334" s="106"/>
      <c r="U334" s="137"/>
      <c r="V334" s="100"/>
      <c r="W334" s="100"/>
      <c r="X334" s="100"/>
      <c r="Y334" s="110"/>
      <c r="Z334" s="110"/>
      <c r="AA334" s="100"/>
      <c r="AB334" s="109"/>
      <c r="AC334" s="109"/>
      <c r="AD334" s="108"/>
      <c r="AE334" s="109"/>
      <c r="AF334" s="109"/>
      <c r="AG334" s="108"/>
      <c r="AH334" s="111"/>
      <c r="AI334" s="100"/>
      <c r="AJ334" s="110"/>
      <c r="AK334" s="11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1:46" ht="16.3">
      <c r="A335" s="83" t="s">
        <v>363</v>
      </c>
      <c r="B335" s="273">
        <f>SUM(B333+B334)</f>
        <v>89</v>
      </c>
      <c r="C335" s="214">
        <f t="shared" si="53"/>
        <v>89</v>
      </c>
      <c r="D335" s="133"/>
      <c r="E335" s="134"/>
      <c r="F335" s="135"/>
      <c r="G335" s="136"/>
      <c r="H335" s="96"/>
      <c r="I335" s="105"/>
      <c r="J335" s="104"/>
      <c r="K335" s="75"/>
      <c r="L335" s="75"/>
      <c r="M335" s="75"/>
      <c r="N335" s="75"/>
      <c r="O335" s="97"/>
      <c r="P335" s="108"/>
      <c r="Q335" s="109"/>
      <c r="R335" s="109"/>
      <c r="S335" s="100"/>
      <c r="T335" s="106"/>
      <c r="U335" s="137"/>
      <c r="V335" s="100"/>
      <c r="W335" s="100"/>
      <c r="X335" s="100"/>
      <c r="Y335" s="110"/>
      <c r="Z335" s="110"/>
      <c r="AA335" s="100"/>
      <c r="AB335" s="109"/>
      <c r="AC335" s="109"/>
      <c r="AD335" s="108"/>
      <c r="AE335" s="109"/>
      <c r="AF335" s="109"/>
      <c r="AG335" s="108"/>
      <c r="AH335" s="111"/>
      <c r="AI335" s="100"/>
      <c r="AJ335" s="110"/>
      <c r="AK335" s="11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1:46" ht="16.3">
      <c r="A336" s="246" t="s">
        <v>366</v>
      </c>
      <c r="B336" s="274">
        <f>SUM(J336+K336+L336+M336+N336+S336+V336+W336+X336+AA336+AI336+AJ336+AI336+AM336+AP336+AQ336+AS336+AT336+AU336+AV336)+6</f>
        <v>6</v>
      </c>
      <c r="C336" s="215">
        <f t="shared" ref="C336" si="54">B336</f>
        <v>6</v>
      </c>
      <c r="D336" s="133"/>
      <c r="E336" s="134"/>
      <c r="F336" s="135"/>
      <c r="G336" s="136"/>
      <c r="H336" s="96"/>
      <c r="I336" s="105"/>
      <c r="J336" s="104"/>
      <c r="K336" s="75"/>
      <c r="L336" s="75"/>
      <c r="M336" s="75"/>
      <c r="N336" s="75"/>
      <c r="O336" s="97"/>
      <c r="P336" s="108"/>
      <c r="Q336" s="109"/>
      <c r="R336" s="109"/>
      <c r="S336" s="100"/>
      <c r="T336" s="106"/>
      <c r="U336" s="137"/>
      <c r="V336" s="100"/>
      <c r="W336" s="100"/>
      <c r="X336" s="100"/>
      <c r="Y336" s="110"/>
      <c r="Z336" s="110"/>
      <c r="AA336" s="100"/>
      <c r="AB336" s="109"/>
      <c r="AC336" s="109"/>
      <c r="AD336" s="108"/>
      <c r="AE336" s="109"/>
      <c r="AF336" s="109"/>
      <c r="AG336" s="108"/>
      <c r="AH336" s="111"/>
      <c r="AI336" s="100"/>
      <c r="AJ336" s="110"/>
      <c r="AK336" s="11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1:46" ht="16.3">
      <c r="A337" s="246" t="s">
        <v>362</v>
      </c>
      <c r="B337" s="274">
        <f>SUM(J337+K337+L337+M337+N337+S337+V337+W337+X337+AA337+AI337+AJ337+AI337+AM337+AP337+AQ337+AS337+AT337+AU337+AV337)+5</f>
        <v>7</v>
      </c>
      <c r="C337" s="215">
        <f t="shared" si="53"/>
        <v>7</v>
      </c>
      <c r="D337" s="133"/>
      <c r="E337" s="134"/>
      <c r="F337" s="135"/>
      <c r="G337" s="136"/>
      <c r="H337" s="96"/>
      <c r="I337" s="105"/>
      <c r="J337" s="104"/>
      <c r="K337" s="75"/>
      <c r="L337" s="75"/>
      <c r="M337" s="75"/>
      <c r="N337" s="75"/>
      <c r="O337" s="97"/>
      <c r="P337" s="108"/>
      <c r="Q337" s="109"/>
      <c r="R337" s="109"/>
      <c r="S337" s="100">
        <v>1</v>
      </c>
      <c r="T337" s="106"/>
      <c r="U337" s="137"/>
      <c r="V337" s="100"/>
      <c r="W337" s="100"/>
      <c r="X337" s="100"/>
      <c r="Y337" s="110"/>
      <c r="Z337" s="110"/>
      <c r="AA337" s="100">
        <v>1</v>
      </c>
      <c r="AB337" s="109"/>
      <c r="AC337" s="109"/>
      <c r="AD337" s="108"/>
      <c r="AE337" s="109"/>
      <c r="AF337" s="109"/>
      <c r="AG337" s="108"/>
      <c r="AH337" s="111"/>
      <c r="AI337" s="100"/>
      <c r="AJ337" s="110"/>
      <c r="AK337" s="11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1:46" ht="16.3">
      <c r="A338" s="83" t="s">
        <v>3</v>
      </c>
      <c r="B338" s="273">
        <f>SUM(J338+K338+L338+M338+N338+S338+V338+W338+X338+AA338+AI338+AJ338+AI338+AM338+AP338+AQ338+AS338+AT338+AU338+AV338)+8</f>
        <v>8</v>
      </c>
      <c r="C338" s="214">
        <f t="shared" si="53"/>
        <v>8</v>
      </c>
      <c r="D338" s="133"/>
      <c r="E338" s="134"/>
      <c r="F338" s="135"/>
      <c r="G338" s="136"/>
      <c r="H338" s="96"/>
      <c r="I338" s="105"/>
      <c r="J338" s="104"/>
      <c r="K338" s="75"/>
      <c r="L338" s="75"/>
      <c r="M338" s="75"/>
      <c r="N338" s="75"/>
      <c r="O338" s="97"/>
      <c r="P338" s="108"/>
      <c r="Q338" s="109"/>
      <c r="R338" s="109"/>
      <c r="S338" s="100"/>
      <c r="T338" s="106"/>
      <c r="U338" s="137"/>
      <c r="V338" s="100"/>
      <c r="W338" s="100"/>
      <c r="X338" s="100"/>
      <c r="Y338" s="110"/>
      <c r="Z338" s="110"/>
      <c r="AA338" s="100"/>
      <c r="AB338" s="109"/>
      <c r="AC338" s="109"/>
      <c r="AD338" s="108"/>
      <c r="AE338" s="109"/>
      <c r="AF338" s="109"/>
      <c r="AG338" s="108"/>
      <c r="AH338" s="111"/>
      <c r="AI338" s="100"/>
      <c r="AJ338" s="110"/>
      <c r="AK338" s="11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1:46" ht="17" thickBot="1">
      <c r="A339" s="85" t="s">
        <v>4</v>
      </c>
      <c r="B339" s="273">
        <f>SUM(J339+K339+L339+M339+N339+S339+V339+W339+X339+AA339+AI339+AJ339+AI339+AM339+AP339+AQ339+AS339+AT339+AU339+AV339)+40</f>
        <v>40</v>
      </c>
      <c r="C339" s="214">
        <f t="shared" si="53"/>
        <v>40</v>
      </c>
      <c r="D339" s="133"/>
      <c r="E339" s="134"/>
      <c r="F339" s="135"/>
      <c r="G339" s="136"/>
      <c r="H339" s="114"/>
      <c r="I339" s="127"/>
      <c r="J339" s="113"/>
      <c r="K339" s="112"/>
      <c r="L339" s="112"/>
      <c r="M339" s="112"/>
      <c r="N339" s="112"/>
      <c r="O339" s="115"/>
      <c r="P339" s="117"/>
      <c r="Q339" s="118"/>
      <c r="R339" s="118"/>
      <c r="S339" s="112"/>
      <c r="T339" s="119"/>
      <c r="U339" s="148"/>
      <c r="V339" s="116"/>
      <c r="W339" s="116"/>
      <c r="X339" s="116"/>
      <c r="Y339" s="120"/>
      <c r="Z339" s="120"/>
      <c r="AA339" s="116"/>
      <c r="AB339" s="118"/>
      <c r="AC339" s="118"/>
      <c r="AD339" s="117"/>
      <c r="AE339" s="118"/>
      <c r="AF339" s="118"/>
      <c r="AG339" s="117"/>
      <c r="AH339" s="121"/>
      <c r="AI339" s="116"/>
      <c r="AJ339" s="120"/>
      <c r="AK339" s="120"/>
      <c r="AL339" s="116"/>
      <c r="AM339" s="116"/>
      <c r="AN339" s="116"/>
      <c r="AO339" s="116"/>
      <c r="AP339" s="116"/>
      <c r="AQ339" s="116"/>
      <c r="AR339" s="116"/>
      <c r="AS339" s="116"/>
      <c r="AT339" s="116"/>
    </row>
    <row r="340" spans="1:46" ht="21.1">
      <c r="A340" s="82" t="s">
        <v>247</v>
      </c>
      <c r="B340" s="278"/>
      <c r="C340" s="218"/>
      <c r="D340" s="153"/>
      <c r="E340" s="154"/>
      <c r="F340" s="155"/>
      <c r="G340" s="156"/>
      <c r="H340" s="96">
        <v>8</v>
      </c>
      <c r="I340" s="105"/>
      <c r="J340" s="122" t="s">
        <v>681</v>
      </c>
      <c r="K340" s="122" t="s">
        <v>707</v>
      </c>
      <c r="L340" s="122" t="s">
        <v>440</v>
      </c>
      <c r="M340" s="104" t="s">
        <v>440</v>
      </c>
      <c r="N340" s="122" t="s">
        <v>681</v>
      </c>
      <c r="O340" s="97"/>
      <c r="P340" s="105"/>
      <c r="Q340" s="96" t="s">
        <v>681</v>
      </c>
      <c r="R340" s="109"/>
      <c r="S340" s="122" t="s">
        <v>681</v>
      </c>
      <c r="T340" s="106" t="s">
        <v>734</v>
      </c>
      <c r="U340" s="106" t="s">
        <v>734</v>
      </c>
      <c r="V340" s="102" t="s">
        <v>734</v>
      </c>
      <c r="W340" s="102" t="s">
        <v>734</v>
      </c>
      <c r="X340" s="102" t="s">
        <v>681</v>
      </c>
      <c r="Y340" s="101" t="s">
        <v>443</v>
      </c>
      <c r="Z340" s="101"/>
      <c r="AA340" s="102" t="s">
        <v>681</v>
      </c>
      <c r="AB340" s="99"/>
      <c r="AC340" s="99"/>
      <c r="AD340" s="98"/>
      <c r="AE340" s="99" t="s">
        <v>440</v>
      </c>
      <c r="AF340" s="99" t="s">
        <v>681</v>
      </c>
      <c r="AG340" s="98"/>
      <c r="AH340" s="103"/>
      <c r="AI340" s="102"/>
      <c r="AJ340" s="101"/>
      <c r="AK340" s="101"/>
      <c r="AL340" s="102"/>
      <c r="AM340" s="102"/>
      <c r="AN340" s="102"/>
      <c r="AO340" s="102"/>
      <c r="AP340" s="102"/>
      <c r="AQ340" s="102"/>
      <c r="AR340" s="102"/>
      <c r="AS340" s="102"/>
      <c r="AT340" s="102"/>
    </row>
    <row r="341" spans="1:46" ht="16.3">
      <c r="A341" s="246" t="s">
        <v>1</v>
      </c>
      <c r="B341" s="274">
        <f>SUM(J341+K341+L341+M341+N341+S341+V341+W341+X341+AA341+AI341+AJ341+AI341+AM341+AP341+AQ341+AS341+AT341+AU341+AV341+AN341)+33</f>
        <v>43</v>
      </c>
      <c r="C341" s="215">
        <f>B341</f>
        <v>43</v>
      </c>
      <c r="D341" s="133"/>
      <c r="E341" s="134"/>
      <c r="F341" s="135"/>
      <c r="G341" s="136"/>
      <c r="H341" s="96">
        <v>1</v>
      </c>
      <c r="I341" s="105"/>
      <c r="J341" s="75">
        <v>1</v>
      </c>
      <c r="K341" s="75">
        <v>1</v>
      </c>
      <c r="L341" s="75">
        <v>1</v>
      </c>
      <c r="M341" s="104">
        <v>1</v>
      </c>
      <c r="N341" s="75">
        <v>1</v>
      </c>
      <c r="O341" s="97"/>
      <c r="P341" s="105"/>
      <c r="Q341" s="96">
        <v>1</v>
      </c>
      <c r="R341" s="109"/>
      <c r="S341" s="75">
        <v>1</v>
      </c>
      <c r="T341" s="106">
        <v>1</v>
      </c>
      <c r="U341" s="106">
        <v>1</v>
      </c>
      <c r="V341" s="100">
        <v>1</v>
      </c>
      <c r="W341" s="100">
        <v>1</v>
      </c>
      <c r="X341" s="100">
        <v>1</v>
      </c>
      <c r="Y341" s="110">
        <v>1</v>
      </c>
      <c r="Z341" s="110"/>
      <c r="AA341" s="100">
        <v>1</v>
      </c>
      <c r="AB341" s="109"/>
      <c r="AC341" s="109"/>
      <c r="AD341" s="108"/>
      <c r="AE341" s="109">
        <v>1</v>
      </c>
      <c r="AF341" s="109">
        <v>1</v>
      </c>
      <c r="AG341" s="108"/>
      <c r="AH341" s="111"/>
      <c r="AI341" s="100"/>
      <c r="AJ341" s="110"/>
      <c r="AK341" s="11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1:46" ht="16.3">
      <c r="A342" s="246" t="s">
        <v>2</v>
      </c>
      <c r="B342" s="274">
        <f>SUM(J342+K342+L342+M342+N342+S342+V342+W342+X342+AA342+AI342+AJ342+AI342+AM342+AP342+AQ342+AS342+AT342+AU342+AV342)+2</f>
        <v>2</v>
      </c>
      <c r="C342" s="215">
        <f t="shared" ref="C342:C347" si="55">B342</f>
        <v>2</v>
      </c>
      <c r="D342" s="133"/>
      <c r="E342" s="134"/>
      <c r="F342" s="135"/>
      <c r="G342" s="136"/>
      <c r="H342" s="96"/>
      <c r="I342" s="105"/>
      <c r="J342" s="75"/>
      <c r="K342" s="75"/>
      <c r="L342" s="75"/>
      <c r="M342" s="104"/>
      <c r="N342" s="75"/>
      <c r="O342" s="97"/>
      <c r="P342" s="108"/>
      <c r="Q342" s="109"/>
      <c r="R342" s="109"/>
      <c r="S342" s="75"/>
      <c r="T342" s="106"/>
      <c r="U342" s="106"/>
      <c r="V342" s="100"/>
      <c r="W342" s="100"/>
      <c r="X342" s="100"/>
      <c r="Y342" s="110"/>
      <c r="Z342" s="110"/>
      <c r="AA342" s="100"/>
      <c r="AB342" s="109"/>
      <c r="AC342" s="109"/>
      <c r="AD342" s="108"/>
      <c r="AE342" s="109"/>
      <c r="AF342" s="109"/>
      <c r="AG342" s="108"/>
      <c r="AH342" s="111"/>
      <c r="AI342" s="100"/>
      <c r="AJ342" s="110"/>
      <c r="AK342" s="11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1:46" ht="16.3">
      <c r="A343" s="83" t="s">
        <v>363</v>
      </c>
      <c r="B343" s="273">
        <f>SUM(B341+B342)</f>
        <v>45</v>
      </c>
      <c r="C343" s="214">
        <f t="shared" si="55"/>
        <v>45</v>
      </c>
      <c r="D343" s="133"/>
      <c r="E343" s="134"/>
      <c r="F343" s="135"/>
      <c r="G343" s="136"/>
      <c r="H343" s="96"/>
      <c r="I343" s="105"/>
      <c r="J343" s="75"/>
      <c r="K343" s="75"/>
      <c r="L343" s="75"/>
      <c r="M343" s="104"/>
      <c r="N343" s="75"/>
      <c r="O343" s="97"/>
      <c r="P343" s="108"/>
      <c r="Q343" s="109"/>
      <c r="R343" s="109"/>
      <c r="S343" s="75"/>
      <c r="T343" s="106"/>
      <c r="U343" s="106"/>
      <c r="V343" s="100"/>
      <c r="W343" s="100"/>
      <c r="X343" s="100"/>
      <c r="Y343" s="110"/>
      <c r="Z343" s="110"/>
      <c r="AA343" s="100"/>
      <c r="AB343" s="109"/>
      <c r="AC343" s="109"/>
      <c r="AD343" s="108"/>
      <c r="AE343" s="109"/>
      <c r="AF343" s="109"/>
      <c r="AG343" s="108"/>
      <c r="AH343" s="111"/>
      <c r="AI343" s="100"/>
      <c r="AJ343" s="110"/>
      <c r="AK343" s="11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1:46" ht="16.3">
      <c r="A344" s="246" t="s">
        <v>366</v>
      </c>
      <c r="B344" s="274">
        <f>SUM(J344+K344+L344+M344+N344+S344+V344+W344+X344+AA344+AI344+AJ344+AI344+AM344+AP344+AQ344+AS344+AT344+AU344+AV344)</f>
        <v>10</v>
      </c>
      <c r="C344" s="215">
        <f t="shared" si="55"/>
        <v>10</v>
      </c>
      <c r="D344" s="133"/>
      <c r="E344" s="134"/>
      <c r="F344" s="135"/>
      <c r="G344" s="136"/>
      <c r="H344" s="96"/>
      <c r="I344" s="105"/>
      <c r="J344" s="75">
        <v>1</v>
      </c>
      <c r="K344" s="75">
        <v>1</v>
      </c>
      <c r="L344" s="75">
        <v>1</v>
      </c>
      <c r="M344" s="104">
        <v>1</v>
      </c>
      <c r="N344" s="75">
        <v>1</v>
      </c>
      <c r="O344" s="97"/>
      <c r="P344" s="108"/>
      <c r="Q344" s="109">
        <v>1</v>
      </c>
      <c r="R344" s="109"/>
      <c r="S344" s="75">
        <v>1</v>
      </c>
      <c r="T344" s="106">
        <v>1</v>
      </c>
      <c r="U344" s="106">
        <v>1</v>
      </c>
      <c r="V344" s="100">
        <v>1</v>
      </c>
      <c r="W344" s="100">
        <v>1</v>
      </c>
      <c r="X344" s="100">
        <v>1</v>
      </c>
      <c r="Y344" s="110">
        <v>1</v>
      </c>
      <c r="Z344" s="110"/>
      <c r="AA344" s="100">
        <v>1</v>
      </c>
      <c r="AB344" s="109"/>
      <c r="AC344" s="109"/>
      <c r="AD344" s="108"/>
      <c r="AE344" s="109">
        <v>1</v>
      </c>
      <c r="AF344" s="109">
        <v>1</v>
      </c>
      <c r="AG344" s="108"/>
      <c r="AH344" s="111"/>
      <c r="AI344" s="100"/>
      <c r="AJ344" s="110"/>
      <c r="AK344" s="11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1:46" ht="16.3">
      <c r="A345" s="246" t="s">
        <v>362</v>
      </c>
      <c r="B345" s="274">
        <f>SUM(J345+K345+L345+M345+N345+S345+V345+W345+X345+AA345+AI345+AJ345+AI345+AM345+AP345+AQ345+AS345+AT345+AU345+AV345)</f>
        <v>1</v>
      </c>
      <c r="C345" s="215">
        <f t="shared" si="55"/>
        <v>1</v>
      </c>
      <c r="D345" s="133"/>
      <c r="E345" s="134"/>
      <c r="F345" s="135"/>
      <c r="G345" s="136"/>
      <c r="H345" s="96"/>
      <c r="I345" s="105"/>
      <c r="J345" s="75"/>
      <c r="K345" s="75">
        <v>1</v>
      </c>
      <c r="L345" s="75"/>
      <c r="M345" s="128"/>
      <c r="N345" s="75"/>
      <c r="O345" s="97"/>
      <c r="P345" s="108"/>
      <c r="Q345" s="109"/>
      <c r="R345" s="109"/>
      <c r="S345" s="100"/>
      <c r="T345" s="106"/>
      <c r="U345" s="137"/>
      <c r="V345" s="100"/>
      <c r="W345" s="100"/>
      <c r="X345" s="100"/>
      <c r="Y345" s="110"/>
      <c r="Z345" s="110"/>
      <c r="AA345" s="100"/>
      <c r="AB345" s="109"/>
      <c r="AC345" s="109"/>
      <c r="AD345" s="108"/>
      <c r="AE345" s="109"/>
      <c r="AF345" s="109"/>
      <c r="AG345" s="108"/>
      <c r="AH345" s="111"/>
      <c r="AI345" s="100"/>
      <c r="AJ345" s="110"/>
      <c r="AK345" s="11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1:46" ht="16.3">
      <c r="A346" s="83" t="s">
        <v>3</v>
      </c>
      <c r="B346" s="273">
        <f>SUM(J346+K346+L346+M346+N346+S346+V346+W346+X346+AA346+AI346+AJ346+AI346+AM346+AP346+AQ346+AS346+AT346+AU346+AV346)</f>
        <v>2</v>
      </c>
      <c r="C346" s="214">
        <f t="shared" si="55"/>
        <v>2</v>
      </c>
      <c r="D346" s="133"/>
      <c r="E346" s="134"/>
      <c r="F346" s="135"/>
      <c r="G346" s="136"/>
      <c r="H346" s="96"/>
      <c r="I346" s="105"/>
      <c r="J346" s="75"/>
      <c r="K346" s="75"/>
      <c r="L346" s="75">
        <v>1</v>
      </c>
      <c r="M346" s="128"/>
      <c r="N346" s="75"/>
      <c r="O346" s="97"/>
      <c r="P346" s="108"/>
      <c r="Q346" s="109"/>
      <c r="R346" s="109"/>
      <c r="S346" s="100"/>
      <c r="T346" s="106">
        <v>1</v>
      </c>
      <c r="U346" s="137"/>
      <c r="V346" s="100"/>
      <c r="W346" s="100"/>
      <c r="X346" s="100">
        <v>1</v>
      </c>
      <c r="Y346" s="110"/>
      <c r="Z346" s="110"/>
      <c r="AA346" s="100"/>
      <c r="AB346" s="109"/>
      <c r="AC346" s="109"/>
      <c r="AD346" s="108"/>
      <c r="AE346" s="109"/>
      <c r="AF346" s="109"/>
      <c r="AG346" s="108"/>
      <c r="AH346" s="111"/>
      <c r="AI346" s="100"/>
      <c r="AJ346" s="110"/>
      <c r="AK346" s="11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1:46" ht="17" thickBot="1">
      <c r="A347" s="85" t="s">
        <v>4</v>
      </c>
      <c r="B347" s="275">
        <f>SUM(J347+K347+L347+M347+N347+S347+V347+W347+X347+AA347+AI347+AJ347+AI347+AM347+AP347+AQ347+AS347+AT347+AU347+AV347)</f>
        <v>10</v>
      </c>
      <c r="C347" s="217">
        <f t="shared" si="55"/>
        <v>10</v>
      </c>
      <c r="D347" s="144"/>
      <c r="E347" s="145"/>
      <c r="F347" s="146"/>
      <c r="G347" s="147"/>
      <c r="H347" s="114"/>
      <c r="I347" s="127"/>
      <c r="J347" s="112"/>
      <c r="K347" s="112"/>
      <c r="L347" s="112">
        <v>5</v>
      </c>
      <c r="M347" s="129"/>
      <c r="N347" s="112"/>
      <c r="O347" s="115"/>
      <c r="P347" s="117"/>
      <c r="Q347" s="118"/>
      <c r="R347" s="118"/>
      <c r="S347" s="112"/>
      <c r="T347" s="119">
        <v>5</v>
      </c>
      <c r="U347" s="148"/>
      <c r="V347" s="116"/>
      <c r="W347" s="116"/>
      <c r="X347" s="116">
        <v>5</v>
      </c>
      <c r="Y347" s="120"/>
      <c r="Z347" s="120"/>
      <c r="AA347" s="116"/>
      <c r="AB347" s="118"/>
      <c r="AC347" s="118"/>
      <c r="AD347" s="117"/>
      <c r="AE347" s="118"/>
      <c r="AF347" s="118"/>
      <c r="AG347" s="117"/>
      <c r="AH347" s="121"/>
      <c r="AI347" s="116"/>
      <c r="AJ347" s="120"/>
      <c r="AK347" s="120"/>
      <c r="AL347" s="116"/>
      <c r="AM347" s="116"/>
      <c r="AN347" s="116"/>
      <c r="AO347" s="116"/>
      <c r="AP347" s="116"/>
      <c r="AQ347" s="116"/>
      <c r="AR347" s="116"/>
      <c r="AS347" s="116"/>
      <c r="AT347" s="116"/>
    </row>
    <row r="348" spans="1:46" ht="21.1">
      <c r="A348" s="82" t="s">
        <v>149</v>
      </c>
      <c r="B348" s="273"/>
      <c r="C348" s="214"/>
      <c r="D348" s="133"/>
      <c r="E348" s="134"/>
      <c r="F348" s="135"/>
      <c r="G348" s="136"/>
      <c r="H348" s="96">
        <v>7</v>
      </c>
      <c r="I348" s="105"/>
      <c r="J348" s="104">
        <v>8</v>
      </c>
      <c r="K348" s="75">
        <v>8</v>
      </c>
      <c r="L348" s="75" t="s">
        <v>374</v>
      </c>
      <c r="M348" s="75">
        <v>8</v>
      </c>
      <c r="N348" s="75">
        <v>8</v>
      </c>
      <c r="O348" s="97"/>
      <c r="P348" s="98"/>
      <c r="Q348" s="99" t="s">
        <v>373</v>
      </c>
      <c r="R348" s="109"/>
      <c r="S348" s="100"/>
      <c r="T348" s="106"/>
      <c r="U348" s="137"/>
      <c r="V348" s="102"/>
      <c r="W348" s="102" t="s">
        <v>375</v>
      </c>
      <c r="X348" s="100">
        <v>7</v>
      </c>
      <c r="Y348" s="101">
        <v>7</v>
      </c>
      <c r="Z348" s="101" t="s">
        <v>856</v>
      </c>
      <c r="AA348" s="102">
        <v>7</v>
      </c>
      <c r="AB348" s="99"/>
      <c r="AC348" s="99" t="s">
        <v>838</v>
      </c>
      <c r="AD348" s="98"/>
      <c r="AE348" s="99" t="s">
        <v>373</v>
      </c>
      <c r="AF348" s="99">
        <v>7</v>
      </c>
      <c r="AG348" s="98"/>
      <c r="AH348" s="103"/>
      <c r="AI348" s="102"/>
      <c r="AJ348" s="101"/>
      <c r="AK348" s="101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1:46" ht="16.3">
      <c r="A349" s="246" t="s">
        <v>1</v>
      </c>
      <c r="B349" s="274">
        <f>SUM(J349+K349+L349+M349+N349+S349+V349+W349+X349+AA349+AI349+AJ349+AI349+AM349+AP349+AQ349+AS349+AT349+AU349+AV349+AN349)+27</f>
        <v>34</v>
      </c>
      <c r="C349" s="215">
        <f>B349</f>
        <v>34</v>
      </c>
      <c r="D349" s="133"/>
      <c r="E349" s="134"/>
      <c r="F349" s="135"/>
      <c r="G349" s="136"/>
      <c r="H349" s="96">
        <v>1</v>
      </c>
      <c r="I349" s="105"/>
      <c r="J349" s="104">
        <v>1</v>
      </c>
      <c r="K349" s="75">
        <v>1</v>
      </c>
      <c r="L349" s="75">
        <v>1</v>
      </c>
      <c r="M349" s="75">
        <v>1</v>
      </c>
      <c r="N349" s="75">
        <v>1</v>
      </c>
      <c r="O349" s="97"/>
      <c r="P349" s="108"/>
      <c r="Q349" s="109">
        <v>1</v>
      </c>
      <c r="R349" s="109"/>
      <c r="S349" s="100"/>
      <c r="T349" s="106"/>
      <c r="U349" s="137"/>
      <c r="V349" s="100"/>
      <c r="W349" s="100"/>
      <c r="X349" s="100">
        <v>1</v>
      </c>
      <c r="Y349" s="110">
        <v>1</v>
      </c>
      <c r="Z349" s="110">
        <v>1</v>
      </c>
      <c r="AA349" s="100">
        <v>1</v>
      </c>
      <c r="AB349" s="109"/>
      <c r="AC349" s="109">
        <v>1</v>
      </c>
      <c r="AD349" s="108"/>
      <c r="AE349" s="109">
        <v>1</v>
      </c>
      <c r="AF349" s="109">
        <v>1</v>
      </c>
      <c r="AG349" s="108"/>
      <c r="AH349" s="111"/>
      <c r="AI349" s="100"/>
      <c r="AJ349" s="110"/>
      <c r="AK349" s="11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1:46" ht="16.3">
      <c r="A350" s="246" t="s">
        <v>2</v>
      </c>
      <c r="B350" s="274">
        <f>SUM(J350+K350+L350+M350+N350+S350+V350+W350+X350+AA350+AI350+AJ350+AI350+AM350+AP350+AQ350+AS350+AT350+AU350+AV350)+37</f>
        <v>38</v>
      </c>
      <c r="C350" s="215">
        <f t="shared" ref="C350:C355" si="56">B350</f>
        <v>38</v>
      </c>
      <c r="D350" s="133"/>
      <c r="E350" s="134"/>
      <c r="F350" s="135"/>
      <c r="G350" s="136"/>
      <c r="H350" s="96"/>
      <c r="I350" s="105"/>
      <c r="J350" s="104"/>
      <c r="K350" s="75"/>
      <c r="L350" s="75"/>
      <c r="M350" s="75"/>
      <c r="N350" s="75"/>
      <c r="O350" s="97"/>
      <c r="P350" s="108"/>
      <c r="Q350" s="109"/>
      <c r="R350" s="109"/>
      <c r="S350" s="100"/>
      <c r="T350" s="106"/>
      <c r="U350" s="137"/>
      <c r="V350" s="100"/>
      <c r="W350" s="100">
        <v>1</v>
      </c>
      <c r="X350" s="100"/>
      <c r="Y350" s="110"/>
      <c r="Z350" s="110"/>
      <c r="AA350" s="100"/>
      <c r="AB350" s="109"/>
      <c r="AC350" s="109"/>
      <c r="AD350" s="108"/>
      <c r="AE350" s="109"/>
      <c r="AF350" s="109"/>
      <c r="AG350" s="108"/>
      <c r="AH350" s="111"/>
      <c r="AI350" s="100"/>
      <c r="AJ350" s="110"/>
      <c r="AK350" s="11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1:46" ht="16.3">
      <c r="A351" s="83" t="s">
        <v>363</v>
      </c>
      <c r="B351" s="273">
        <f>SUM(B349+B350)</f>
        <v>72</v>
      </c>
      <c r="C351" s="214">
        <f t="shared" si="56"/>
        <v>72</v>
      </c>
      <c r="D351" s="133"/>
      <c r="E351" s="134"/>
      <c r="F351" s="135"/>
      <c r="G351" s="136"/>
      <c r="H351" s="96"/>
      <c r="I351" s="105"/>
      <c r="J351" s="104"/>
      <c r="K351" s="75"/>
      <c r="L351" s="75"/>
      <c r="M351" s="75"/>
      <c r="N351" s="75"/>
      <c r="O351" s="97"/>
      <c r="P351" s="108"/>
      <c r="Q351" s="109"/>
      <c r="R351" s="109"/>
      <c r="S351" s="100"/>
      <c r="T351" s="106"/>
      <c r="U351" s="137"/>
      <c r="V351" s="100"/>
      <c r="W351" s="100"/>
      <c r="X351" s="100"/>
      <c r="Y351" s="110"/>
      <c r="Z351" s="110"/>
      <c r="AA351" s="100"/>
      <c r="AB351" s="109"/>
      <c r="AC351" s="109"/>
      <c r="AD351" s="108"/>
      <c r="AE351" s="109"/>
      <c r="AF351" s="109"/>
      <c r="AG351" s="108"/>
      <c r="AH351" s="111"/>
      <c r="AI351" s="100"/>
      <c r="AJ351" s="110"/>
      <c r="AK351" s="11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1:46" ht="16.3">
      <c r="A352" s="246" t="s">
        <v>362</v>
      </c>
      <c r="B352" s="274">
        <f>SUM(J352+K352+L352+M352+N352+S352+V352+W352+X352+AA352+AI352+AJ352+AI352+AM352+AP352+AQ352+AS352+AT352+AU352+AV352)+3</f>
        <v>3</v>
      </c>
      <c r="C352" s="215">
        <f t="shared" si="56"/>
        <v>3</v>
      </c>
      <c r="D352" s="133"/>
      <c r="E352" s="134"/>
      <c r="F352" s="135"/>
      <c r="G352" s="136"/>
      <c r="H352" s="96"/>
      <c r="I352" s="105"/>
      <c r="J352" s="104"/>
      <c r="K352" s="75"/>
      <c r="L352" s="75"/>
      <c r="M352" s="75"/>
      <c r="N352" s="75"/>
      <c r="O352" s="97"/>
      <c r="P352" s="108"/>
      <c r="Q352" s="109"/>
      <c r="R352" s="109"/>
      <c r="S352" s="100"/>
      <c r="T352" s="106"/>
      <c r="U352" s="137"/>
      <c r="V352" s="100"/>
      <c r="W352" s="100"/>
      <c r="X352" s="100"/>
      <c r="Y352" s="110"/>
      <c r="Z352" s="110">
        <v>1</v>
      </c>
      <c r="AA352" s="100"/>
      <c r="AB352" s="109"/>
      <c r="AC352" s="109">
        <v>1</v>
      </c>
      <c r="AD352" s="108"/>
      <c r="AE352" s="109"/>
      <c r="AF352" s="109"/>
      <c r="AG352" s="108"/>
      <c r="AH352" s="111"/>
      <c r="AI352" s="100"/>
      <c r="AJ352" s="110"/>
      <c r="AK352" s="11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1:46" ht="16.3">
      <c r="A353" s="246" t="s">
        <v>364</v>
      </c>
      <c r="B353" s="274">
        <f>SUM(J353+K353+L353+M353+N353+S353+V353+W353+X353+AA353+AI353+AJ353+AI353+AM353+AP353+AQ353+AS353+AT353+AU353+AV353)+1</f>
        <v>1</v>
      </c>
      <c r="C353" s="215">
        <f t="shared" si="56"/>
        <v>1</v>
      </c>
      <c r="D353" s="133"/>
      <c r="E353" s="134"/>
      <c r="F353" s="135"/>
      <c r="G353" s="136"/>
      <c r="H353" s="96"/>
      <c r="I353" s="105"/>
      <c r="J353" s="104"/>
      <c r="K353" s="75"/>
      <c r="L353" s="75"/>
      <c r="M353" s="75"/>
      <c r="N353" s="75"/>
      <c r="O353" s="97"/>
      <c r="P353" s="108"/>
      <c r="Q353" s="109"/>
      <c r="R353" s="109"/>
      <c r="S353" s="100"/>
      <c r="T353" s="106"/>
      <c r="U353" s="137"/>
      <c r="V353" s="100"/>
      <c r="W353" s="100"/>
      <c r="X353" s="100"/>
      <c r="Y353" s="110"/>
      <c r="Z353" s="110"/>
      <c r="AA353" s="100"/>
      <c r="AB353" s="109"/>
      <c r="AC353" s="109"/>
      <c r="AD353" s="108"/>
      <c r="AE353" s="109"/>
      <c r="AF353" s="109"/>
      <c r="AG353" s="108"/>
      <c r="AH353" s="111"/>
      <c r="AI353" s="100"/>
      <c r="AJ353" s="110"/>
      <c r="AK353" s="11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1:46" ht="16.3">
      <c r="A354" s="83" t="s">
        <v>3</v>
      </c>
      <c r="B354" s="273">
        <f>SUM(J354+K354+L354+M354+N354+S354+V354+W354+X354+AA354+AI354+AJ354+AI354+AM354+AP354+AQ354+AS354+AT354+AU354+AV354)+6</f>
        <v>6</v>
      </c>
      <c r="C354" s="214">
        <f t="shared" si="56"/>
        <v>6</v>
      </c>
      <c r="D354" s="133"/>
      <c r="E354" s="134"/>
      <c r="F354" s="135"/>
      <c r="G354" s="136"/>
      <c r="H354" s="96"/>
      <c r="I354" s="105"/>
      <c r="J354" s="104"/>
      <c r="K354" s="75"/>
      <c r="L354" s="75"/>
      <c r="M354" s="75"/>
      <c r="N354" s="75"/>
      <c r="O354" s="97"/>
      <c r="P354" s="108"/>
      <c r="Q354" s="109">
        <v>2</v>
      </c>
      <c r="R354" s="109"/>
      <c r="S354" s="100"/>
      <c r="T354" s="106"/>
      <c r="U354" s="137"/>
      <c r="V354" s="100"/>
      <c r="W354" s="100"/>
      <c r="X354" s="100"/>
      <c r="Y354" s="110"/>
      <c r="Z354" s="110"/>
      <c r="AA354" s="100"/>
      <c r="AB354" s="109"/>
      <c r="AC354" s="109"/>
      <c r="AD354" s="108"/>
      <c r="AE354" s="109"/>
      <c r="AF354" s="109">
        <v>1</v>
      </c>
      <c r="AG354" s="108"/>
      <c r="AH354" s="111"/>
      <c r="AI354" s="100"/>
      <c r="AJ354" s="110"/>
      <c r="AK354" s="11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1:46" ht="17" thickBot="1">
      <c r="A355" s="85" t="s">
        <v>4</v>
      </c>
      <c r="B355" s="275">
        <f>SUM(J355+K355+L355+M355+N355+S355+V355+W355+X355+AA355+AI355+AJ355+AI355+AM355+AP355+AQ355+AS355+AT355+AU355+AV355)+30</f>
        <v>30</v>
      </c>
      <c r="C355" s="217">
        <f t="shared" si="56"/>
        <v>30</v>
      </c>
      <c r="D355" s="144"/>
      <c r="E355" s="145"/>
      <c r="F355" s="146"/>
      <c r="G355" s="147"/>
      <c r="H355" s="114"/>
      <c r="I355" s="127"/>
      <c r="J355" s="113"/>
      <c r="K355" s="112"/>
      <c r="L355" s="112"/>
      <c r="M355" s="112"/>
      <c r="N355" s="112"/>
      <c r="O355" s="115"/>
      <c r="P355" s="117"/>
      <c r="Q355" s="118">
        <v>10</v>
      </c>
      <c r="R355" s="118"/>
      <c r="S355" s="112"/>
      <c r="T355" s="119"/>
      <c r="U355" s="148"/>
      <c r="V355" s="116"/>
      <c r="W355" s="116"/>
      <c r="X355" s="116"/>
      <c r="Y355" s="120"/>
      <c r="Z355" s="120"/>
      <c r="AA355" s="116"/>
      <c r="AB355" s="118"/>
      <c r="AC355" s="118"/>
      <c r="AD355" s="117"/>
      <c r="AE355" s="118"/>
      <c r="AF355" s="118">
        <v>5</v>
      </c>
      <c r="AG355" s="117"/>
      <c r="AH355" s="121"/>
      <c r="AI355" s="116"/>
      <c r="AJ355" s="120"/>
      <c r="AK355" s="120"/>
      <c r="AL355" s="116"/>
      <c r="AM355" s="116"/>
      <c r="AN355" s="116"/>
      <c r="AO355" s="116"/>
      <c r="AP355" s="116"/>
      <c r="AQ355" s="116"/>
      <c r="AR355" s="116"/>
      <c r="AS355" s="116"/>
      <c r="AT355" s="116"/>
    </row>
    <row r="356" spans="1:46" ht="21.1">
      <c r="A356" s="82" t="s">
        <v>186</v>
      </c>
      <c r="B356" s="273"/>
      <c r="C356" s="214"/>
      <c r="D356" s="133"/>
      <c r="E356" s="134"/>
      <c r="F356" s="135"/>
      <c r="G356" s="136"/>
      <c r="H356" s="96"/>
      <c r="I356" s="105"/>
      <c r="J356" s="104"/>
      <c r="K356" s="75"/>
      <c r="L356" s="75"/>
      <c r="M356" s="75"/>
      <c r="N356" s="75"/>
      <c r="O356" s="97"/>
      <c r="P356" s="108"/>
      <c r="Q356" s="109"/>
      <c r="R356" s="109"/>
      <c r="S356" s="100"/>
      <c r="T356" s="106"/>
      <c r="U356" s="137"/>
      <c r="V356" s="100"/>
      <c r="W356" s="100"/>
      <c r="X356" s="100"/>
      <c r="Y356" s="110"/>
      <c r="Z356" s="110"/>
      <c r="AA356" s="100"/>
      <c r="AB356" s="109"/>
      <c r="AC356" s="109"/>
      <c r="AD356" s="108"/>
      <c r="AE356" s="109"/>
      <c r="AF356" s="109"/>
      <c r="AG356" s="108"/>
      <c r="AH356" s="111"/>
      <c r="AI356" s="100"/>
      <c r="AJ356" s="110"/>
      <c r="AK356" s="11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1:46" ht="16.3">
      <c r="A357" s="246" t="s">
        <v>1</v>
      </c>
      <c r="B357" s="274">
        <f>SUM(J357+K357+L357+M357+N357+S357+V357+W357+X357+AA357+AI357+AJ357+AI357+AM357+AP357+AQ357+AS357+AT357+AU357+AV357+AN357)+2</f>
        <v>2</v>
      </c>
      <c r="C357" s="215">
        <f>B357</f>
        <v>2</v>
      </c>
      <c r="D357" s="133"/>
      <c r="E357" s="134"/>
      <c r="F357" s="135"/>
      <c r="G357" s="136"/>
      <c r="H357" s="96"/>
      <c r="I357" s="105"/>
      <c r="J357" s="104"/>
      <c r="K357" s="75"/>
      <c r="L357" s="75"/>
      <c r="M357" s="75"/>
      <c r="N357" s="75"/>
      <c r="O357" s="97"/>
      <c r="P357" s="108"/>
      <c r="Q357" s="109"/>
      <c r="R357" s="109"/>
      <c r="S357" s="100"/>
      <c r="T357" s="106"/>
      <c r="U357" s="137"/>
      <c r="V357" s="100"/>
      <c r="W357" s="100"/>
      <c r="X357" s="100"/>
      <c r="Y357" s="110"/>
      <c r="Z357" s="110"/>
      <c r="AA357" s="100"/>
      <c r="AB357" s="109"/>
      <c r="AC357" s="109"/>
      <c r="AD357" s="108"/>
      <c r="AE357" s="109"/>
      <c r="AF357" s="109"/>
      <c r="AG357" s="108"/>
      <c r="AH357" s="111"/>
      <c r="AI357" s="100"/>
      <c r="AJ357" s="110"/>
      <c r="AK357" s="11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1:46" ht="16.3">
      <c r="A358" s="246" t="s">
        <v>2</v>
      </c>
      <c r="B358" s="274">
        <f>SUM(J358+K358+L358+M358+N358+S358+V358+W358+X358+AA358+AI358+AJ358+AI358+AM358+AP358+AQ358+AS358+AT358+AU358+AV358)+7</f>
        <v>7</v>
      </c>
      <c r="C358" s="215">
        <f t="shared" ref="C358:C361" si="57">B358</f>
        <v>7</v>
      </c>
      <c r="D358" s="133"/>
      <c r="E358" s="134"/>
      <c r="F358" s="135"/>
      <c r="G358" s="136"/>
      <c r="H358" s="96"/>
      <c r="I358" s="105"/>
      <c r="J358" s="104"/>
      <c r="K358" s="75"/>
      <c r="L358" s="75"/>
      <c r="M358" s="75"/>
      <c r="N358" s="75"/>
      <c r="O358" s="97"/>
      <c r="P358" s="108"/>
      <c r="Q358" s="109"/>
      <c r="R358" s="109"/>
      <c r="S358" s="100"/>
      <c r="T358" s="106"/>
      <c r="U358" s="137"/>
      <c r="V358" s="100"/>
      <c r="W358" s="100"/>
      <c r="X358" s="100"/>
      <c r="Y358" s="110"/>
      <c r="Z358" s="110"/>
      <c r="AA358" s="100"/>
      <c r="AB358" s="109"/>
      <c r="AC358" s="109"/>
      <c r="AD358" s="108"/>
      <c r="AE358" s="109"/>
      <c r="AF358" s="109"/>
      <c r="AG358" s="108"/>
      <c r="AH358" s="111"/>
      <c r="AI358" s="100"/>
      <c r="AJ358" s="110"/>
      <c r="AK358" s="11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1:46" ht="16.3">
      <c r="A359" s="83" t="s">
        <v>363</v>
      </c>
      <c r="B359" s="273">
        <f>SUM(B357+B358)</f>
        <v>9</v>
      </c>
      <c r="C359" s="214">
        <f t="shared" si="57"/>
        <v>9</v>
      </c>
      <c r="D359" s="133"/>
      <c r="E359" s="134"/>
      <c r="F359" s="135"/>
      <c r="G359" s="136"/>
      <c r="H359" s="96"/>
      <c r="I359" s="105"/>
      <c r="J359" s="104"/>
      <c r="K359" s="75"/>
      <c r="L359" s="75"/>
      <c r="M359" s="75"/>
      <c r="N359" s="75"/>
      <c r="O359" s="97"/>
      <c r="P359" s="108"/>
      <c r="Q359" s="109"/>
      <c r="R359" s="109"/>
      <c r="S359" s="100"/>
      <c r="T359" s="106"/>
      <c r="U359" s="137"/>
      <c r="V359" s="100"/>
      <c r="W359" s="100"/>
      <c r="X359" s="100"/>
      <c r="Y359" s="110"/>
      <c r="Z359" s="110"/>
      <c r="AA359" s="100"/>
      <c r="AB359" s="109"/>
      <c r="AC359" s="109"/>
      <c r="AD359" s="108"/>
      <c r="AE359" s="109"/>
      <c r="AF359" s="109"/>
      <c r="AG359" s="108"/>
      <c r="AH359" s="111"/>
      <c r="AI359" s="100"/>
      <c r="AJ359" s="110"/>
      <c r="AK359" s="11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1:46" ht="16.3">
      <c r="A360" s="83" t="s">
        <v>3</v>
      </c>
      <c r="B360" s="273">
        <f>SUM(J360+K360+L360+M360+N360+S360+V360+W360+X360+AA360+AI360+AJ360+AI360+AM360+AP360+AQ360+AS360+AT360+AU360+AV360)</f>
        <v>0</v>
      </c>
      <c r="C360" s="214">
        <f t="shared" si="57"/>
        <v>0</v>
      </c>
      <c r="D360" s="133"/>
      <c r="E360" s="134"/>
      <c r="F360" s="135"/>
      <c r="G360" s="136"/>
      <c r="H360" s="96"/>
      <c r="I360" s="105"/>
      <c r="J360" s="104"/>
      <c r="K360" s="75"/>
      <c r="L360" s="75"/>
      <c r="M360" s="75"/>
      <c r="N360" s="75"/>
      <c r="O360" s="97"/>
      <c r="P360" s="108"/>
      <c r="Q360" s="109"/>
      <c r="R360" s="109"/>
      <c r="S360" s="100"/>
      <c r="T360" s="106"/>
      <c r="U360" s="137"/>
      <c r="V360" s="100"/>
      <c r="W360" s="100"/>
      <c r="X360" s="100"/>
      <c r="Y360" s="110"/>
      <c r="Z360" s="110"/>
      <c r="AA360" s="100"/>
      <c r="AB360" s="109"/>
      <c r="AC360" s="109"/>
      <c r="AD360" s="108"/>
      <c r="AE360" s="109"/>
      <c r="AF360" s="109"/>
      <c r="AG360" s="108"/>
      <c r="AH360" s="111"/>
      <c r="AI360" s="100"/>
      <c r="AJ360" s="110"/>
      <c r="AK360" s="11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1:46" ht="17" thickBot="1">
      <c r="A361" s="85" t="s">
        <v>4</v>
      </c>
      <c r="B361" s="275">
        <f>SUM(J361+K361+L361+M361+N361+S361+V361+W361+X361+AA361+AI361+AJ361+AI361+AM361+AP361+AQ361+AS361+AT361+AU361+AV361)</f>
        <v>0</v>
      </c>
      <c r="C361" s="217">
        <f t="shared" si="57"/>
        <v>0</v>
      </c>
      <c r="D361" s="144"/>
      <c r="E361" s="145"/>
      <c r="F361" s="146"/>
      <c r="G361" s="147"/>
      <c r="H361" s="114"/>
      <c r="I361" s="127"/>
      <c r="J361" s="113"/>
      <c r="K361" s="112"/>
      <c r="L361" s="112"/>
      <c r="M361" s="112"/>
      <c r="N361" s="112"/>
      <c r="O361" s="115"/>
      <c r="P361" s="117"/>
      <c r="Q361" s="118"/>
      <c r="R361" s="118"/>
      <c r="S361" s="116"/>
      <c r="T361" s="119"/>
      <c r="U361" s="148"/>
      <c r="V361" s="116"/>
      <c r="W361" s="116"/>
      <c r="X361" s="116"/>
      <c r="Y361" s="120"/>
      <c r="Z361" s="120"/>
      <c r="AA361" s="116"/>
      <c r="AB361" s="114"/>
      <c r="AC361" s="118"/>
      <c r="AD361" s="117"/>
      <c r="AE361" s="118"/>
      <c r="AF361" s="118"/>
      <c r="AG361" s="117"/>
      <c r="AH361" s="121"/>
      <c r="AI361" s="116"/>
      <c r="AJ361" s="120"/>
      <c r="AK361" s="120"/>
      <c r="AL361" s="116"/>
      <c r="AM361" s="116"/>
      <c r="AN361" s="116"/>
      <c r="AO361" s="116"/>
      <c r="AP361" s="116"/>
      <c r="AQ361" s="116"/>
      <c r="AR361" s="116"/>
      <c r="AS361" s="116"/>
      <c r="AT361" s="116"/>
    </row>
    <row r="362" spans="1:46" ht="21.1">
      <c r="A362" s="82" t="s">
        <v>227</v>
      </c>
      <c r="B362" s="273"/>
      <c r="C362" s="214"/>
      <c r="D362" s="133"/>
      <c r="E362" s="134"/>
      <c r="F362" s="135"/>
      <c r="G362" s="136"/>
      <c r="H362" s="96" t="s">
        <v>375</v>
      </c>
      <c r="I362" s="105"/>
      <c r="J362" s="104" t="s">
        <v>375</v>
      </c>
      <c r="K362" s="75" t="s">
        <v>375</v>
      </c>
      <c r="L362" s="75" t="s">
        <v>373</v>
      </c>
      <c r="M362" s="75" t="s">
        <v>373</v>
      </c>
      <c r="N362" s="75" t="s">
        <v>373</v>
      </c>
      <c r="O362" s="97">
        <v>7</v>
      </c>
      <c r="P362" s="108"/>
      <c r="Q362" s="109" t="s">
        <v>375</v>
      </c>
      <c r="R362" s="109" t="s">
        <v>373</v>
      </c>
      <c r="S362" s="100"/>
      <c r="T362" s="106"/>
      <c r="U362" s="137" t="s">
        <v>375</v>
      </c>
      <c r="V362" s="100" t="s">
        <v>375</v>
      </c>
      <c r="W362" s="100"/>
      <c r="X362" s="100"/>
      <c r="Y362" s="110"/>
      <c r="Z362" s="110">
        <v>7</v>
      </c>
      <c r="AA362" s="100"/>
      <c r="AB362" s="109" t="s">
        <v>375</v>
      </c>
      <c r="AC362" s="109" t="s">
        <v>373</v>
      </c>
      <c r="AD362" s="108"/>
      <c r="AE362" s="109"/>
      <c r="AF362" s="109"/>
      <c r="AG362" s="108"/>
      <c r="AH362" s="111"/>
      <c r="AI362" s="100"/>
      <c r="AJ362" s="110"/>
      <c r="AK362" s="11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1:46" ht="16.3">
      <c r="A363" s="246" t="s">
        <v>1</v>
      </c>
      <c r="B363" s="274">
        <f>SUM(J363+K363+L363+M363+N363+S363+V363+W363+X363+AA363+AI363+AJ363+AI363+AM363+AP363+AQ363+AS363+AT363+AU363+AV363+AN363)</f>
        <v>3</v>
      </c>
      <c r="C363" s="215">
        <f>B363</f>
        <v>3</v>
      </c>
      <c r="D363" s="133"/>
      <c r="E363" s="134"/>
      <c r="F363" s="135"/>
      <c r="G363" s="136"/>
      <c r="H363" s="96"/>
      <c r="I363" s="105"/>
      <c r="J363" s="104"/>
      <c r="K363" s="75"/>
      <c r="L363" s="75">
        <v>1</v>
      </c>
      <c r="M363" s="75">
        <v>1</v>
      </c>
      <c r="N363" s="75">
        <v>1</v>
      </c>
      <c r="O363" s="97">
        <v>1</v>
      </c>
      <c r="P363" s="108"/>
      <c r="Q363" s="109"/>
      <c r="R363" s="109">
        <v>1</v>
      </c>
      <c r="S363" s="100"/>
      <c r="T363" s="106"/>
      <c r="U363" s="137"/>
      <c r="V363" s="100"/>
      <c r="W363" s="100"/>
      <c r="X363" s="100"/>
      <c r="Y363" s="110"/>
      <c r="Z363" s="110">
        <v>1</v>
      </c>
      <c r="AA363" s="100"/>
      <c r="AB363" s="109"/>
      <c r="AC363" s="109">
        <v>1</v>
      </c>
      <c r="AD363" s="108"/>
      <c r="AE363" s="109"/>
      <c r="AF363" s="109"/>
      <c r="AG363" s="108"/>
      <c r="AH363" s="111"/>
      <c r="AI363" s="100"/>
      <c r="AJ363" s="110"/>
      <c r="AK363" s="11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1:46" ht="16.3">
      <c r="A364" s="246" t="s">
        <v>2</v>
      </c>
      <c r="B364" s="274">
        <f>SUM(J364+K364+L364+M364+N364+S364+V364+W364+X364+AA364+AI364+AJ364+AI364+AM364+AP364+AQ364+AS364+AT364+AU364+AV364)</f>
        <v>3</v>
      </c>
      <c r="C364" s="215">
        <f t="shared" ref="C364:C367" si="58">B364</f>
        <v>3</v>
      </c>
      <c r="D364" s="133"/>
      <c r="E364" s="134"/>
      <c r="F364" s="135"/>
      <c r="G364" s="136"/>
      <c r="H364" s="96">
        <v>1</v>
      </c>
      <c r="I364" s="105"/>
      <c r="J364" s="104">
        <v>1</v>
      </c>
      <c r="K364" s="75">
        <v>1</v>
      </c>
      <c r="L364" s="75"/>
      <c r="M364" s="75"/>
      <c r="N364" s="75"/>
      <c r="O364" s="97"/>
      <c r="P364" s="108"/>
      <c r="Q364" s="109">
        <v>1</v>
      </c>
      <c r="R364" s="109"/>
      <c r="S364" s="100"/>
      <c r="T364" s="106"/>
      <c r="U364" s="137">
        <v>1</v>
      </c>
      <c r="V364" s="100">
        <v>1</v>
      </c>
      <c r="W364" s="100"/>
      <c r="X364" s="100"/>
      <c r="Y364" s="110"/>
      <c r="Z364" s="110"/>
      <c r="AA364" s="100"/>
      <c r="AB364" s="109">
        <v>1</v>
      </c>
      <c r="AC364" s="109"/>
      <c r="AD364" s="108"/>
      <c r="AE364" s="109"/>
      <c r="AF364" s="109"/>
      <c r="AG364" s="108"/>
      <c r="AH364" s="111"/>
      <c r="AI364" s="100"/>
      <c r="AJ364" s="110"/>
      <c r="AK364" s="11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1:46" ht="16.3">
      <c r="A365" s="83" t="s">
        <v>363</v>
      </c>
      <c r="B365" s="273">
        <f>SUM(B363+B364)</f>
        <v>6</v>
      </c>
      <c r="C365" s="214">
        <f t="shared" si="58"/>
        <v>6</v>
      </c>
      <c r="D365" s="133"/>
      <c r="E365" s="134"/>
      <c r="F365" s="135"/>
      <c r="G365" s="136"/>
      <c r="H365" s="96"/>
      <c r="I365" s="105"/>
      <c r="J365" s="104"/>
      <c r="K365" s="75"/>
      <c r="L365" s="75"/>
      <c r="M365" s="75"/>
      <c r="N365" s="75"/>
      <c r="O365" s="97"/>
      <c r="P365" s="108"/>
      <c r="Q365" s="109"/>
      <c r="R365" s="109"/>
      <c r="S365" s="100"/>
      <c r="T365" s="106"/>
      <c r="U365" s="137"/>
      <c r="V365" s="100"/>
      <c r="W365" s="100"/>
      <c r="X365" s="100"/>
      <c r="Y365" s="110"/>
      <c r="Z365" s="110"/>
      <c r="AA365" s="100"/>
      <c r="AB365" s="109"/>
      <c r="AC365" s="109"/>
      <c r="AD365" s="108"/>
      <c r="AE365" s="109"/>
      <c r="AF365" s="109"/>
      <c r="AG365" s="108"/>
      <c r="AH365" s="111"/>
      <c r="AI365" s="100"/>
      <c r="AJ365" s="110"/>
      <c r="AK365" s="11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1:46" ht="16.3">
      <c r="A366" s="83" t="s">
        <v>3</v>
      </c>
      <c r="B366" s="273">
        <f>SUM(J366+K366+L366+M366+N366+S366+V366+W366+X366+AA366+AI366+AJ366+AI366+AM366+AP366+AQ366+AS366+AT366+AU366+AV366)</f>
        <v>0</v>
      </c>
      <c r="C366" s="214">
        <f t="shared" si="58"/>
        <v>0</v>
      </c>
      <c r="D366" s="133"/>
      <c r="E366" s="134"/>
      <c r="F366" s="135"/>
      <c r="G366" s="136"/>
      <c r="H366" s="96"/>
      <c r="I366" s="105"/>
      <c r="J366" s="104"/>
      <c r="K366" s="75"/>
      <c r="L366" s="75"/>
      <c r="M366" s="75"/>
      <c r="N366" s="75"/>
      <c r="O366" s="97"/>
      <c r="P366" s="108"/>
      <c r="Q366" s="109"/>
      <c r="R366" s="109"/>
      <c r="S366" s="100"/>
      <c r="T366" s="106"/>
      <c r="U366" s="137"/>
      <c r="V366" s="100"/>
      <c r="W366" s="100"/>
      <c r="X366" s="100"/>
      <c r="Y366" s="110"/>
      <c r="Z366" s="110"/>
      <c r="AA366" s="100"/>
      <c r="AB366" s="109"/>
      <c r="AC366" s="109"/>
      <c r="AD366" s="108"/>
      <c r="AE366" s="109"/>
      <c r="AF366" s="109"/>
      <c r="AG366" s="108"/>
      <c r="AH366" s="111"/>
      <c r="AI366" s="100"/>
      <c r="AJ366" s="110"/>
      <c r="AK366" s="11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1:46" ht="17" thickBot="1">
      <c r="A367" s="85" t="s">
        <v>4</v>
      </c>
      <c r="B367" s="275">
        <f>SUM(J367+K367+L367+M367+N367+S367+V367+W367+X367+AA367+AI367+AJ367+AI367+AM367+AP367+AQ367+AS367+AT367+AU367+AV367)</f>
        <v>0</v>
      </c>
      <c r="C367" s="217">
        <f t="shared" si="58"/>
        <v>0</v>
      </c>
      <c r="D367" s="144"/>
      <c r="E367" s="145"/>
      <c r="F367" s="146"/>
      <c r="G367" s="147"/>
      <c r="H367" s="114"/>
      <c r="I367" s="127"/>
      <c r="J367" s="113"/>
      <c r="K367" s="112"/>
      <c r="L367" s="112"/>
      <c r="M367" s="112"/>
      <c r="N367" s="112"/>
      <c r="O367" s="115"/>
      <c r="P367" s="117"/>
      <c r="Q367" s="118"/>
      <c r="R367" s="118"/>
      <c r="S367" s="116"/>
      <c r="T367" s="119"/>
      <c r="U367" s="148"/>
      <c r="V367" s="116"/>
      <c r="W367" s="116"/>
      <c r="X367" s="116"/>
      <c r="Y367" s="120"/>
      <c r="Z367" s="120"/>
      <c r="AA367" s="116"/>
      <c r="AB367" s="118"/>
      <c r="AC367" s="118"/>
      <c r="AD367" s="117"/>
      <c r="AE367" s="118"/>
      <c r="AF367" s="118"/>
      <c r="AG367" s="117"/>
      <c r="AH367" s="121"/>
      <c r="AI367" s="116"/>
      <c r="AJ367" s="120"/>
      <c r="AK367" s="120"/>
      <c r="AL367" s="116"/>
      <c r="AM367" s="116"/>
      <c r="AN367" s="116"/>
      <c r="AO367" s="116"/>
      <c r="AP367" s="116"/>
      <c r="AQ367" s="116"/>
      <c r="AR367" s="116"/>
      <c r="AS367" s="116"/>
      <c r="AT367" s="116"/>
    </row>
    <row r="368" spans="1:46" ht="21.1">
      <c r="A368" s="82" t="s">
        <v>742</v>
      </c>
      <c r="B368" s="273"/>
      <c r="C368" s="214"/>
      <c r="D368" s="133"/>
      <c r="E368" s="134"/>
      <c r="F368" s="135"/>
      <c r="G368" s="136"/>
      <c r="H368" s="96"/>
      <c r="I368" s="105"/>
      <c r="J368" s="104"/>
      <c r="K368" s="75"/>
      <c r="L368" s="75"/>
      <c r="M368" s="75"/>
      <c r="N368" s="75"/>
      <c r="O368" s="97" t="s">
        <v>432</v>
      </c>
      <c r="P368" s="108"/>
      <c r="Q368" s="109"/>
      <c r="R368" s="109" t="s">
        <v>374</v>
      </c>
      <c r="S368" s="100"/>
      <c r="T368" s="106"/>
      <c r="U368" s="137"/>
      <c r="V368" s="100"/>
      <c r="W368" s="100"/>
      <c r="X368" s="100"/>
      <c r="Y368" s="110"/>
      <c r="Z368" s="110" t="s">
        <v>375</v>
      </c>
      <c r="AA368" s="100" t="s">
        <v>501</v>
      </c>
      <c r="AB368" s="109" t="s">
        <v>375</v>
      </c>
      <c r="AC368" s="109">
        <v>4</v>
      </c>
      <c r="AD368" s="108"/>
      <c r="AE368" s="109" t="s">
        <v>375</v>
      </c>
      <c r="AF368" s="109" t="s">
        <v>375</v>
      </c>
      <c r="AG368" s="108"/>
      <c r="AH368" s="111"/>
      <c r="AI368" s="100"/>
      <c r="AJ368" s="110"/>
      <c r="AK368" s="11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1:46" ht="16.3">
      <c r="A369" s="246" t="s">
        <v>1</v>
      </c>
      <c r="B369" s="274">
        <f>SUM(J369+K369+L369+M369+N369+S369+V369+W369+X369+AA369+AI369+AJ369+AI369+AM369+AP369+AQ369+AS369+AT369+AU369+AV369+AN369)</f>
        <v>0</v>
      </c>
      <c r="C369" s="215">
        <f>SUM(J369+K369+L369+M369+N369+S369+W369+X369+V369+AA369+AJ369+AI369+AJ369+AN369+AQ369+AM369+AT369+AU369+AV369+AW369+AP369+AS369)</f>
        <v>0</v>
      </c>
      <c r="D369" s="133"/>
      <c r="E369" s="134"/>
      <c r="F369" s="135"/>
      <c r="G369" s="136"/>
      <c r="H369" s="96"/>
      <c r="I369" s="105"/>
      <c r="J369" s="104"/>
      <c r="K369" s="75"/>
      <c r="L369" s="75"/>
      <c r="M369" s="75"/>
      <c r="N369" s="75"/>
      <c r="O369" s="97"/>
      <c r="P369" s="108"/>
      <c r="Q369" s="109"/>
      <c r="R369" s="109">
        <v>1</v>
      </c>
      <c r="S369" s="100"/>
      <c r="T369" s="106"/>
      <c r="U369" s="137"/>
      <c r="V369" s="100"/>
      <c r="W369" s="100"/>
      <c r="X369" s="100"/>
      <c r="Y369" s="110"/>
      <c r="Z369" s="110"/>
      <c r="AA369" s="100"/>
      <c r="AB369" s="109"/>
      <c r="AC369" s="109">
        <v>1</v>
      </c>
      <c r="AD369" s="108"/>
      <c r="AE369" s="109"/>
      <c r="AF369" s="109"/>
      <c r="AG369" s="108"/>
      <c r="AH369" s="111"/>
      <c r="AI369" s="100"/>
      <c r="AJ369" s="110"/>
      <c r="AK369" s="11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1:46" ht="16.3">
      <c r="A370" s="246" t="s">
        <v>2</v>
      </c>
      <c r="B370" s="274">
        <f>SUM(J370+K370+L370+M370+N370+S370+V370+W370+X370+AA370+AI370+AJ370+AI370+AM370+AP370+AQ370+AS370+AT370+AU370+AV370)</f>
        <v>0</v>
      </c>
      <c r="C370" s="215">
        <f>SUM(J370+K370+L370+M370+N370+S370+W370+X370+V370+AA370+AJ370+AI370+AJ370+AN370+AQ370+AM370+AT370+AU370+AV370+AW370+AP370+AS370)+1</f>
        <v>1</v>
      </c>
      <c r="D370" s="133"/>
      <c r="E370" s="134"/>
      <c r="F370" s="135"/>
      <c r="G370" s="136"/>
      <c r="H370" s="96"/>
      <c r="I370" s="105"/>
      <c r="J370" s="104"/>
      <c r="K370" s="75"/>
      <c r="L370" s="75"/>
      <c r="M370" s="75"/>
      <c r="N370" s="75"/>
      <c r="O370" s="97">
        <v>1</v>
      </c>
      <c r="P370" s="108"/>
      <c r="Q370" s="109"/>
      <c r="R370" s="109"/>
      <c r="S370" s="100"/>
      <c r="T370" s="106"/>
      <c r="U370" s="137"/>
      <c r="V370" s="100"/>
      <c r="W370" s="100"/>
      <c r="X370" s="100"/>
      <c r="Y370" s="110"/>
      <c r="Z370" s="110">
        <v>1</v>
      </c>
      <c r="AA370" s="100"/>
      <c r="AB370" s="109">
        <v>1</v>
      </c>
      <c r="AC370" s="109"/>
      <c r="AD370" s="108"/>
      <c r="AE370" s="109">
        <v>1</v>
      </c>
      <c r="AF370" s="109">
        <v>1</v>
      </c>
      <c r="AG370" s="108"/>
      <c r="AH370" s="111"/>
      <c r="AI370" s="100"/>
      <c r="AJ370" s="110"/>
      <c r="AK370" s="11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1:46" ht="16.3">
      <c r="A371" s="83" t="s">
        <v>363</v>
      </c>
      <c r="B371" s="273">
        <f>SUM(B369+B370)</f>
        <v>0</v>
      </c>
      <c r="C371" s="214">
        <f>SUM(C369+C370)</f>
        <v>1</v>
      </c>
      <c r="D371" s="133"/>
      <c r="E371" s="134"/>
      <c r="F371" s="135"/>
      <c r="G371" s="136"/>
      <c r="H371" s="96"/>
      <c r="I371" s="105"/>
      <c r="J371" s="104"/>
      <c r="K371" s="75"/>
      <c r="L371" s="75"/>
      <c r="M371" s="75"/>
      <c r="N371" s="75"/>
      <c r="O371" s="97"/>
      <c r="P371" s="108"/>
      <c r="Q371" s="109"/>
      <c r="R371" s="109"/>
      <c r="S371" s="100"/>
      <c r="T371" s="106"/>
      <c r="U371" s="137"/>
      <c r="V371" s="100"/>
      <c r="W371" s="100"/>
      <c r="X371" s="100"/>
      <c r="Y371" s="110"/>
      <c r="Z371" s="110"/>
      <c r="AA371" s="100"/>
      <c r="AB371" s="109"/>
      <c r="AC371" s="109"/>
      <c r="AD371" s="108"/>
      <c r="AE371" s="109"/>
      <c r="AF371" s="109"/>
      <c r="AG371" s="108"/>
      <c r="AH371" s="111"/>
      <c r="AI371" s="100"/>
      <c r="AJ371" s="110"/>
      <c r="AK371" s="11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1:46" ht="16.3">
      <c r="A372" s="83" t="s">
        <v>3</v>
      </c>
      <c r="B372" s="273">
        <f>SUM(J372+K372+L372+M372+N372+S372+V372+W372+X372+AA372+AI372+AJ372+AI372+AM372+AP372+AQ372+AS372+AT372+AU372+AV372)</f>
        <v>0</v>
      </c>
      <c r="C372" s="214">
        <f>SUM(J372+K372+L372+M372+N372+S372+W372+X372+V372+AA372+AJ372+AI372+AJ372+AN372+AQ372+AM372+AT372+AU372+AV372+AW372+AP372+AS372)</f>
        <v>0</v>
      </c>
      <c r="D372" s="133"/>
      <c r="E372" s="134"/>
      <c r="F372" s="135"/>
      <c r="G372" s="136"/>
      <c r="H372" s="96"/>
      <c r="I372" s="105"/>
      <c r="J372" s="104"/>
      <c r="K372" s="75"/>
      <c r="L372" s="75"/>
      <c r="M372" s="75"/>
      <c r="N372" s="75"/>
      <c r="O372" s="97"/>
      <c r="P372" s="108"/>
      <c r="Q372" s="109"/>
      <c r="R372" s="109"/>
      <c r="S372" s="100"/>
      <c r="T372" s="106"/>
      <c r="U372" s="137"/>
      <c r="V372" s="100"/>
      <c r="W372" s="100"/>
      <c r="X372" s="100"/>
      <c r="Y372" s="110"/>
      <c r="Z372" s="110"/>
      <c r="AA372" s="100"/>
      <c r="AB372" s="109"/>
      <c r="AC372" s="109"/>
      <c r="AD372" s="108"/>
      <c r="AE372" s="109"/>
      <c r="AF372" s="109"/>
      <c r="AG372" s="108"/>
      <c r="AH372" s="111"/>
      <c r="AI372" s="100"/>
      <c r="AJ372" s="110"/>
      <c r="AK372" s="11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1:46" ht="17" thickBot="1">
      <c r="A373" s="85" t="s">
        <v>4</v>
      </c>
      <c r="B373" s="275">
        <f>SUM(J373+K373+L373+M373+N373+S373+V373+W373+X373+AA373+AI373+AJ373+AI373+AM373+AP373+AQ373+AS373+AT373+AU373+AV373)</f>
        <v>0</v>
      </c>
      <c r="C373" s="217">
        <f>SUM(J373+K373+L373+M373+N373+S373+W373+X373+V373+AA373+AJ373+AI373+AJ373+AN373+AQ373+AM373+AT373+AU373+AV373+AW373+AP373+AS373)</f>
        <v>0</v>
      </c>
      <c r="D373" s="144"/>
      <c r="E373" s="145"/>
      <c r="F373" s="146"/>
      <c r="G373" s="147"/>
      <c r="H373" s="114"/>
      <c r="I373" s="127"/>
      <c r="J373" s="113"/>
      <c r="K373" s="112"/>
      <c r="L373" s="112"/>
      <c r="M373" s="112"/>
      <c r="N373" s="112"/>
      <c r="O373" s="115"/>
      <c r="P373" s="117"/>
      <c r="Q373" s="118"/>
      <c r="R373" s="118"/>
      <c r="S373" s="116"/>
      <c r="T373" s="119"/>
      <c r="U373" s="148"/>
      <c r="V373" s="116"/>
      <c r="W373" s="116"/>
      <c r="X373" s="116"/>
      <c r="Y373" s="120"/>
      <c r="Z373" s="120"/>
      <c r="AA373" s="116"/>
      <c r="AB373" s="118"/>
      <c r="AC373" s="118"/>
      <c r="AD373" s="117"/>
      <c r="AE373" s="118"/>
      <c r="AF373" s="118"/>
      <c r="AG373" s="117"/>
      <c r="AH373" s="121"/>
      <c r="AI373" s="116"/>
      <c r="AJ373" s="120"/>
      <c r="AK373" s="120"/>
      <c r="AL373" s="116"/>
      <c r="AM373" s="116"/>
      <c r="AN373" s="116"/>
      <c r="AO373" s="116"/>
      <c r="AP373" s="116"/>
      <c r="AQ373" s="116"/>
      <c r="AR373" s="116"/>
      <c r="AS373" s="116"/>
      <c r="AT373" s="116"/>
    </row>
    <row r="374" spans="1:46" ht="21.1">
      <c r="A374" s="82" t="s">
        <v>335</v>
      </c>
      <c r="B374" s="273"/>
      <c r="C374" s="214"/>
      <c r="D374" s="133"/>
      <c r="E374" s="134"/>
      <c r="F374" s="135"/>
      <c r="G374" s="136"/>
      <c r="H374" s="96" t="s">
        <v>375</v>
      </c>
      <c r="I374" s="105"/>
      <c r="J374" s="104"/>
      <c r="K374" s="75"/>
      <c r="L374" s="75"/>
      <c r="M374" s="75"/>
      <c r="N374" s="75"/>
      <c r="O374" s="97" t="s">
        <v>374</v>
      </c>
      <c r="P374" s="108"/>
      <c r="Q374" s="109" t="s">
        <v>375</v>
      </c>
      <c r="R374" s="109">
        <v>6</v>
      </c>
      <c r="S374" s="100"/>
      <c r="T374" s="106"/>
      <c r="U374" s="137"/>
      <c r="V374" s="100"/>
      <c r="W374" s="100"/>
      <c r="X374" s="100"/>
      <c r="Y374" s="110"/>
      <c r="Z374" s="110">
        <v>6</v>
      </c>
      <c r="AA374" s="100" t="s">
        <v>393</v>
      </c>
      <c r="AB374" s="109" t="s">
        <v>373</v>
      </c>
      <c r="AC374" s="109"/>
      <c r="AD374" s="108"/>
      <c r="AE374" s="109"/>
      <c r="AF374" s="109"/>
      <c r="AG374" s="108"/>
      <c r="AH374" s="111"/>
      <c r="AI374" s="100"/>
      <c r="AJ374" s="110"/>
      <c r="AK374" s="11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1:46" ht="16.3">
      <c r="A375" s="246" t="s">
        <v>1</v>
      </c>
      <c r="B375" s="274">
        <f>SUM(J375+K375+L375+M375+N375+S375+V375+W375+X375+AA375+AI375+AJ375+AI375+AM375+AP375+AQ375+AS375+AT375+AU375+AV375+AN375)</f>
        <v>0</v>
      </c>
      <c r="C375" s="215">
        <f>B375</f>
        <v>0</v>
      </c>
      <c r="D375" s="133"/>
      <c r="E375" s="134"/>
      <c r="F375" s="135"/>
      <c r="G375" s="136"/>
      <c r="H375" s="96"/>
      <c r="I375" s="105"/>
      <c r="J375" s="104"/>
      <c r="K375" s="75"/>
      <c r="L375" s="75"/>
      <c r="M375" s="75"/>
      <c r="N375" s="75"/>
      <c r="O375" s="97">
        <v>1</v>
      </c>
      <c r="P375" s="108"/>
      <c r="Q375" s="109"/>
      <c r="R375" s="109">
        <v>1</v>
      </c>
      <c r="S375" s="100"/>
      <c r="T375" s="106"/>
      <c r="U375" s="137"/>
      <c r="V375" s="100"/>
      <c r="W375" s="100"/>
      <c r="X375" s="100"/>
      <c r="Y375" s="110"/>
      <c r="Z375" s="110">
        <v>1</v>
      </c>
      <c r="AA375" s="100"/>
      <c r="AB375" s="109">
        <v>1</v>
      </c>
      <c r="AC375" s="109"/>
      <c r="AD375" s="108"/>
      <c r="AE375" s="109"/>
      <c r="AF375" s="109"/>
      <c r="AG375" s="108"/>
      <c r="AH375" s="111"/>
      <c r="AI375" s="100"/>
      <c r="AJ375" s="110"/>
      <c r="AK375" s="11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1:46" ht="16.3">
      <c r="A376" s="246" t="s">
        <v>2</v>
      </c>
      <c r="B376" s="274">
        <f>SUM(J376+K376+L376+M376+N376+S376+V376+W376+X376+AA376+AI376+AJ376+AI376+AM376+AP376+AQ376+AS376+AT376+AU376+AV376)</f>
        <v>0</v>
      </c>
      <c r="C376" s="215">
        <f t="shared" ref="C376:C379" si="59">B376</f>
        <v>0</v>
      </c>
      <c r="D376" s="133"/>
      <c r="E376" s="134"/>
      <c r="F376" s="135"/>
      <c r="G376" s="136"/>
      <c r="H376" s="96">
        <v>1</v>
      </c>
      <c r="I376" s="105"/>
      <c r="J376" s="104"/>
      <c r="K376" s="75"/>
      <c r="L376" s="75"/>
      <c r="M376" s="75"/>
      <c r="N376" s="75"/>
      <c r="O376" s="97"/>
      <c r="P376" s="108"/>
      <c r="Q376" s="109">
        <v>1</v>
      </c>
      <c r="R376" s="109"/>
      <c r="S376" s="100"/>
      <c r="T376" s="106"/>
      <c r="U376" s="137"/>
      <c r="V376" s="100"/>
      <c r="W376" s="100"/>
      <c r="X376" s="100"/>
      <c r="Y376" s="110"/>
      <c r="Z376" s="110"/>
      <c r="AA376" s="100"/>
      <c r="AB376" s="109"/>
      <c r="AC376" s="109"/>
      <c r="AD376" s="108"/>
      <c r="AE376" s="109"/>
      <c r="AF376" s="109"/>
      <c r="AG376" s="108"/>
      <c r="AH376" s="111"/>
      <c r="AI376" s="100"/>
      <c r="AJ376" s="110"/>
      <c r="AK376" s="11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1:46" ht="16.3">
      <c r="A377" s="83" t="s">
        <v>363</v>
      </c>
      <c r="B377" s="273">
        <f>SUM(B375+B376)</f>
        <v>0</v>
      </c>
      <c r="C377" s="214">
        <f t="shared" si="59"/>
        <v>0</v>
      </c>
      <c r="D377" s="133"/>
      <c r="E377" s="134"/>
      <c r="F377" s="135"/>
      <c r="G377" s="136"/>
      <c r="H377" s="96"/>
      <c r="I377" s="105"/>
      <c r="J377" s="104"/>
      <c r="K377" s="75"/>
      <c r="L377" s="75"/>
      <c r="M377" s="75"/>
      <c r="N377" s="75"/>
      <c r="O377" s="97"/>
      <c r="P377" s="108"/>
      <c r="Q377" s="109"/>
      <c r="R377" s="109"/>
      <c r="S377" s="100"/>
      <c r="T377" s="106"/>
      <c r="U377" s="137"/>
      <c r="V377" s="100"/>
      <c r="W377" s="100"/>
      <c r="X377" s="100"/>
      <c r="Y377" s="110"/>
      <c r="Z377" s="110"/>
      <c r="AA377" s="100"/>
      <c r="AB377" s="109"/>
      <c r="AC377" s="109"/>
      <c r="AD377" s="108"/>
      <c r="AE377" s="109"/>
      <c r="AF377" s="109"/>
      <c r="AG377" s="108"/>
      <c r="AH377" s="111"/>
      <c r="AI377" s="100"/>
      <c r="AJ377" s="110"/>
      <c r="AK377" s="11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1:46" ht="16.3">
      <c r="A378" s="83" t="s">
        <v>3</v>
      </c>
      <c r="B378" s="273">
        <f>SUM(J378+K378+L378+M378+N378+S378+V378+W378+X378+AA378+AI378+AJ378+AI378+AM378+AP378+AQ378+AS378+AT378+AU378+AV378)</f>
        <v>0</v>
      </c>
      <c r="C378" s="214">
        <f t="shared" si="59"/>
        <v>0</v>
      </c>
      <c r="D378" s="133"/>
      <c r="E378" s="134"/>
      <c r="F378" s="135"/>
      <c r="G378" s="136"/>
      <c r="H378" s="96"/>
      <c r="I378" s="105"/>
      <c r="J378" s="104"/>
      <c r="K378" s="75"/>
      <c r="L378" s="75"/>
      <c r="M378" s="75"/>
      <c r="N378" s="75"/>
      <c r="O378" s="97"/>
      <c r="P378" s="108"/>
      <c r="Q378" s="109"/>
      <c r="R378" s="109"/>
      <c r="S378" s="100"/>
      <c r="T378" s="106"/>
      <c r="U378" s="137"/>
      <c r="V378" s="100"/>
      <c r="W378" s="100"/>
      <c r="X378" s="100"/>
      <c r="Y378" s="110"/>
      <c r="Z378" s="110"/>
      <c r="AA378" s="100"/>
      <c r="AB378" s="109"/>
      <c r="AC378" s="109"/>
      <c r="AD378" s="108"/>
      <c r="AE378" s="109"/>
      <c r="AF378" s="109"/>
      <c r="AG378" s="108"/>
      <c r="AH378" s="111"/>
      <c r="AI378" s="100"/>
      <c r="AJ378" s="110"/>
      <c r="AK378" s="11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1:46" ht="17" thickBot="1">
      <c r="A379" s="85" t="s">
        <v>4</v>
      </c>
      <c r="B379" s="275">
        <f>SUM(J379+K379+L379+M379+N379+S379+V379+W379+X379+AA379+AI379+AJ379+AI379+AM379+AP379+AQ379+AS379+AT379+AU379+AV379)</f>
        <v>0</v>
      </c>
      <c r="C379" s="217">
        <f t="shared" si="59"/>
        <v>0</v>
      </c>
      <c r="D379" s="144"/>
      <c r="E379" s="145"/>
      <c r="F379" s="146"/>
      <c r="G379" s="147"/>
      <c r="H379" s="114"/>
      <c r="I379" s="127"/>
      <c r="J379" s="113"/>
      <c r="K379" s="112"/>
      <c r="L379" s="112"/>
      <c r="M379" s="112"/>
      <c r="N379" s="112"/>
      <c r="O379" s="115"/>
      <c r="P379" s="117"/>
      <c r="Q379" s="118"/>
      <c r="R379" s="118"/>
      <c r="S379" s="116"/>
      <c r="T379" s="119"/>
      <c r="U379" s="148"/>
      <c r="V379" s="116"/>
      <c r="W379" s="116"/>
      <c r="X379" s="116"/>
      <c r="Y379" s="120"/>
      <c r="Z379" s="120"/>
      <c r="AA379" s="116"/>
      <c r="AB379" s="118"/>
      <c r="AC379" s="118"/>
      <c r="AD379" s="117"/>
      <c r="AE379" s="118"/>
      <c r="AF379" s="118"/>
      <c r="AG379" s="117"/>
      <c r="AH379" s="121"/>
      <c r="AI379" s="116"/>
      <c r="AJ379" s="120"/>
      <c r="AK379" s="120"/>
      <c r="AL379" s="116"/>
      <c r="AM379" s="116"/>
      <c r="AN379" s="116"/>
      <c r="AO379" s="116"/>
      <c r="AP379" s="116"/>
      <c r="AQ379" s="116"/>
      <c r="AR379" s="116"/>
      <c r="AS379" s="116"/>
      <c r="AT379" s="116"/>
    </row>
    <row r="380" spans="1:46" ht="21.1">
      <c r="A380" s="82" t="s">
        <v>336</v>
      </c>
      <c r="B380" s="273"/>
      <c r="C380" s="214"/>
      <c r="D380" s="133"/>
      <c r="E380" s="134"/>
      <c r="F380" s="135"/>
      <c r="G380" s="136"/>
      <c r="H380" s="96"/>
      <c r="I380" s="105"/>
      <c r="J380" s="104"/>
      <c r="K380" s="75"/>
      <c r="L380" s="75"/>
      <c r="M380" s="75"/>
      <c r="N380" s="75"/>
      <c r="O380" s="97">
        <v>6</v>
      </c>
      <c r="P380" s="108"/>
      <c r="Q380" s="109"/>
      <c r="R380" s="109" t="s">
        <v>375</v>
      </c>
      <c r="S380" s="100"/>
      <c r="T380" s="106"/>
      <c r="U380" s="137"/>
      <c r="V380" s="100"/>
      <c r="W380" s="100"/>
      <c r="X380" s="100" t="s">
        <v>375</v>
      </c>
      <c r="Y380" s="110"/>
      <c r="Z380" s="110"/>
      <c r="AA380" s="100"/>
      <c r="AB380" s="109"/>
      <c r="AC380" s="109" t="s">
        <v>984</v>
      </c>
      <c r="AD380" s="108"/>
      <c r="AE380" s="109"/>
      <c r="AF380" s="109"/>
      <c r="AG380" s="108"/>
      <c r="AH380" s="111"/>
      <c r="AI380" s="100"/>
      <c r="AJ380" s="110"/>
      <c r="AK380" s="11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1:46" ht="16.3">
      <c r="A381" s="246" t="s">
        <v>1</v>
      </c>
      <c r="B381" s="274">
        <f>SUM(J381+K381+L381+M381+N381+S381+V381+W381+X381+AA381+AI381+AJ381+AI381+AM381+AP381+AQ381+AS381+AT381+AU381+AV381+AN381)</f>
        <v>0</v>
      </c>
      <c r="C381" s="215">
        <f>B381</f>
        <v>0</v>
      </c>
      <c r="D381" s="133"/>
      <c r="E381" s="134"/>
      <c r="F381" s="135"/>
      <c r="G381" s="136"/>
      <c r="H381" s="96"/>
      <c r="I381" s="105"/>
      <c r="J381" s="104"/>
      <c r="K381" s="75"/>
      <c r="L381" s="75"/>
      <c r="M381" s="75"/>
      <c r="N381" s="75"/>
      <c r="O381" s="97">
        <v>1</v>
      </c>
      <c r="P381" s="108"/>
      <c r="Q381" s="109"/>
      <c r="R381" s="109"/>
      <c r="S381" s="100"/>
      <c r="T381" s="106"/>
      <c r="U381" s="137"/>
      <c r="V381" s="100"/>
      <c r="W381" s="100"/>
      <c r="X381" s="100"/>
      <c r="Y381" s="110"/>
      <c r="Z381" s="110"/>
      <c r="AA381" s="100"/>
      <c r="AB381" s="109"/>
      <c r="AC381" s="109"/>
      <c r="AD381" s="108"/>
      <c r="AE381" s="109"/>
      <c r="AF381" s="109"/>
      <c r="AG381" s="108"/>
      <c r="AH381" s="111"/>
      <c r="AI381" s="100"/>
      <c r="AJ381" s="110"/>
      <c r="AK381" s="11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1:46" ht="16.3">
      <c r="A382" s="246" t="s">
        <v>2</v>
      </c>
      <c r="B382" s="274">
        <f>SUM(J382+K382+L382+M382+N382+S382+V382+W382+X382+AA382+AI382+AJ382+AI382+AM382+AP382+AQ382+AS382+AT382+AU382+AV382)</f>
        <v>1</v>
      </c>
      <c r="C382" s="215">
        <f t="shared" ref="C382:C385" si="60">B382</f>
        <v>1</v>
      </c>
      <c r="D382" s="133"/>
      <c r="E382" s="134"/>
      <c r="F382" s="135"/>
      <c r="G382" s="136"/>
      <c r="H382" s="96"/>
      <c r="I382" s="105"/>
      <c r="J382" s="104"/>
      <c r="K382" s="75"/>
      <c r="L382" s="75"/>
      <c r="M382" s="75"/>
      <c r="N382" s="75"/>
      <c r="O382" s="97"/>
      <c r="P382" s="108"/>
      <c r="Q382" s="109"/>
      <c r="R382" s="109">
        <v>1</v>
      </c>
      <c r="S382" s="100"/>
      <c r="T382" s="106"/>
      <c r="U382" s="137"/>
      <c r="V382" s="100"/>
      <c r="W382" s="100"/>
      <c r="X382" s="100">
        <v>1</v>
      </c>
      <c r="Y382" s="110"/>
      <c r="Z382" s="110"/>
      <c r="AA382" s="100"/>
      <c r="AB382" s="109"/>
      <c r="AC382" s="109"/>
      <c r="AD382" s="108"/>
      <c r="AE382" s="109"/>
      <c r="AF382" s="109"/>
      <c r="AG382" s="108"/>
      <c r="AH382" s="111"/>
      <c r="AI382" s="100"/>
      <c r="AJ382" s="110"/>
      <c r="AK382" s="11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1:46" ht="16.3">
      <c r="A383" s="83" t="s">
        <v>363</v>
      </c>
      <c r="B383" s="273">
        <f>SUM(B381+B382)</f>
        <v>1</v>
      </c>
      <c r="C383" s="214">
        <f t="shared" si="60"/>
        <v>1</v>
      </c>
      <c r="D383" s="133"/>
      <c r="E383" s="134"/>
      <c r="F383" s="135"/>
      <c r="G383" s="136"/>
      <c r="H383" s="96"/>
      <c r="I383" s="105"/>
      <c r="J383" s="104"/>
      <c r="K383" s="75"/>
      <c r="L383" s="75"/>
      <c r="M383" s="75"/>
      <c r="N383" s="75"/>
      <c r="O383" s="97"/>
      <c r="P383" s="108"/>
      <c r="Q383" s="109"/>
      <c r="R383" s="109"/>
      <c r="S383" s="100"/>
      <c r="T383" s="106"/>
      <c r="U383" s="137"/>
      <c r="V383" s="100"/>
      <c r="W383" s="100"/>
      <c r="X383" s="100"/>
      <c r="Y383" s="110"/>
      <c r="Z383" s="110"/>
      <c r="AA383" s="100"/>
      <c r="AB383" s="109"/>
      <c r="AC383" s="109"/>
      <c r="AD383" s="108"/>
      <c r="AE383" s="109"/>
      <c r="AF383" s="109"/>
      <c r="AG383" s="108"/>
      <c r="AH383" s="111"/>
      <c r="AI383" s="100"/>
      <c r="AJ383" s="110"/>
      <c r="AK383" s="11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1:46" ht="16.3">
      <c r="A384" s="83" t="s">
        <v>3</v>
      </c>
      <c r="B384" s="273">
        <f>SUM(J384+K384+L384+M384+N384+S384+V384+W384+X384+AA384+AI384+AJ384+AI384+AM384+AP384+AQ384+AS384+AT384+AU384+AV384)</f>
        <v>0</v>
      </c>
      <c r="C384" s="214">
        <f t="shared" si="60"/>
        <v>0</v>
      </c>
      <c r="D384" s="133"/>
      <c r="E384" s="134"/>
      <c r="F384" s="135"/>
      <c r="G384" s="136"/>
      <c r="H384" s="96"/>
      <c r="I384" s="105"/>
      <c r="J384" s="104"/>
      <c r="K384" s="75"/>
      <c r="L384" s="75"/>
      <c r="M384" s="75"/>
      <c r="N384" s="75"/>
      <c r="O384" s="97"/>
      <c r="P384" s="108"/>
      <c r="Q384" s="109"/>
      <c r="R384" s="109"/>
      <c r="S384" s="100"/>
      <c r="T384" s="106"/>
      <c r="U384" s="137"/>
      <c r="V384" s="100"/>
      <c r="W384" s="100"/>
      <c r="X384" s="100"/>
      <c r="Y384" s="110"/>
      <c r="Z384" s="110"/>
      <c r="AA384" s="100"/>
      <c r="AB384" s="109"/>
      <c r="AC384" s="109"/>
      <c r="AD384" s="108"/>
      <c r="AE384" s="109"/>
      <c r="AF384" s="109"/>
      <c r="AG384" s="108"/>
      <c r="AH384" s="111"/>
      <c r="AI384" s="100"/>
      <c r="AJ384" s="110"/>
      <c r="AK384" s="11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1:46" ht="17" thickBot="1">
      <c r="A385" s="85" t="s">
        <v>4</v>
      </c>
      <c r="B385" s="275">
        <f>SUM(J385+K385+L385+M385+N385+S385+V385+W385+X385+AA385+AI385+AJ385+AI385+AM385+AP385+AQ385+AS385+AT385+AU385+AV385)</f>
        <v>0</v>
      </c>
      <c r="C385" s="217">
        <f t="shared" si="60"/>
        <v>0</v>
      </c>
      <c r="D385" s="144"/>
      <c r="E385" s="145"/>
      <c r="F385" s="146"/>
      <c r="G385" s="147"/>
      <c r="H385" s="114"/>
      <c r="I385" s="127"/>
      <c r="J385" s="113"/>
      <c r="K385" s="112"/>
      <c r="L385" s="112"/>
      <c r="M385" s="112"/>
      <c r="N385" s="112"/>
      <c r="O385" s="115"/>
      <c r="P385" s="117"/>
      <c r="Q385" s="118"/>
      <c r="R385" s="118"/>
      <c r="S385" s="116"/>
      <c r="T385" s="119"/>
      <c r="U385" s="148"/>
      <c r="V385" s="116"/>
      <c r="W385" s="116"/>
      <c r="X385" s="116"/>
      <c r="Y385" s="120"/>
      <c r="Z385" s="120"/>
      <c r="AA385" s="116"/>
      <c r="AB385" s="118"/>
      <c r="AC385" s="118"/>
      <c r="AD385" s="117"/>
      <c r="AE385" s="118"/>
      <c r="AF385" s="118"/>
      <c r="AG385" s="117"/>
      <c r="AH385" s="121"/>
      <c r="AI385" s="116"/>
      <c r="AJ385" s="120"/>
      <c r="AK385" s="120"/>
      <c r="AL385" s="116"/>
      <c r="AM385" s="116"/>
      <c r="AN385" s="116"/>
      <c r="AO385" s="116"/>
      <c r="AP385" s="116"/>
      <c r="AQ385" s="116"/>
      <c r="AR385" s="116"/>
      <c r="AS385" s="116"/>
      <c r="AT385" s="116"/>
    </row>
    <row r="386" spans="1:46" ht="21.1">
      <c r="A386" s="86" t="s">
        <v>277</v>
      </c>
      <c r="B386" s="273"/>
      <c r="C386" s="214"/>
      <c r="D386" s="133"/>
      <c r="E386" s="134"/>
      <c r="F386" s="135"/>
      <c r="G386" s="136"/>
      <c r="H386" s="96" t="s">
        <v>689</v>
      </c>
      <c r="I386" s="105"/>
      <c r="J386" s="75" t="s">
        <v>689</v>
      </c>
      <c r="K386" s="75" t="s">
        <v>689</v>
      </c>
      <c r="L386" s="75" t="s">
        <v>339</v>
      </c>
      <c r="M386" s="75" t="s">
        <v>339</v>
      </c>
      <c r="N386" s="75" t="s">
        <v>375</v>
      </c>
      <c r="O386" s="97"/>
      <c r="P386" s="108"/>
      <c r="Q386" s="109" t="s">
        <v>374</v>
      </c>
      <c r="R386" s="109"/>
      <c r="S386" s="100" t="s">
        <v>374</v>
      </c>
      <c r="T386" s="106" t="s">
        <v>339</v>
      </c>
      <c r="U386" s="137" t="s">
        <v>339</v>
      </c>
      <c r="V386" s="100" t="s">
        <v>375</v>
      </c>
      <c r="W386" s="100" t="s">
        <v>339</v>
      </c>
      <c r="X386" s="100" t="s">
        <v>339</v>
      </c>
      <c r="Y386" s="110" t="s">
        <v>339</v>
      </c>
      <c r="Z386" s="110" t="s">
        <v>339</v>
      </c>
      <c r="AA386" s="100" t="s">
        <v>339</v>
      </c>
      <c r="AB386" s="109" t="s">
        <v>374</v>
      </c>
      <c r="AC386" s="109" t="s">
        <v>374</v>
      </c>
      <c r="AD386" s="108"/>
      <c r="AE386" s="109"/>
      <c r="AF386" s="109" t="s">
        <v>374</v>
      </c>
      <c r="AG386" s="108"/>
      <c r="AH386" s="111"/>
      <c r="AI386" s="100"/>
      <c r="AJ386" s="110"/>
      <c r="AK386" s="11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1:46" ht="16.3">
      <c r="A387" s="246" t="s">
        <v>1</v>
      </c>
      <c r="B387" s="274">
        <f>SUM(J387+K387+L387+M387+N387+S387+V387+W387+X387+AA387+AI387+AJ387+AI387+AM387+AP387+AQ387+AS387+AT387+AU387+AV387+AN387)+79</f>
        <v>80</v>
      </c>
      <c r="C387" s="215">
        <f>B387</f>
        <v>80</v>
      </c>
      <c r="D387" s="133"/>
      <c r="E387" s="134"/>
      <c r="F387" s="135"/>
      <c r="G387" s="136"/>
      <c r="H387" s="96"/>
      <c r="I387" s="105"/>
      <c r="J387" s="104"/>
      <c r="K387" s="75"/>
      <c r="L387" s="75"/>
      <c r="M387" s="75"/>
      <c r="N387" s="75"/>
      <c r="O387" s="97"/>
      <c r="P387" s="108"/>
      <c r="Q387" s="109">
        <v>1</v>
      </c>
      <c r="R387" s="109"/>
      <c r="S387" s="100">
        <v>1</v>
      </c>
      <c r="T387" s="106"/>
      <c r="U387" s="137"/>
      <c r="V387" s="100"/>
      <c r="W387" s="100"/>
      <c r="X387" s="100"/>
      <c r="Y387" s="110"/>
      <c r="Z387" s="110"/>
      <c r="AA387" s="100"/>
      <c r="AB387" s="109">
        <v>1</v>
      </c>
      <c r="AC387" s="109">
        <v>1</v>
      </c>
      <c r="AD387" s="108"/>
      <c r="AE387" s="109"/>
      <c r="AF387" s="109">
        <v>1</v>
      </c>
      <c r="AG387" s="108"/>
      <c r="AH387" s="111"/>
      <c r="AI387" s="100"/>
      <c r="AJ387" s="110"/>
      <c r="AK387" s="11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1:46" ht="16.3">
      <c r="A388" s="246" t="s">
        <v>2</v>
      </c>
      <c r="B388" s="274">
        <f>SUM(J388+K388+L388+M388+N388+S388+V388+W388+X388+AA388+AI388+AJ388+AI388+AM388+AP388+AQ388+AS388+AT388+AU388+AV388)+8</f>
        <v>10</v>
      </c>
      <c r="C388" s="215">
        <f t="shared" ref="C388:C391" si="61">B388</f>
        <v>10</v>
      </c>
      <c r="D388" s="133"/>
      <c r="E388" s="134"/>
      <c r="F388" s="135"/>
      <c r="G388" s="136"/>
      <c r="H388" s="96"/>
      <c r="I388" s="105"/>
      <c r="J388" s="104"/>
      <c r="K388" s="75"/>
      <c r="L388" s="75"/>
      <c r="M388" s="75"/>
      <c r="N388" s="75">
        <v>1</v>
      </c>
      <c r="O388" s="97"/>
      <c r="P388" s="108"/>
      <c r="Q388" s="109"/>
      <c r="R388" s="109"/>
      <c r="S388" s="100"/>
      <c r="T388" s="106"/>
      <c r="U388" s="137"/>
      <c r="V388" s="100">
        <v>1</v>
      </c>
      <c r="W388" s="100"/>
      <c r="X388" s="100"/>
      <c r="Y388" s="110"/>
      <c r="Z388" s="110"/>
      <c r="AA388" s="100"/>
      <c r="AB388" s="109"/>
      <c r="AC388" s="109"/>
      <c r="AD388" s="108"/>
      <c r="AE388" s="109"/>
      <c r="AF388" s="109"/>
      <c r="AG388" s="108"/>
      <c r="AH388" s="111"/>
      <c r="AI388" s="100"/>
      <c r="AJ388" s="110"/>
      <c r="AK388" s="11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1:46" ht="16.3">
      <c r="A389" s="83" t="s">
        <v>363</v>
      </c>
      <c r="B389" s="273">
        <f>SUM(B387+B388)</f>
        <v>90</v>
      </c>
      <c r="C389" s="214">
        <f t="shared" si="61"/>
        <v>90</v>
      </c>
      <c r="D389" s="133"/>
      <c r="E389" s="134"/>
      <c r="F389" s="135"/>
      <c r="G389" s="136"/>
      <c r="H389" s="96"/>
      <c r="I389" s="105"/>
      <c r="J389" s="104"/>
      <c r="K389" s="75"/>
      <c r="L389" s="75"/>
      <c r="M389" s="75"/>
      <c r="N389" s="75"/>
      <c r="O389" s="97"/>
      <c r="P389" s="108"/>
      <c r="Q389" s="109"/>
      <c r="R389" s="109"/>
      <c r="S389" s="100"/>
      <c r="T389" s="106"/>
      <c r="U389" s="137"/>
      <c r="V389" s="100"/>
      <c r="W389" s="100"/>
      <c r="X389" s="100"/>
      <c r="Y389" s="110"/>
      <c r="Z389" s="110"/>
      <c r="AA389" s="100"/>
      <c r="AB389" s="109"/>
      <c r="AC389" s="109"/>
      <c r="AD389" s="108"/>
      <c r="AE389" s="109"/>
      <c r="AF389" s="109"/>
      <c r="AG389" s="108"/>
      <c r="AH389" s="111"/>
      <c r="AI389" s="100"/>
      <c r="AJ389" s="110"/>
      <c r="AK389" s="11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1:46" ht="16.3">
      <c r="A390" s="246" t="s">
        <v>362</v>
      </c>
      <c r="B390" s="274">
        <f>SUM(J390+K390+L390+M390+N390+S390+V390+W390+X390+AA390+AI390+AJ390+AI390+AM390+AP390+AQ390+AS390+AT390+AU390+AV390)+1</f>
        <v>1</v>
      </c>
      <c r="C390" s="215">
        <f t="shared" si="61"/>
        <v>1</v>
      </c>
      <c r="D390" s="133"/>
      <c r="E390" s="134"/>
      <c r="F390" s="135"/>
      <c r="G390" s="136"/>
      <c r="H390" s="96"/>
      <c r="I390" s="105"/>
      <c r="J390" s="104"/>
      <c r="K390" s="75"/>
      <c r="L390" s="75"/>
      <c r="M390" s="75"/>
      <c r="N390" s="75"/>
      <c r="O390" s="97"/>
      <c r="P390" s="108"/>
      <c r="Q390" s="109"/>
      <c r="R390" s="109"/>
      <c r="S390" s="100"/>
      <c r="T390" s="106"/>
      <c r="U390" s="137"/>
      <c r="V390" s="100"/>
      <c r="W390" s="100"/>
      <c r="X390" s="100"/>
      <c r="Y390" s="110"/>
      <c r="Z390" s="110"/>
      <c r="AA390" s="100"/>
      <c r="AB390" s="109"/>
      <c r="AC390" s="109"/>
      <c r="AD390" s="108"/>
      <c r="AE390" s="109"/>
      <c r="AF390" s="109"/>
      <c r="AG390" s="108"/>
      <c r="AH390" s="111"/>
      <c r="AI390" s="100"/>
      <c r="AJ390" s="110"/>
      <c r="AK390" s="11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1:46" ht="16.3">
      <c r="A391" s="83" t="s">
        <v>3</v>
      </c>
      <c r="B391" s="273">
        <f>SUM(J391+K391+L391+M391+N391+S391+V391+W391+X391+AA391+AI391+AJ391+AI391+AM391+AP391+AQ391+AS391+AT391+AU391+AV391)+19</f>
        <v>19</v>
      </c>
      <c r="C391" s="214">
        <f t="shared" si="61"/>
        <v>19</v>
      </c>
      <c r="D391" s="133"/>
      <c r="E391" s="134"/>
      <c r="F391" s="135"/>
      <c r="G391" s="136"/>
      <c r="H391" s="96"/>
      <c r="I391" s="105"/>
      <c r="J391" s="104"/>
      <c r="K391" s="75"/>
      <c r="L391" s="75"/>
      <c r="M391" s="75"/>
      <c r="N391" s="75"/>
      <c r="O391" s="97"/>
      <c r="P391" s="108"/>
      <c r="Q391" s="109"/>
      <c r="R391" s="109"/>
      <c r="S391" s="100"/>
      <c r="T391" s="106"/>
      <c r="U391" s="137"/>
      <c r="V391" s="100"/>
      <c r="W391" s="100"/>
      <c r="X391" s="100"/>
      <c r="Y391" s="110"/>
      <c r="Z391" s="110"/>
      <c r="AA391" s="100"/>
      <c r="AB391" s="109"/>
      <c r="AC391" s="109"/>
      <c r="AD391" s="108"/>
      <c r="AE391" s="109"/>
      <c r="AF391" s="109">
        <v>1</v>
      </c>
      <c r="AG391" s="108"/>
      <c r="AH391" s="111"/>
      <c r="AI391" s="100"/>
      <c r="AJ391" s="110"/>
      <c r="AK391" s="11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1:46" ht="17" thickBot="1">
      <c r="A392" s="83" t="s">
        <v>4</v>
      </c>
      <c r="B392" s="275">
        <f>SUM(J392+K392+L392+M392+N392+S392+V392+W392+X392+AA392+AI392+AJ392+AI392+AM392+AP392+AQ392+AS392+AT392+AU392+AV392)+95</f>
        <v>95</v>
      </c>
      <c r="C392" s="217">
        <f t="shared" ref="C392" si="62">B392</f>
        <v>95</v>
      </c>
      <c r="D392" s="144"/>
      <c r="E392" s="145"/>
      <c r="F392" s="146"/>
      <c r="G392" s="147"/>
      <c r="H392" s="96"/>
      <c r="I392" s="105"/>
      <c r="J392" s="104"/>
      <c r="K392" s="75"/>
      <c r="L392" s="75"/>
      <c r="M392" s="75"/>
      <c r="N392" s="75"/>
      <c r="O392" s="97"/>
      <c r="P392" s="108"/>
      <c r="Q392" s="109"/>
      <c r="R392" s="109"/>
      <c r="S392" s="100"/>
      <c r="T392" s="106"/>
      <c r="U392" s="137"/>
      <c r="V392" s="100"/>
      <c r="W392" s="100"/>
      <c r="X392" s="100"/>
      <c r="Y392" s="110"/>
      <c r="Z392" s="110"/>
      <c r="AA392" s="100"/>
      <c r="AB392" s="109"/>
      <c r="AC392" s="109"/>
      <c r="AD392" s="108"/>
      <c r="AE392" s="109"/>
      <c r="AF392" s="109">
        <v>5</v>
      </c>
      <c r="AG392" s="108"/>
      <c r="AH392" s="111"/>
      <c r="AI392" s="100"/>
      <c r="AJ392" s="110"/>
      <c r="AK392" s="11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1:46" ht="21.1">
      <c r="A393" s="86" t="s">
        <v>334</v>
      </c>
      <c r="B393" s="279"/>
      <c r="C393" s="227"/>
      <c r="D393" s="158"/>
      <c r="E393" s="158"/>
      <c r="F393" s="96"/>
      <c r="G393" s="75"/>
      <c r="H393" s="124"/>
      <c r="I393" s="180"/>
      <c r="J393" s="123"/>
      <c r="K393" s="122"/>
      <c r="L393" s="122"/>
      <c r="M393" s="122"/>
      <c r="N393" s="122"/>
      <c r="O393" s="125" t="s">
        <v>375</v>
      </c>
      <c r="P393" s="98"/>
      <c r="Q393" s="99"/>
      <c r="R393" s="99" t="s">
        <v>375</v>
      </c>
      <c r="S393" s="102"/>
      <c r="T393" s="181"/>
      <c r="U393" s="157"/>
      <c r="V393" s="102"/>
      <c r="W393" s="102"/>
      <c r="X393" s="102"/>
      <c r="Y393" s="101"/>
      <c r="Z393" s="101"/>
      <c r="AA393" s="102"/>
      <c r="AB393" s="99"/>
      <c r="AC393" s="99"/>
      <c r="AD393" s="98"/>
      <c r="AE393" s="99"/>
      <c r="AF393" s="99"/>
      <c r="AG393" s="98"/>
      <c r="AH393" s="103"/>
      <c r="AI393" s="102"/>
      <c r="AJ393" s="101"/>
      <c r="AK393" s="101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1:46" ht="16.3">
      <c r="A394" s="246" t="s">
        <v>1</v>
      </c>
      <c r="B394" s="285">
        <f>SUM(J394+K394+L394+M394+N394+S394+V394+W394+X394+AA394+AI394+AJ394+AI394+AM394+AP394+AQ394+AS394+AT394+AU394+AV394+AN394)</f>
        <v>0</v>
      </c>
      <c r="C394" s="231">
        <f>B394</f>
        <v>0</v>
      </c>
      <c r="D394" s="159"/>
      <c r="E394" s="158"/>
      <c r="F394" s="96"/>
      <c r="G394" s="75"/>
      <c r="H394" s="96"/>
      <c r="I394" s="105"/>
      <c r="J394" s="104"/>
      <c r="K394" s="75"/>
      <c r="L394" s="75"/>
      <c r="M394" s="75"/>
      <c r="N394" s="75"/>
      <c r="O394" s="97"/>
      <c r="P394" s="108"/>
      <c r="Q394" s="109"/>
      <c r="R394" s="109"/>
      <c r="S394" s="100"/>
      <c r="T394" s="106"/>
      <c r="U394" s="137"/>
      <c r="V394" s="100"/>
      <c r="W394" s="100"/>
      <c r="X394" s="100"/>
      <c r="Y394" s="110"/>
      <c r="Z394" s="110"/>
      <c r="AA394" s="100"/>
      <c r="AB394" s="109"/>
      <c r="AC394" s="109"/>
      <c r="AD394" s="108"/>
      <c r="AE394" s="109"/>
      <c r="AF394" s="109"/>
      <c r="AG394" s="108"/>
      <c r="AH394" s="111"/>
      <c r="AI394" s="100"/>
      <c r="AJ394" s="110"/>
      <c r="AK394" s="11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1:46" ht="16.3">
      <c r="A395" s="246" t="s">
        <v>2</v>
      </c>
      <c r="B395" s="285">
        <f>SUM(J395+K395+L395+M395+N395+S395+V395+W395+X395+AA395+AI395+AJ395+AI395+AM395+AP395+AQ395+AS395+AT395+AU395+AV395)</f>
        <v>0</v>
      </c>
      <c r="C395" s="231">
        <f t="shared" ref="C395:C398" si="63">B395</f>
        <v>0</v>
      </c>
      <c r="D395" s="159"/>
      <c r="E395" s="158"/>
      <c r="F395" s="96"/>
      <c r="G395" s="75"/>
      <c r="H395" s="96"/>
      <c r="I395" s="105"/>
      <c r="J395" s="104"/>
      <c r="K395" s="75"/>
      <c r="L395" s="75"/>
      <c r="M395" s="75"/>
      <c r="N395" s="75"/>
      <c r="O395" s="97">
        <v>1</v>
      </c>
      <c r="P395" s="108"/>
      <c r="Q395" s="109"/>
      <c r="R395" s="109">
        <v>1</v>
      </c>
      <c r="S395" s="100"/>
      <c r="T395" s="106"/>
      <c r="U395" s="137"/>
      <c r="V395" s="100"/>
      <c r="W395" s="100"/>
      <c r="X395" s="100"/>
      <c r="Y395" s="110"/>
      <c r="Z395" s="110"/>
      <c r="AA395" s="100"/>
      <c r="AB395" s="109"/>
      <c r="AC395" s="109"/>
      <c r="AD395" s="108"/>
      <c r="AE395" s="109"/>
      <c r="AF395" s="109"/>
      <c r="AG395" s="108"/>
      <c r="AH395" s="111"/>
      <c r="AI395" s="100"/>
      <c r="AJ395" s="110"/>
      <c r="AK395" s="11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1:46" ht="16.3">
      <c r="A396" s="83" t="s">
        <v>363</v>
      </c>
      <c r="B396" s="279">
        <f>SUM(B394+B395)</f>
        <v>0</v>
      </c>
      <c r="C396" s="227">
        <f t="shared" si="63"/>
        <v>0</v>
      </c>
      <c r="D396" s="159"/>
      <c r="E396" s="158"/>
      <c r="F396" s="96"/>
      <c r="G396" s="75"/>
      <c r="H396" s="96"/>
      <c r="I396" s="105"/>
      <c r="J396" s="104"/>
      <c r="K396" s="75"/>
      <c r="L396" s="75"/>
      <c r="M396" s="75"/>
      <c r="N396" s="75"/>
      <c r="O396" s="97"/>
      <c r="P396" s="108"/>
      <c r="Q396" s="109"/>
      <c r="R396" s="109"/>
      <c r="S396" s="100"/>
      <c r="T396" s="106"/>
      <c r="U396" s="137"/>
      <c r="V396" s="100"/>
      <c r="W396" s="100"/>
      <c r="X396" s="100"/>
      <c r="Y396" s="110"/>
      <c r="Z396" s="110"/>
      <c r="AA396" s="100"/>
      <c r="AB396" s="109"/>
      <c r="AC396" s="109"/>
      <c r="AD396" s="108"/>
      <c r="AE396" s="109"/>
      <c r="AF396" s="109"/>
      <c r="AG396" s="108"/>
      <c r="AH396" s="111"/>
      <c r="AI396" s="100"/>
      <c r="AJ396" s="110"/>
      <c r="AK396" s="11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1:46" ht="16.3">
      <c r="A397" s="83" t="s">
        <v>3</v>
      </c>
      <c r="B397" s="279">
        <f>SUM(J397+K397+L397+M397+N397+S397+V397+W397+X397+AA397+AI397+AJ397+AI397+AM397+AP397+AQ397+AS397+AT397+AU397+AV397)</f>
        <v>0</v>
      </c>
      <c r="C397" s="227">
        <f t="shared" si="63"/>
        <v>0</v>
      </c>
      <c r="D397" s="159"/>
      <c r="E397" s="158"/>
      <c r="F397" s="96"/>
      <c r="G397" s="75"/>
      <c r="H397" s="96"/>
      <c r="I397" s="105"/>
      <c r="J397" s="104"/>
      <c r="K397" s="75"/>
      <c r="L397" s="75"/>
      <c r="M397" s="75"/>
      <c r="N397" s="75"/>
      <c r="O397" s="97"/>
      <c r="P397" s="108"/>
      <c r="Q397" s="109"/>
      <c r="R397" s="109"/>
      <c r="S397" s="100"/>
      <c r="T397" s="106"/>
      <c r="U397" s="137"/>
      <c r="V397" s="100"/>
      <c r="W397" s="100"/>
      <c r="X397" s="100"/>
      <c r="Y397" s="110"/>
      <c r="Z397" s="110"/>
      <c r="AA397" s="100"/>
      <c r="AB397" s="109"/>
      <c r="AC397" s="109"/>
      <c r="AD397" s="108"/>
      <c r="AE397" s="109"/>
      <c r="AF397" s="109"/>
      <c r="AG397" s="108"/>
      <c r="AH397" s="111"/>
      <c r="AI397" s="100"/>
      <c r="AJ397" s="110"/>
      <c r="AK397" s="11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1:46" ht="17" thickBot="1">
      <c r="A398" s="85" t="s">
        <v>4</v>
      </c>
      <c r="B398" s="280">
        <f>SUM(J398+K398+L398+M398+N398+S398+V398+W398+X398+AA398+AI398+AJ398+AI398+AM398+AP398+AQ398+AS398+AT398+AU398+AV398)</f>
        <v>0</v>
      </c>
      <c r="C398" s="228">
        <f t="shared" si="63"/>
        <v>0</v>
      </c>
      <c r="D398" s="160"/>
      <c r="E398" s="161"/>
      <c r="F398" s="114"/>
      <c r="G398" s="112"/>
      <c r="H398" s="96"/>
      <c r="I398" s="105"/>
      <c r="J398" s="104"/>
      <c r="K398" s="75"/>
      <c r="L398" s="75"/>
      <c r="M398" s="75"/>
      <c r="N398" s="75"/>
      <c r="O398" s="97"/>
      <c r="P398" s="108"/>
      <c r="Q398" s="109"/>
      <c r="R398" s="109"/>
      <c r="S398" s="100"/>
      <c r="T398" s="106"/>
      <c r="U398" s="137"/>
      <c r="V398" s="100"/>
      <c r="W398" s="100"/>
      <c r="X398" s="100"/>
      <c r="Y398" s="110"/>
      <c r="Z398" s="110"/>
      <c r="AA398" s="100"/>
      <c r="AB398" s="109"/>
      <c r="AC398" s="109"/>
      <c r="AD398" s="108"/>
      <c r="AE398" s="109"/>
      <c r="AF398" s="109"/>
      <c r="AG398" s="108"/>
      <c r="AH398" s="111"/>
      <c r="AI398" s="100"/>
      <c r="AJ398" s="110"/>
      <c r="AK398" s="11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1:46" ht="21.1">
      <c r="A399" s="82" t="s">
        <v>8</v>
      </c>
      <c r="B399" s="282"/>
      <c r="C399" s="180"/>
      <c r="D399" s="124"/>
      <c r="E399" s="125"/>
      <c r="F399" s="99"/>
      <c r="G399" s="102"/>
      <c r="H399" s="99"/>
      <c r="I399" s="98"/>
      <c r="J399" s="102"/>
      <c r="K399" s="102"/>
      <c r="L399" s="102"/>
      <c r="M399" s="102"/>
      <c r="N399" s="102"/>
      <c r="O399" s="99"/>
      <c r="P399" s="98"/>
      <c r="Q399" s="99"/>
      <c r="R399" s="99"/>
      <c r="S399" s="102"/>
      <c r="T399" s="101"/>
      <c r="U399" s="101"/>
      <c r="V399" s="102"/>
      <c r="W399" s="102"/>
      <c r="X399" s="102"/>
      <c r="Y399" s="101"/>
      <c r="Z399" s="101"/>
      <c r="AA399" s="102"/>
      <c r="AB399" s="99"/>
      <c r="AC399" s="99"/>
      <c r="AD399" s="98"/>
      <c r="AE399" s="99"/>
      <c r="AF399" s="99"/>
      <c r="AG399" s="98"/>
      <c r="AH399" s="103"/>
      <c r="AI399" s="102"/>
      <c r="AJ399" s="101"/>
      <c r="AK399" s="101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1:46" ht="16.3">
      <c r="A400" s="83" t="s">
        <v>3</v>
      </c>
      <c r="B400" s="283"/>
      <c r="C400" s="105"/>
      <c r="D400" s="96"/>
      <c r="E400" s="97"/>
      <c r="F400" s="109"/>
      <c r="G400" s="100"/>
      <c r="H400" s="109"/>
      <c r="I400" s="108"/>
      <c r="J400" s="100"/>
      <c r="K400" s="100"/>
      <c r="L400" s="100"/>
      <c r="M400" s="100"/>
      <c r="N400" s="100"/>
      <c r="O400" s="109"/>
      <c r="P400" s="108"/>
      <c r="Q400" s="109"/>
      <c r="R400" s="109"/>
      <c r="S400" s="100"/>
      <c r="T400" s="110"/>
      <c r="U400" s="110"/>
      <c r="V400" s="100"/>
      <c r="W400" s="100"/>
      <c r="X400" s="100"/>
      <c r="Y400" s="110"/>
      <c r="Z400" s="110"/>
      <c r="AA400" s="100"/>
      <c r="AB400" s="109"/>
      <c r="AC400" s="109"/>
      <c r="AD400" s="108"/>
      <c r="AE400" s="109"/>
      <c r="AF400" s="109"/>
      <c r="AG400" s="108"/>
      <c r="AH400" s="111"/>
      <c r="AI400" s="100"/>
      <c r="AJ400" s="110"/>
      <c r="AK400" s="11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1:46" ht="17" thickBot="1">
      <c r="A401" s="85" t="s">
        <v>4</v>
      </c>
      <c r="B401" s="284"/>
      <c r="C401" s="233"/>
      <c r="D401" s="114"/>
      <c r="E401" s="115"/>
      <c r="F401" s="118"/>
      <c r="G401" s="112"/>
      <c r="H401" s="118"/>
      <c r="I401" s="117"/>
      <c r="J401" s="116"/>
      <c r="K401" s="116"/>
      <c r="L401" s="116"/>
      <c r="M401" s="116"/>
      <c r="N401" s="116"/>
      <c r="O401" s="118"/>
      <c r="P401" s="117"/>
      <c r="Q401" s="118"/>
      <c r="R401" s="118"/>
      <c r="S401" s="116"/>
      <c r="T401" s="120"/>
      <c r="U401" s="120"/>
      <c r="V401" s="116"/>
      <c r="W401" s="116"/>
      <c r="X401" s="116"/>
      <c r="Y401" s="120"/>
      <c r="Z401" s="120"/>
      <c r="AA401" s="116"/>
      <c r="AB401" s="109"/>
      <c r="AC401" s="118"/>
      <c r="AD401" s="117"/>
      <c r="AE401" s="118"/>
      <c r="AF401" s="118"/>
      <c r="AG401" s="117"/>
      <c r="AH401" s="121"/>
      <c r="AI401" s="116"/>
      <c r="AJ401" s="120"/>
      <c r="AK401" s="120"/>
      <c r="AL401" s="116"/>
      <c r="AM401" s="116"/>
      <c r="AN401" s="116"/>
      <c r="AO401" s="116"/>
      <c r="AP401" s="116"/>
      <c r="AQ401" s="116"/>
      <c r="AR401" s="116"/>
      <c r="AS401" s="116"/>
      <c r="AT401" s="116"/>
    </row>
    <row r="402" spans="1:46">
      <c r="A402" s="450"/>
      <c r="B402" s="862" t="s">
        <v>352</v>
      </c>
      <c r="C402" s="863"/>
      <c r="D402" s="864" t="s">
        <v>350</v>
      </c>
      <c r="E402" s="865"/>
      <c r="F402" s="866" t="s">
        <v>351</v>
      </c>
      <c r="G402" s="867"/>
      <c r="H402" s="389"/>
      <c r="I402" s="323"/>
      <c r="J402" s="323"/>
      <c r="K402" s="323"/>
      <c r="L402" s="323"/>
      <c r="M402" s="323"/>
      <c r="N402" s="323"/>
      <c r="O402" s="323"/>
      <c r="P402" s="323"/>
      <c r="Q402" s="323"/>
      <c r="R402" s="323"/>
      <c r="S402" s="840"/>
      <c r="T402" s="843"/>
      <c r="U402" s="844"/>
      <c r="V402" s="843"/>
      <c r="W402" s="843"/>
      <c r="X402" s="840"/>
      <c r="Y402" s="843"/>
      <c r="Z402" s="844"/>
      <c r="AA402" s="840"/>
      <c r="AB402" s="843"/>
      <c r="AC402" s="840"/>
      <c r="AD402" s="840"/>
      <c r="AE402" s="843"/>
      <c r="AF402" s="843"/>
      <c r="AG402" s="843"/>
      <c r="AH402" s="845"/>
      <c r="AI402" s="843"/>
      <c r="AJ402" s="843"/>
      <c r="AK402" s="843"/>
      <c r="AL402" s="843"/>
      <c r="AM402" s="843"/>
      <c r="AN402" s="843"/>
      <c r="AO402" s="843"/>
      <c r="AP402" s="843"/>
      <c r="AQ402" s="843"/>
      <c r="AR402" s="843"/>
      <c r="AS402" s="846"/>
      <c r="AT402" s="847"/>
    </row>
    <row r="403" spans="1:46" ht="21.75" thickBot="1">
      <c r="A403" s="451" t="s">
        <v>508</v>
      </c>
      <c r="B403" s="281" t="s">
        <v>360</v>
      </c>
      <c r="C403" s="64" t="s">
        <v>349</v>
      </c>
      <c r="D403" s="281" t="s">
        <v>360</v>
      </c>
      <c r="E403" s="455" t="s">
        <v>349</v>
      </c>
      <c r="F403" s="281" t="s">
        <v>360</v>
      </c>
      <c r="G403" s="70" t="s">
        <v>349</v>
      </c>
      <c r="H403" s="392"/>
      <c r="I403" s="324"/>
      <c r="J403" s="324"/>
      <c r="K403" s="324"/>
      <c r="L403" s="324"/>
      <c r="M403" s="324"/>
      <c r="N403" s="324"/>
      <c r="O403" s="324"/>
      <c r="P403" s="324"/>
      <c r="Q403" s="327"/>
      <c r="R403" s="327"/>
      <c r="S403" s="848"/>
      <c r="T403" s="849"/>
      <c r="U403" s="850"/>
      <c r="V403" s="849"/>
      <c r="W403" s="849"/>
      <c r="X403" s="848"/>
      <c r="Y403" s="849"/>
      <c r="Z403" s="850"/>
      <c r="AA403" s="848"/>
      <c r="AB403" s="849"/>
      <c r="AC403" s="849"/>
      <c r="AD403" s="849"/>
      <c r="AE403" s="849"/>
      <c r="AF403" s="849"/>
      <c r="AG403" s="849"/>
      <c r="AH403" s="849"/>
      <c r="AI403" s="849"/>
      <c r="AJ403" s="849"/>
      <c r="AK403" s="851"/>
      <c r="AL403" s="851"/>
      <c r="AM403" s="851"/>
      <c r="AN403" s="851"/>
      <c r="AO403" s="851"/>
      <c r="AP403" s="851"/>
      <c r="AQ403" s="851"/>
      <c r="AR403" s="851"/>
      <c r="AS403" s="851"/>
      <c r="AT403" s="852"/>
    </row>
    <row r="404" spans="1:46">
      <c r="A404" s="301" t="s">
        <v>476</v>
      </c>
      <c r="B404" s="452">
        <f>SUM(J404+K404+L404+M404+N404+S404+V404+W404+X404+AA404+AI404+AJ404+AM404+AN404+AP404+AQ404+AS404+AT404+AU404+AV404)+100</f>
        <v>110</v>
      </c>
      <c r="C404" s="317">
        <f>B404</f>
        <v>110</v>
      </c>
      <c r="D404" s="355">
        <f>SUM(T404+U404+Y404+Z404+AK404+AL404+AO404+AR404)+21</f>
        <v>25</v>
      </c>
      <c r="E404" s="456">
        <f>D404</f>
        <v>25</v>
      </c>
      <c r="F404" s="355">
        <v>2</v>
      </c>
      <c r="G404" s="358">
        <f>F404</f>
        <v>2</v>
      </c>
      <c r="H404" s="491">
        <v>1</v>
      </c>
      <c r="I404" s="530"/>
      <c r="J404" s="305">
        <v>1</v>
      </c>
      <c r="K404" s="305">
        <v>1</v>
      </c>
      <c r="L404" s="303">
        <v>1</v>
      </c>
      <c r="M404" s="362">
        <v>1</v>
      </c>
      <c r="N404" s="305">
        <v>1</v>
      </c>
      <c r="O404" s="491">
        <v>1</v>
      </c>
      <c r="P404" s="530"/>
      <c r="Q404" s="491">
        <v>1</v>
      </c>
      <c r="R404" s="491">
        <v>1</v>
      </c>
      <c r="S404" s="305">
        <v>1</v>
      </c>
      <c r="T404" s="344">
        <v>1</v>
      </c>
      <c r="U404" s="344">
        <v>1</v>
      </c>
      <c r="V404" s="306">
        <v>1</v>
      </c>
      <c r="W404" s="306">
        <v>1</v>
      </c>
      <c r="X404" s="781">
        <v>1</v>
      </c>
      <c r="Y404" s="344">
        <v>1</v>
      </c>
      <c r="Z404" s="344">
        <v>1</v>
      </c>
      <c r="AA404" s="306">
        <v>1</v>
      </c>
      <c r="AB404" s="812">
        <v>1</v>
      </c>
      <c r="AC404" s="815">
        <v>1</v>
      </c>
      <c r="AD404" s="817"/>
      <c r="AE404" s="815">
        <v>1</v>
      </c>
      <c r="AF404" s="815">
        <v>1</v>
      </c>
      <c r="AG404" s="820"/>
      <c r="AH404" s="820"/>
      <c r="AI404" s="306"/>
      <c r="AJ404" s="419"/>
      <c r="AK404" s="831"/>
      <c r="AL404" s="303"/>
      <c r="AM404" s="303"/>
      <c r="AN404" s="440"/>
      <c r="AO404" s="362"/>
      <c r="AP404" s="362"/>
      <c r="AQ404" s="440"/>
      <c r="AR404" s="362"/>
      <c r="AS404" s="362"/>
      <c r="AT404" s="362"/>
    </row>
    <row r="405" spans="1:46">
      <c r="A405" s="304" t="s">
        <v>477</v>
      </c>
      <c r="B405" s="453">
        <f>SUM(J405+K405+L405+M405+N405+S405+V405+W405+X405+AA405+AI405+AJ405+AM405+AN405+AP405+AQ405+AS405+AT405+AU405+AV405)+59</f>
        <v>62</v>
      </c>
      <c r="C405" s="318">
        <f t="shared" ref="C405:C406" si="64">B405</f>
        <v>62</v>
      </c>
      <c r="D405" s="356">
        <f>SUM(T405+U405+Y405+Z405+AK405+AL405+AO405+AR405)+8</f>
        <v>10</v>
      </c>
      <c r="E405" s="457">
        <f t="shared" ref="E405:E407" si="65">D405</f>
        <v>10</v>
      </c>
      <c r="F405" s="356">
        <v>0</v>
      </c>
      <c r="G405" s="359">
        <f t="shared" ref="G405:G407" si="66">F405</f>
        <v>0</v>
      </c>
      <c r="H405" s="491">
        <v>1</v>
      </c>
      <c r="I405" s="530"/>
      <c r="J405" s="305">
        <v>1</v>
      </c>
      <c r="K405" s="305">
        <v>0</v>
      </c>
      <c r="L405" s="306">
        <v>1</v>
      </c>
      <c r="M405" s="362">
        <v>0</v>
      </c>
      <c r="N405" s="305">
        <v>0</v>
      </c>
      <c r="O405" s="491">
        <v>0</v>
      </c>
      <c r="P405" s="530"/>
      <c r="Q405" s="491">
        <v>1</v>
      </c>
      <c r="R405" s="491">
        <v>0</v>
      </c>
      <c r="S405" s="305">
        <v>0</v>
      </c>
      <c r="T405" s="344">
        <v>0</v>
      </c>
      <c r="U405" s="344">
        <v>1</v>
      </c>
      <c r="V405" s="306">
        <v>0</v>
      </c>
      <c r="W405" s="306">
        <v>1</v>
      </c>
      <c r="X405" s="782">
        <v>0</v>
      </c>
      <c r="Y405" s="344">
        <v>1</v>
      </c>
      <c r="Z405" s="344">
        <v>0</v>
      </c>
      <c r="AA405" s="306">
        <v>0</v>
      </c>
      <c r="AB405" s="812">
        <v>0</v>
      </c>
      <c r="AC405" s="815">
        <v>0</v>
      </c>
      <c r="AD405" s="817"/>
      <c r="AE405" s="815">
        <v>0</v>
      </c>
      <c r="AF405" s="815">
        <v>1</v>
      </c>
      <c r="AG405" s="820"/>
      <c r="AH405" s="820"/>
      <c r="AI405" s="306"/>
      <c r="AJ405" s="419"/>
      <c r="AK405" s="832"/>
      <c r="AL405" s="306"/>
      <c r="AM405" s="306"/>
      <c r="AN405" s="440"/>
      <c r="AO405" s="362"/>
      <c r="AP405" s="362"/>
      <c r="AQ405" s="440"/>
      <c r="AR405" s="362"/>
      <c r="AS405" s="362"/>
      <c r="AT405" s="362"/>
    </row>
    <row r="406" spans="1:46">
      <c r="A406" s="304" t="s">
        <v>478</v>
      </c>
      <c r="B406" s="453">
        <f>SUM(J406+K406+L406+M406+N406+S406+V406+W406+X406+AA406+AI406+AJ406+AM406+AN406+AP406+AQ406+AS406+AT406+AU406+AV406)+3</f>
        <v>3</v>
      </c>
      <c r="C406" s="318">
        <f t="shared" si="64"/>
        <v>3</v>
      </c>
      <c r="D406" s="356">
        <f>SUM(T406+U406+Y406+Z406+AK406+AL406+AO406+AR406)</f>
        <v>0</v>
      </c>
      <c r="E406" s="457">
        <f t="shared" si="65"/>
        <v>0</v>
      </c>
      <c r="F406" s="356">
        <v>0</v>
      </c>
      <c r="G406" s="359">
        <f t="shared" si="66"/>
        <v>0</v>
      </c>
      <c r="H406" s="491">
        <v>0</v>
      </c>
      <c r="I406" s="530"/>
      <c r="J406" s="305">
        <v>0</v>
      </c>
      <c r="K406" s="305">
        <v>0</v>
      </c>
      <c r="L406" s="306">
        <v>0</v>
      </c>
      <c r="M406" s="362">
        <v>0</v>
      </c>
      <c r="N406" s="305">
        <v>0</v>
      </c>
      <c r="O406" s="491">
        <v>0</v>
      </c>
      <c r="P406" s="530"/>
      <c r="Q406" s="491">
        <v>0</v>
      </c>
      <c r="R406" s="491">
        <v>0</v>
      </c>
      <c r="S406" s="305">
        <v>0</v>
      </c>
      <c r="T406" s="344">
        <v>0</v>
      </c>
      <c r="U406" s="344">
        <v>0</v>
      </c>
      <c r="V406" s="306">
        <v>0</v>
      </c>
      <c r="W406" s="306">
        <v>0</v>
      </c>
      <c r="X406" s="782">
        <v>0</v>
      </c>
      <c r="Y406" s="344">
        <v>0</v>
      </c>
      <c r="Z406" s="344">
        <v>0</v>
      </c>
      <c r="AA406" s="306">
        <v>0</v>
      </c>
      <c r="AB406" s="812">
        <v>0</v>
      </c>
      <c r="AC406" s="815">
        <v>0</v>
      </c>
      <c r="AD406" s="817"/>
      <c r="AE406" s="815">
        <v>0</v>
      </c>
      <c r="AF406" s="815">
        <v>0</v>
      </c>
      <c r="AG406" s="820"/>
      <c r="AH406" s="820"/>
      <c r="AI406" s="306"/>
      <c r="AJ406" s="419"/>
      <c r="AK406" s="832"/>
      <c r="AL406" s="306"/>
      <c r="AM406" s="306"/>
      <c r="AN406" s="440"/>
      <c r="AO406" s="362"/>
      <c r="AP406" s="362"/>
      <c r="AQ406" s="440"/>
      <c r="AR406" s="362"/>
      <c r="AS406" s="362"/>
      <c r="AT406" s="362"/>
    </row>
    <row r="407" spans="1:46" ht="14.95" thickBot="1">
      <c r="A407" s="304" t="s">
        <v>479</v>
      </c>
      <c r="B407" s="281">
        <f>SUM(J407+K407+L407+M407+N407+S407+V407+W407+X407+AA407+AI407+AJ407+AM407+AN407+AP407+AQ407+AS407+AT407+AU407+AV232)+38</f>
        <v>45</v>
      </c>
      <c r="C407" s="354">
        <f t="shared" ref="C407" si="67">B407</f>
        <v>45</v>
      </c>
      <c r="D407" s="357">
        <f>SUM(T407+U407+Y407+Z407+AK407+AL407+AO407+AR407)+13</f>
        <v>15</v>
      </c>
      <c r="E407" s="458">
        <f t="shared" si="65"/>
        <v>15</v>
      </c>
      <c r="F407" s="357">
        <v>2</v>
      </c>
      <c r="G407" s="360">
        <f t="shared" si="66"/>
        <v>2</v>
      </c>
      <c r="H407" s="491">
        <v>0</v>
      </c>
      <c r="I407" s="530"/>
      <c r="J407" s="305">
        <v>0</v>
      </c>
      <c r="K407" s="305">
        <v>1</v>
      </c>
      <c r="L407" s="306">
        <v>0</v>
      </c>
      <c r="M407" s="362">
        <v>1</v>
      </c>
      <c r="N407" s="305">
        <v>1</v>
      </c>
      <c r="O407" s="491">
        <v>1</v>
      </c>
      <c r="P407" s="530"/>
      <c r="Q407" s="491">
        <v>0</v>
      </c>
      <c r="R407" s="491">
        <v>1</v>
      </c>
      <c r="S407" s="305">
        <v>1</v>
      </c>
      <c r="T407" s="344">
        <v>1</v>
      </c>
      <c r="U407" s="344">
        <v>0</v>
      </c>
      <c r="V407" s="306">
        <v>1</v>
      </c>
      <c r="W407" s="306">
        <v>0</v>
      </c>
      <c r="X407" s="782">
        <v>1</v>
      </c>
      <c r="Y407" s="344">
        <v>0</v>
      </c>
      <c r="Z407" s="344">
        <v>1</v>
      </c>
      <c r="AA407" s="306">
        <v>1</v>
      </c>
      <c r="AB407" s="812">
        <v>1</v>
      </c>
      <c r="AC407" s="815">
        <v>1</v>
      </c>
      <c r="AD407" s="817"/>
      <c r="AE407" s="815">
        <v>1</v>
      </c>
      <c r="AF407" s="815">
        <v>0</v>
      </c>
      <c r="AG407" s="820"/>
      <c r="AH407" s="820"/>
      <c r="AI407" s="306"/>
      <c r="AJ407" s="419"/>
      <c r="AK407" s="832"/>
      <c r="AL407" s="306"/>
      <c r="AM407" s="306"/>
      <c r="AN407" s="440"/>
      <c r="AO407" s="362"/>
      <c r="AP407" s="362"/>
      <c r="AQ407" s="440"/>
      <c r="AR407" s="362"/>
      <c r="AS407" s="362"/>
      <c r="AT407" s="362"/>
    </row>
    <row r="408" spans="1:46" ht="14.95" thickBot="1">
      <c r="A408" s="307" t="s">
        <v>480</v>
      </c>
      <c r="B408" s="454">
        <f>SUM(B405+B406*0.5)/B404*100</f>
        <v>57.727272727272727</v>
      </c>
      <c r="C408" s="350">
        <f>SUM(C405+C406*0.5)/C404*100</f>
        <v>57.727272727272727</v>
      </c>
      <c r="D408" s="375">
        <f>SUM(D405+D406*0.5)/D404*100</f>
        <v>40</v>
      </c>
      <c r="E408" s="459">
        <f>SUM(E405+E406*0.5)/E404*100</f>
        <v>40</v>
      </c>
      <c r="F408" s="375">
        <v>0</v>
      </c>
      <c r="G408" s="376">
        <v>0</v>
      </c>
      <c r="H408" s="492"/>
      <c r="I408" s="531"/>
      <c r="J408" s="340"/>
      <c r="K408" s="340"/>
      <c r="L408" s="309"/>
      <c r="M408" s="547"/>
      <c r="N408" s="340"/>
      <c r="O408" s="583"/>
      <c r="P408" s="584"/>
      <c r="Q408" s="583"/>
      <c r="R408" s="583"/>
      <c r="S408" s="340"/>
      <c r="T408" s="403"/>
      <c r="U408" s="403"/>
      <c r="V408" s="311"/>
      <c r="W408" s="311"/>
      <c r="X408" s="783"/>
      <c r="Y408" s="403"/>
      <c r="Z408" s="403"/>
      <c r="AA408" s="309"/>
      <c r="AB408" s="813"/>
      <c r="AC408" s="816"/>
      <c r="AD408" s="818"/>
      <c r="AE408" s="816"/>
      <c r="AF408" s="816"/>
      <c r="AG408" s="821"/>
      <c r="AH408" s="821"/>
      <c r="AI408" s="309"/>
      <c r="AJ408" s="420"/>
      <c r="AK408" s="833"/>
      <c r="AL408" s="309"/>
      <c r="AM408" s="309"/>
      <c r="AN408" s="440"/>
      <c r="AO408" s="362"/>
      <c r="AP408" s="362"/>
      <c r="AQ408" s="440"/>
      <c r="AR408" s="362"/>
      <c r="AS408" s="362"/>
      <c r="AT408" s="362"/>
    </row>
    <row r="409" spans="1:46" ht="21.1">
      <c r="A409" s="25" t="s">
        <v>10</v>
      </c>
      <c r="B409" s="578"/>
      <c r="C409" s="34"/>
      <c r="D409" s="29"/>
      <c r="E409" s="28"/>
      <c r="F409" s="28"/>
      <c r="G409" s="28"/>
      <c r="H409" s="28"/>
      <c r="I409" s="34"/>
      <c r="J409" s="28"/>
      <c r="K409" s="28"/>
      <c r="L409" s="28"/>
      <c r="M409" s="28"/>
      <c r="N409" s="28"/>
      <c r="O409" s="28"/>
      <c r="P409" s="34"/>
      <c r="Q409" s="28"/>
      <c r="R409" s="30"/>
      <c r="S409" s="30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3"/>
      <c r="AE409" s="31"/>
      <c r="AF409" s="31"/>
      <c r="AG409" s="33"/>
      <c r="AH409" s="33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</row>
    <row r="410" spans="1:46">
      <c r="A410" s="26" t="s">
        <v>1</v>
      </c>
      <c r="B410" s="578"/>
      <c r="C410" s="34"/>
      <c r="D410" s="28"/>
      <c r="E410" s="28"/>
      <c r="F410" s="28"/>
      <c r="G410" s="28"/>
      <c r="H410" s="28">
        <f>IF(SUMIF($A$4:$A401,$A410,H$4:H401)=0,"",SUMIF($A$4:$A401,$A410,H$4:H401))</f>
        <v>15</v>
      </c>
      <c r="I410" s="34" t="str">
        <f>IF(SUMIF($A$4:$A401,$A410,I$4:I401)=0,"",SUMIF($A$4:$A401,$A410,I$4:I401))</f>
        <v/>
      </c>
      <c r="J410" s="28">
        <f>IF(SUMIF($A$4:$A401,$A410,J$4:J401)=0,"",SUMIF($A$4:$A401,$A410,J$4:J401))</f>
        <v>15</v>
      </c>
      <c r="K410" s="28">
        <f>IF(SUMIF($A$4:$A401,$A410,K$4:K401)=0,"",SUMIF($A$4:$A401,$A410,K$4:K401))</f>
        <v>15</v>
      </c>
      <c r="L410" s="28">
        <f>IF(SUMIF($A$4:$A401,$A410,L$4:L401)=0,"",SUMIF($A$4:$A401,$A410,L$4:L401))</f>
        <v>15</v>
      </c>
      <c r="M410" s="28">
        <f>IF(SUMIF($A$4:$A401,$A410,M$4:M401)=0,"",SUMIF($A$4:$A401,$A410,M$4:M401))</f>
        <v>15</v>
      </c>
      <c r="N410" s="28">
        <f>IF(SUMIF($A$4:$A401,$A410,N$4:N401)=0,"",SUMIF($A$4:$A401,$A410,N$4:N401))</f>
        <v>15</v>
      </c>
      <c r="O410" s="28">
        <f>IF(SUMIF($A$4:$A401,$A410,O$4:O401)=0,"",SUMIF($A$4:$A401,$A410,O$4:O401))</f>
        <v>15</v>
      </c>
      <c r="P410" s="34"/>
      <c r="Q410" s="28">
        <f>IF(SUMIF($A$4:$A401,$A410,Q$4:Q401)=0,"",SUMIF($A$4:$A401,$A410,Q$4:Q401))</f>
        <v>15</v>
      </c>
      <c r="R410" s="28">
        <f>IF(SUMIF($A$4:$A401,$A410,R$4:R401)=0,"",SUMIF($A$4:$A401,$A410,R$4:R401))</f>
        <v>15</v>
      </c>
      <c r="S410" s="28">
        <f>IF(SUMIF($A$4:$A401,$A410,S$4:S401)=0,"",SUMIF($A$4:$A401,$A410,S$4:S401))</f>
        <v>15</v>
      </c>
      <c r="T410" s="28">
        <f>IF(SUMIF($A$4:$A401,$A410,T$4:T401)=0,"",SUMIF($A$4:$A401,$A410,T$4:T401))</f>
        <v>15</v>
      </c>
      <c r="U410" s="28">
        <f>IF(SUMIF($A$4:$A401,$A410,U$4:U401)=0,"",SUMIF($A$4:$A401,$A410,U$4:U401))</f>
        <v>15</v>
      </c>
      <c r="V410" s="28">
        <f>IF(SUMIF($A$4:$A401,$A410,V$4:V401)=0,"",SUMIF($A$4:$A401,$A410,V$4:V401))</f>
        <v>15</v>
      </c>
      <c r="W410" s="28">
        <f>IF(SUMIF($A$4:$A401,$A410,W$4:W401)=0,"",SUMIF($A$4:$A401,$A410,W$4:W401))</f>
        <v>15</v>
      </c>
      <c r="X410" s="28">
        <f>IF(SUMIF($A$4:$A401,$A410,X$4:X401)=0,"",SUMIF($A$4:$A401,$A410,X$4:X401))</f>
        <v>15</v>
      </c>
      <c r="Y410" s="28">
        <f>IF(SUMIF($A$4:$A401,$A410,Y$4:Y401)=0,"",SUMIF($A$4:$A401,$A410,Y$4:Y401))</f>
        <v>15</v>
      </c>
      <c r="Z410" s="28">
        <f>IF(SUMIF($A$4:$A401,$A410,Z$4:Z401)=0,"",SUMIF($A$4:$A401,$A410,Z$4:Z401))</f>
        <v>15</v>
      </c>
      <c r="AA410" s="28">
        <f>IF(SUMIF($A$4:$A401,$A410,AA$4:AA401)=0,"",SUMIF($A$4:$A401,$A410,AA$4:AA401))</f>
        <v>15</v>
      </c>
      <c r="AB410" s="28">
        <f>IF(SUMIF($A$4:$A401,$A410,AB$4:AB401)=0,"",SUMIF($A$4:$A401,$A410,AB$4:AB401))</f>
        <v>14</v>
      </c>
      <c r="AC410" s="28">
        <f>IF(SUMIF($A$4:$A401,$A410,AC$4:AC401)=0,"",SUMIF($A$4:$A401,$A410,AC$4:AC401))</f>
        <v>15</v>
      </c>
      <c r="AD410" s="34"/>
      <c r="AE410" s="28">
        <f>IF(SUMIF($A$4:$A401,$A410,AE$4:AE401)=0,"",SUMIF($A$4:$A401,$A410,AE$4:AE401))</f>
        <v>15</v>
      </c>
      <c r="AF410" s="28">
        <f>IF(SUMIF($A$4:$A401,$A410,AF$4:AF401)=0,"",SUMIF($A$4:$A401,$A410,AF$4:AF401))</f>
        <v>15</v>
      </c>
      <c r="AG410" s="34" t="str">
        <f>IF(SUMIF($A$4:$A401,$A410,AG$4:AG401)=0,"",SUMIF($A$4:$A401,$A410,AG$4:AG401))</f>
        <v/>
      </c>
      <c r="AH410" s="34" t="str">
        <f>IF(SUMIF($A$4:$A401,$A410,AH$4:AH401)=0,"",SUMIF($A$4:$A401,$A410,AH$4:AH401))</f>
        <v/>
      </c>
      <c r="AI410" s="28" t="str">
        <f>IF(SUMIF($A$4:$A401,$A410,AI$4:AI401)=0,"",SUMIF($A$4:$A401,$A410,AI$4:AI401))</f>
        <v/>
      </c>
      <c r="AJ410" s="28" t="str">
        <f>IF(SUMIF($A$4:$A401,$A410,AJ$4:AJ401)=0,"",SUMIF($A$4:$A401,$A410,AJ$4:AJ401))</f>
        <v/>
      </c>
      <c r="AK410" s="28" t="str">
        <f>IF(SUMIF($A$4:$A401,$A410,AK$4:AK401)=0,"",SUMIF($A$4:$A401,$A410,AK$4:AK401))</f>
        <v/>
      </c>
      <c r="AL410" s="28" t="str">
        <f>IF(SUMIF($A$4:$A401,$A410,AL$4:AL401)=0,"",SUMIF($A$4:$A401,$A410,AL$4:AL401))</f>
        <v/>
      </c>
      <c r="AM410" s="28" t="str">
        <f>IF(SUMIF($A$4:$A401,$A410,AM$4:AM401)=0,"",SUMIF($A$4:$A401,$A410,AM$4:AM401))</f>
        <v/>
      </c>
      <c r="AN410" s="28" t="str">
        <f>IF(SUMIF($A$4:$A401,$A410,AN$4:AN401)=0,"",SUMIF($A$4:$A401,$A410,AN$4:AN401))</f>
        <v/>
      </c>
      <c r="AO410" s="28" t="str">
        <f>IF(SUMIF($A$4:$A401,$A410,AO$4:AO401)=0,"",SUMIF($A$4:$A401,$A410,AO$4:AO401))</f>
        <v/>
      </c>
      <c r="AP410" s="28" t="str">
        <f>IF(SUMIF($A$4:$A401,$A410,AP$4:AP401)=0,"",SUMIF($A$4:$A401,$A410,AP$4:AP401))</f>
        <v/>
      </c>
      <c r="AQ410" s="28" t="str">
        <f>IF(SUMIF($A$4:$A401,$A410,AQ$4:AQ401)=0,"",SUMIF($A$4:$A401,$A410,AQ$4:AQ401))</f>
        <v/>
      </c>
      <c r="AR410" s="28" t="str">
        <f>IF(SUMIF($A$4:$A401,$A410,AR$4:AR401)=0,"",SUMIF($A$4:$A401,$A410,AR$4:AR401))</f>
        <v/>
      </c>
      <c r="AS410" s="28" t="str">
        <f>IF(SUMIF($A$4:$A401,$A410,AS$4:AS401)=0,"",SUMIF($A$4:$A401,$A410,AS$4:AS401))</f>
        <v/>
      </c>
      <c r="AT410" s="28" t="str">
        <f>IF(SUMIF($A$4:$A401,$A410,AT$4:AT401)=0,"",SUMIF($A$4:$A401,$A410,AT$4:AT401))</f>
        <v/>
      </c>
    </row>
    <row r="411" spans="1:46">
      <c r="A411" s="26" t="s">
        <v>2</v>
      </c>
      <c r="B411" s="578"/>
      <c r="C411" s="34"/>
      <c r="D411" s="28"/>
      <c r="E411" s="28"/>
      <c r="F411" s="28"/>
      <c r="G411" s="28"/>
      <c r="H411" s="28">
        <f>IF(SUMIF($A$4:$A409,$A411,H$4:H409)=0,"",SUMIF($A$4:$A409,$A411,H$4:H409))</f>
        <v>8</v>
      </c>
      <c r="I411" s="34" t="str">
        <f>IF(SUMIF($A$4:$A409,$A411,I$4:I409)=0,"",SUMIF($A$4:$A409,$A411,I$4:I409))</f>
        <v/>
      </c>
      <c r="J411" s="28">
        <f>IF(SUMIF($A$4:$A409,$A411,J$4:J409)=0,"",SUMIF($A$4:$A409,$A411,J$4:J409))</f>
        <v>6</v>
      </c>
      <c r="K411" s="28">
        <f>IF(SUMIF($A$4:$A409,$A411,K$4:K409)=0,"",SUMIF($A$4:$A409,$A411,K$4:K409))</f>
        <v>8</v>
      </c>
      <c r="L411" s="28">
        <f>IF(SUMIF($A$4:$A409,$A411,L$4:L409)=0,"",SUMIF($A$4:$A409,$A411,L$4:L409))</f>
        <v>8</v>
      </c>
      <c r="M411" s="28">
        <f>IF(SUMIF($A$4:$A409,$A411,M$4:M409)=0,"",SUMIF($A$4:$A409,$A411,M$4:M409))</f>
        <v>8</v>
      </c>
      <c r="N411" s="28">
        <f>IF(SUMIF($A$4:$A409,$A411,N$4:N409)=0,"",SUMIF($A$4:$A409,$A411,N$4:N409))</f>
        <v>6</v>
      </c>
      <c r="O411" s="28">
        <f>IF(SUMIF($A$4:$A409,$A411,O$4:O409)=0,"",SUMIF($A$4:$A409,$A411,O$4:O409))</f>
        <v>6</v>
      </c>
      <c r="P411" s="34"/>
      <c r="Q411" s="28">
        <f>IF(SUMIF($A$4:$A409,$A411,Q$4:Q409)=0,"",SUMIF($A$4:$A409,$A411,Q$4:Q409))</f>
        <v>8</v>
      </c>
      <c r="R411" s="28">
        <f>IF(SUMIF($A$4:$A409,$A411,R$4:R409)=0,"",SUMIF($A$4:$A409,$A411,R$4:R409))</f>
        <v>8</v>
      </c>
      <c r="S411" s="28">
        <f>IF(SUMIF($A$4:$A409,$A411,S$4:S409)=0,"",SUMIF($A$4:$A409,$A411,S$4:S409))</f>
        <v>5</v>
      </c>
      <c r="T411" s="28">
        <f>IF(SUMIF($A$4:$A409,$A411,T$4:T409)=0,"",SUMIF($A$4:$A409,$A411,T$4:T409))</f>
        <v>8</v>
      </c>
      <c r="U411" s="28">
        <f>IF(SUMIF($A$4:$A409,$A411,U$4:U409)=0,"",SUMIF($A$4:$A409,$A411,U$4:U409))</f>
        <v>8</v>
      </c>
      <c r="V411" s="28">
        <f>IF(SUMIF($A$4:$A409,$A411,V$4:V409)=0,"",SUMIF($A$4:$A409,$A411,V$4:V409))</f>
        <v>8</v>
      </c>
      <c r="W411" s="28">
        <f>IF(SUMIF($A$4:$A409,$A411,W$4:W409)=0,"",SUMIF($A$4:$A409,$A411,W$4:W409))</f>
        <v>8</v>
      </c>
      <c r="X411" s="28">
        <f>IF(SUMIF($A$4:$A409,$A411,X$4:X409)=0,"",SUMIF($A$4:$A409,$A411,X$4:X409))</f>
        <v>8</v>
      </c>
      <c r="Y411" s="28">
        <f>IF(SUMIF($A$4:$A409,$A411,Y$4:Y409)=0,"",SUMIF($A$4:$A409,$A411,Y$4:Y409))</f>
        <v>8</v>
      </c>
      <c r="Z411" s="28">
        <f>IF(SUMIF($A$4:$A409,$A411,Z$4:Z409)=0,"",SUMIF($A$4:$A409,$A411,Z$4:Z409))</f>
        <v>8</v>
      </c>
      <c r="AA411" s="28">
        <f>IF(SUMIF($A$4:$A409,$A411,AA$4:AA409)=0,"",SUMIF($A$4:$A409,$A411,AA$4:AA409))</f>
        <v>7</v>
      </c>
      <c r="AB411" s="28">
        <f>IF(SUMIF($A$4:$A409,$A411,AB$4:AB409)=0,"",SUMIF($A$4:$A409,$A411,AB$4:AB409))</f>
        <v>8</v>
      </c>
      <c r="AC411" s="28">
        <f>IF(SUMIF($A$4:$A409,$A411,AC$4:AC409)=0,"",SUMIF($A$4:$A409,$A411,AC$4:AC409))</f>
        <v>8</v>
      </c>
      <c r="AD411" s="34"/>
      <c r="AE411" s="28">
        <f>IF(SUMIF($A$4:$A409,$A411,AE$4:AE409)=0,"",SUMIF($A$4:$A409,$A411,AE$4:AE409))</f>
        <v>8</v>
      </c>
      <c r="AF411" s="28">
        <f>IF(SUMIF($A$4:$A409,$A411,AF$4:AF409)=0,"",SUMIF($A$4:$A409,$A411,AF$4:AF409))</f>
        <v>5</v>
      </c>
      <c r="AG411" s="34" t="str">
        <f>IF(SUMIF($A$4:$A409,$A411,AG$4:AG409)=0,"",SUMIF($A$4:$A409,$A411,AG$4:AG409))</f>
        <v/>
      </c>
      <c r="AH411" s="34" t="str">
        <f>IF(SUMIF($A$4:$A409,$A411,AH$4:AH409)=0,"",SUMIF($A$4:$A409,$A411,AH$4:AH409))</f>
        <v/>
      </c>
      <c r="AI411" s="28" t="str">
        <f>IF(SUMIF($A$4:$A409,$A411,AI$4:AI409)=0,"",SUMIF($A$4:$A409,$A411,AI$4:AI409))</f>
        <v/>
      </c>
      <c r="AJ411" s="28" t="str">
        <f>IF(SUMIF($A$4:$A409,$A411,AJ$4:AJ409)=0,"",SUMIF($A$4:$A409,$A411,AJ$4:AJ409))</f>
        <v/>
      </c>
      <c r="AK411" s="28" t="str">
        <f>IF(SUMIF($A$4:$A409,$A411,AK$4:AK409)=0,"",SUMIF($A$4:$A409,$A411,AK$4:AK409))</f>
        <v/>
      </c>
      <c r="AL411" s="28" t="str">
        <f>IF(SUMIF($A$4:$A409,$A411,AL$4:AL409)=0,"",SUMIF($A$4:$A409,$A411,AL$4:AL409))</f>
        <v/>
      </c>
      <c r="AM411" s="28" t="str">
        <f>IF(SUMIF($A$4:$A409,$A411,AM$4:AM409)=0,"",SUMIF($A$4:$A409,$A411,AM$4:AM409))</f>
        <v/>
      </c>
      <c r="AN411" s="28" t="str">
        <f>IF(SUMIF($A$4:$A409,$A411,AN$4:AN409)=0,"",SUMIF($A$4:$A409,$A411,AN$4:AN409))</f>
        <v/>
      </c>
      <c r="AO411" s="28" t="str">
        <f>IF(SUMIF($A$4:$A409,$A411,AO$4:AO409)=0,"",SUMIF($A$4:$A409,$A411,AO$4:AO409))</f>
        <v/>
      </c>
      <c r="AP411" s="28" t="str">
        <f>IF(SUMIF($A$4:$A409,$A411,AP$4:AP409)=0,"",SUMIF($A$4:$A409,$A411,AP$4:AP409))</f>
        <v/>
      </c>
      <c r="AQ411" s="28" t="str">
        <f>IF(SUMIF($A$4:$A409,$A411,AQ$4:AQ409)=0,"",SUMIF($A$4:$A409,$A411,AQ$4:AQ409))</f>
        <v/>
      </c>
      <c r="AR411" s="28" t="str">
        <f>IF(SUMIF($A$4:$A409,$A411,AR$4:AR409)=0,"",SUMIF($A$4:$A409,$A411,AR$4:AR409))</f>
        <v/>
      </c>
      <c r="AS411" s="28" t="str">
        <f>IF(SUMIF($A$4:$A409,$A411,AS$4:AS409)=0,"",SUMIF($A$4:$A409,$A411,AS$4:AS409))</f>
        <v/>
      </c>
      <c r="AT411" s="28" t="str">
        <f>IF(SUMIF($A$4:$A409,$A411,AT$4:AT409)=0,"",SUMIF($A$4:$A409,$A411,AT$4:AT409))</f>
        <v/>
      </c>
    </row>
    <row r="412" spans="1:46">
      <c r="A412" s="26" t="s">
        <v>3</v>
      </c>
      <c r="B412" s="578"/>
      <c r="C412" s="34"/>
      <c r="D412" s="28"/>
      <c r="E412" s="28"/>
      <c r="F412" s="28"/>
      <c r="G412" s="28"/>
      <c r="H412" s="28">
        <f>IF(SUMIF($A$4:$A410,$A412,H$4:H410)=0,"",SUMIF($A$4:$A410,$A412,H$4:H410))</f>
        <v>4</v>
      </c>
      <c r="I412" s="34" t="str">
        <f>IF(SUMIF($A$4:$A410,$A412,I$4:I410)=0,"",SUMIF($A$4:$A410,$A412,I$4:I410))</f>
        <v/>
      </c>
      <c r="J412" s="28">
        <f>IF(SUMIF($A$4:$A410,$A412,J$4:J410)=0,"",SUMIF($A$4:$A410,$A412,J$4:J410))</f>
        <v>4</v>
      </c>
      <c r="K412" s="28">
        <f>IF(SUMIF($A$4:$A410,$A412,K$4:K410)=0,"",SUMIF($A$4:$A410,$A412,K$4:K410))</f>
        <v>1</v>
      </c>
      <c r="L412" s="28">
        <f>IF(SUMIF($A$4:$A410,$A412,L$4:L410)=0,"",SUMIF($A$4:$A410,$A412,L$4:L410))</f>
        <v>9</v>
      </c>
      <c r="M412" s="28">
        <f>IF(SUMIF($A$4:$A410,$A412,M$4:M410)=0,"",SUMIF($A$4:$A410,$A412,M$4:M410))</f>
        <v>2</v>
      </c>
      <c r="N412" s="28">
        <f>IF(SUMIF($A$4:$A410,$A412,N$4:N410)=0,"",SUMIF($A$4:$A410,$A412,N$4:N410))</f>
        <v>5</v>
      </c>
      <c r="O412" s="28">
        <f>IF(SUMIF($A$4:$A410,$A412,O$4:O410)=0,"",SUMIF($A$4:$A410,$A412,O$4:O410))</f>
        <v>4</v>
      </c>
      <c r="P412" s="34"/>
      <c r="Q412" s="28">
        <f>IF(SUMIF($A$4:$A410,$A412,Q$4:Q410)=0,"",SUMIF($A$4:$A410,$A412,Q$4:Q410))</f>
        <v>5</v>
      </c>
      <c r="R412" s="28" t="str">
        <f>IF(SUMIF($A$4:$A410,$A412,R$4:R410)=0,"",SUMIF($A$4:$A410,$A412,R$4:R410))</f>
        <v/>
      </c>
      <c r="S412" s="28">
        <f>IF(SUMIF($A$4:$A410,$A412,S$4:S410)=0,"",SUMIF($A$4:$A410,$A412,S$4:S410))</f>
        <v>2</v>
      </c>
      <c r="T412" s="28">
        <f>IF(SUMIF($A$4:$A410,$A412,T$4:T410)=0,"",SUMIF($A$4:$A410,$A412,T$4:T410))</f>
        <v>3</v>
      </c>
      <c r="U412" s="28">
        <f>IF(SUMIF($A$4:$A410,$A412,U$4:U410)=0,"",SUMIF($A$4:$A410,$A412,U$4:U410))</f>
        <v>5</v>
      </c>
      <c r="V412" s="28">
        <f>IF(SUMIF($A$4:$A410,$A412,V$4:V410)=0,"",SUMIF($A$4:$A410,$A412,V$4:V410))</f>
        <v>3</v>
      </c>
      <c r="W412" s="28">
        <f>IF(SUMIF($A$4:$A410,$A412,W$4:W410)=0,"",SUMIF($A$4:$A410,$A412,W$4:W410))</f>
        <v>7</v>
      </c>
      <c r="X412" s="28">
        <f>IF(SUMIF($A$4:$A410,$A412,X$4:X410)=0,"",SUMIF($A$4:$A410,$A412,X$4:X410))</f>
        <v>2</v>
      </c>
      <c r="Y412" s="28">
        <f>IF(SUMIF($A$4:$A410,$A412,Y$4:Y410)=0,"",SUMIF($A$4:$A410,$A412,Y$4:Y410))</f>
        <v>4</v>
      </c>
      <c r="Z412" s="28">
        <f>IF(SUMIF($A$4:$A410,$A412,Z$4:Z410)=0,"",SUMIF($A$4:$A410,$A412,Z$4:Z410))</f>
        <v>1</v>
      </c>
      <c r="AA412" s="28">
        <f>IF(SUMIF($A$4:$A410,$A412,AA$4:AA410)=0,"",SUMIF($A$4:$A410,$A412,AA$4:AA410))</f>
        <v>4</v>
      </c>
      <c r="AB412" s="28">
        <f>IF(SUMIF($A$4:$A410,$A412,AB$4:AB410)=0,"",SUMIF($A$4:$A410,$A412,AB$4:AB410))</f>
        <v>2</v>
      </c>
      <c r="AC412" s="28">
        <f>IF(SUMIF($A$4:$A410,$A412,AC$4:AC410)=0,"",SUMIF($A$4:$A410,$A412,AC$4:AC410))</f>
        <v>3</v>
      </c>
      <c r="AD412" s="34"/>
      <c r="AE412" s="28">
        <f>IF(SUMIF($A$4:$A410,$A412,AE$4:AE410)=0,"",SUMIF($A$4:$A410,$A412,AE$4:AE410))</f>
        <v>3</v>
      </c>
      <c r="AF412" s="28">
        <f>IF(SUMIF($A$4:$A410,$A412,AF$4:AF410)=0,"",SUMIF($A$4:$A410,$A412,AF$4:AF410))</f>
        <v>7</v>
      </c>
      <c r="AG412" s="34" t="str">
        <f>IF(SUMIF($A$4:$A410,$A412,AG$4:AG410)=0,"",SUMIF($A$4:$A410,$A412,AG$4:AG410))</f>
        <v/>
      </c>
      <c r="AH412" s="34" t="str">
        <f>IF(SUMIF($A$4:$A410,$A412,AH$4:AH410)=0,"",SUMIF($A$4:$A410,$A412,AH$4:AH410))</f>
        <v/>
      </c>
      <c r="AI412" s="28" t="str">
        <f>IF(SUMIF($A$4:$A410,$A412,AI$4:AI410)=0,"",SUMIF($A$4:$A410,$A412,AI$4:AI410))</f>
        <v/>
      </c>
      <c r="AJ412" s="28" t="str">
        <f>IF(SUMIF($A$4:$A410,$A412,AJ$4:AJ410)=0,"",SUMIF($A$4:$A410,$A412,AJ$4:AJ410))</f>
        <v/>
      </c>
      <c r="AK412" s="28" t="str">
        <f>IF(SUMIF($A$4:$A410,$A412,AK$4:AK410)=0,"",SUMIF($A$4:$A410,$A412,AK$4:AK410))</f>
        <v/>
      </c>
      <c r="AL412" s="28" t="str">
        <f>IF(SUMIF($A$4:$A410,$A412,AL$4:AL410)=0,"",SUMIF($A$4:$A410,$A412,AL$4:AL410))</f>
        <v/>
      </c>
      <c r="AM412" s="28" t="str">
        <f>IF(SUMIF($A$4:$A410,$A412,AM$4:AM410)=0,"",SUMIF($A$4:$A410,$A412,AM$4:AM410))</f>
        <v/>
      </c>
      <c r="AN412" s="28" t="str">
        <f>IF(SUMIF($A$4:$A410,$A412,AN$4:AN410)=0,"",SUMIF($A$4:$A410,$A412,AN$4:AN410))</f>
        <v/>
      </c>
      <c r="AO412" s="28" t="str">
        <f>IF(SUMIF($A$4:$A410,$A412,AO$4:AO410)=0,"",SUMIF($A$4:$A410,$A412,AO$4:AO410))</f>
        <v/>
      </c>
      <c r="AP412" s="28" t="str">
        <f>IF(SUMIF($A$4:$A410,$A412,AP$4:AP410)=0,"",SUMIF($A$4:$A410,$A412,AP$4:AP410))</f>
        <v/>
      </c>
      <c r="AQ412" s="28" t="str">
        <f>IF(SUMIF($A$4:$A410,$A412,AQ$4:AQ410)=0,"",SUMIF($A$4:$A410,$A412,AQ$4:AQ410))</f>
        <v/>
      </c>
      <c r="AR412" s="28" t="str">
        <f>IF(SUMIF($A$4:$A410,$A412,AR$4:AR410)=0,"",SUMIF($A$4:$A410,$A412,AR$4:AR410))</f>
        <v/>
      </c>
      <c r="AS412" s="28" t="str">
        <f>IF(SUMIF($A$4:$A410,$A412,AS$4:AS410)=0,"",SUMIF($A$4:$A410,$A412,AS$4:AS410))</f>
        <v/>
      </c>
      <c r="AT412" s="28" t="str">
        <f>IF(SUMIF($A$4:$A410,$A412,AT$4:AT410)=0,"",SUMIF($A$4:$A410,$A412,AT$4:AT410))</f>
        <v/>
      </c>
    </row>
    <row r="413" spans="1:46" ht="14.95" thickBot="1">
      <c r="A413" s="27" t="s">
        <v>4</v>
      </c>
      <c r="B413" s="579"/>
      <c r="C413" s="37"/>
      <c r="D413" s="36"/>
      <c r="E413" s="36"/>
      <c r="F413" s="36"/>
      <c r="G413" s="36"/>
      <c r="H413" s="36">
        <f>IF(SUMIF($A$4:$A411,$A413,H$4:H411)=0,"",SUMIF($A$4:$A411,$A413,H$4:H411))</f>
        <v>24</v>
      </c>
      <c r="I413" s="37" t="str">
        <f>IF(SUMIF($A$4:$A411,$A413,I$4:I411)=0,"",SUMIF($A$4:$A411,$A413,I$4:I411))</f>
        <v/>
      </c>
      <c r="J413" s="36">
        <f>IF(SUMIF($A$4:$A411,$A413,J$4:J411)=0,"",SUMIF($A$4:$A411,$A413,J$4:J411))</f>
        <v>27</v>
      </c>
      <c r="K413" s="36">
        <f>IF(SUMIF($A$4:$A411,$A413,K$4:K411)=0,"",SUMIF($A$4:$A411,$A413,K$4:K411))</f>
        <v>16</v>
      </c>
      <c r="L413" s="36">
        <f>IF(SUMIF($A$4:$A411,$A413,L$4:L411)=0,"",SUMIF($A$4:$A411,$A413,L$4:L411))</f>
        <v>57</v>
      </c>
      <c r="M413" s="36">
        <f>IF(SUMIF($A$4:$A411,$A413,M$4:M411)=0,"",SUMIF($A$4:$A411,$A413,M$4:M411))</f>
        <v>14</v>
      </c>
      <c r="N413" s="36">
        <f>IF(SUMIF($A$4:$A411,$A413,N$4:N411)=0,"",SUMIF($A$4:$A411,$A413,N$4:N411))</f>
        <v>35</v>
      </c>
      <c r="O413" s="36">
        <f>IF(SUMIF($A$4:$A411,$A413,O$4:O411)=0,"",SUMIF($A$4:$A411,$A413,O$4:O411))</f>
        <v>28</v>
      </c>
      <c r="P413" s="37"/>
      <c r="Q413" s="36">
        <f>IF(SUMIF($A$4:$A411,$A413,Q$4:Q411)=0,"",SUMIF($A$4:$A411,$A413,Q$4:Q411))</f>
        <v>34</v>
      </c>
      <c r="R413" s="36" t="str">
        <f>IF(SUMIF($A$4:$A411,$A413,R$4:R411)=0,"",SUMIF($A$4:$A411,$A413,R$4:R411))</f>
        <v/>
      </c>
      <c r="S413" s="36">
        <f>IF(SUMIF($A$4:$A411,$A413,S$4:S411)=0,"",SUMIF($A$4:$A411,$A413,S$4:S411))</f>
        <v>26</v>
      </c>
      <c r="T413" s="36">
        <f>IF(SUMIF($A$4:$A411,$A413,T$4:T411)=0,"",SUMIF($A$4:$A411,$A413,T$4:T411))</f>
        <v>21</v>
      </c>
      <c r="U413" s="36">
        <f>IF(SUMIF($A$4:$A411,$A413,U$4:U411)=0,"",SUMIF($A$4:$A411,$A413,U$4:U411))</f>
        <v>35</v>
      </c>
      <c r="V413" s="36">
        <f>IF(SUMIF($A$4:$A411,$A413,V$4:V411)=0,"",SUMIF($A$4:$A411,$A413,V$4:V411))</f>
        <v>21</v>
      </c>
      <c r="W413" s="36">
        <f>IF(SUMIF($A$4:$A411,$A413,W$4:W411)=0,"",SUMIF($A$4:$A411,$A413,W$4:W411))</f>
        <v>43</v>
      </c>
      <c r="X413" s="36">
        <f>IF(SUMIF($A$4:$A411,$A413,X$4:X411)=0,"",SUMIF($A$4:$A411,$A413,X$4:X411))</f>
        <v>17</v>
      </c>
      <c r="Y413" s="36">
        <f>IF(SUMIF($A$4:$A411,$A413,Y$4:Y411)=0,"",SUMIF($A$4:$A411,$A413,Y$4:Y411))</f>
        <v>26</v>
      </c>
      <c r="Z413" s="36">
        <f>IF(SUMIF($A$4:$A411,$A413,Z$4:Z411)=0,"",SUMIF($A$4:$A411,$A413,Z$4:Z411))</f>
        <v>7</v>
      </c>
      <c r="AA413" s="36">
        <f>IF(SUMIF($A$4:$A411,$A413,AA$4:AA411)=0,"",SUMIF($A$4:$A411,$A413,AA$4:AA411))</f>
        <v>29</v>
      </c>
      <c r="AB413" s="36">
        <f>IF(SUMIF($A$4:$A411,$A413,AB$4:AB411)=0,"",SUMIF($A$4:$A411,$A413,AB$4:AB411))</f>
        <v>14</v>
      </c>
      <c r="AC413" s="36">
        <f>IF(SUMIF($A$4:$A411,$A413,AC$4:AC411)=0,"",SUMIF($A$4:$A411,$A413,AC$4:AC411))</f>
        <v>19</v>
      </c>
      <c r="AD413" s="37"/>
      <c r="AE413" s="36">
        <f>IF(SUMIF($A$4:$A411,$A413,AE$4:AE411)=0,"",SUMIF($A$4:$A411,$A413,AE$4:AE411))</f>
        <v>17</v>
      </c>
      <c r="AF413" s="36">
        <f>IF(SUMIF($A$4:$A411,$A413,AF$4:AF411)=0,"",SUMIF($A$4:$A411,$A413,AF$4:AF411))</f>
        <v>41</v>
      </c>
      <c r="AG413" s="37" t="str">
        <f>IF(SUMIF($A$4:$A411,$A413,AG$4:AG411)=0,"",SUMIF($A$4:$A411,$A413,AG$4:AG411))</f>
        <v/>
      </c>
      <c r="AH413" s="37" t="str">
        <f>IF(SUMIF($A$4:$A411,$A413,AH$4:AH411)=0,"",SUMIF($A$4:$A411,$A413,AH$4:AH411))</f>
        <v/>
      </c>
      <c r="AI413" s="36" t="str">
        <f>IF(SUMIF($A$4:$A411,$A413,AI$4:AI411)=0,"",SUMIF($A$4:$A411,$A413,AI$4:AI411))</f>
        <v/>
      </c>
      <c r="AJ413" s="36" t="str">
        <f>IF(SUMIF($A$4:$A411,$A413,AJ$4:AJ411)=0,"",SUMIF($A$4:$A411,$A413,AJ$4:AJ411))</f>
        <v/>
      </c>
      <c r="AK413" s="36" t="str">
        <f>IF(SUMIF($A$4:$A411,$A413,AK$4:AK411)=0,"",SUMIF($A$4:$A411,$A413,AK$4:AK411))</f>
        <v/>
      </c>
      <c r="AL413" s="36" t="str">
        <f>IF(SUMIF($A$4:$A411,$A413,AL$4:AL411)=0,"",SUMIF($A$4:$A411,$A413,AL$4:AL411))</f>
        <v/>
      </c>
      <c r="AM413" s="36" t="str">
        <f>IF(SUMIF($A$4:$A411,$A413,AM$4:AM411)=0,"",SUMIF($A$4:$A411,$A413,AM$4:AM411))</f>
        <v/>
      </c>
      <c r="AN413" s="36" t="str">
        <f>IF(SUMIF($A$4:$A411,$A413,AN$4:AN411)=0,"",SUMIF($A$4:$A411,$A413,AN$4:AN411))</f>
        <v/>
      </c>
      <c r="AO413" s="36" t="str">
        <f>IF(SUMIF($A$4:$A411,$A413,AO$4:AO411)=0,"",SUMIF($A$4:$A411,$A413,AO$4:AO411))</f>
        <v/>
      </c>
      <c r="AP413" s="36" t="str">
        <f>IF(SUMIF($A$4:$A411,$A413,AP$4:AP411)=0,"",SUMIF($A$4:$A411,$A413,AP$4:AP411))</f>
        <v/>
      </c>
      <c r="AQ413" s="36" t="str">
        <f>IF(SUMIF($A$4:$A411,$A413,AQ$4:AQ411)=0,"",SUMIF($A$4:$A411,$A413,AQ$4:AQ411))</f>
        <v/>
      </c>
      <c r="AR413" s="36" t="str">
        <f>IF(SUMIF($A$4:$A411,$A413,AR$4:AR411)=0,"",SUMIF($A$4:$A411,$A413,AR$4:AR411))</f>
        <v/>
      </c>
      <c r="AS413" s="36" t="str">
        <f>IF(SUMIF($A$4:$A411,$A413,AS$4:AS411)=0,"",SUMIF($A$4:$A411,$A413,AS$4:AS411))</f>
        <v/>
      </c>
      <c r="AT413" s="36" t="str">
        <f>IF(SUMIF($A$4:$A411,$A413,AT$4:AT411)=0,"",SUMIF($A$4:$A411,$A413,AT$4:AT411))</f>
        <v/>
      </c>
    </row>
    <row r="414" spans="1:46">
      <c r="A414" s="35" t="s">
        <v>758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9"/>
      <c r="N414" s="19"/>
      <c r="O414" s="19"/>
      <c r="P414" s="19"/>
      <c r="Q414" s="19"/>
      <c r="R414" s="296" t="s">
        <v>470</v>
      </c>
      <c r="S414" s="19"/>
      <c r="T414" s="15"/>
      <c r="U414" s="15"/>
      <c r="V414" s="15"/>
      <c r="W414" s="15"/>
      <c r="X414" s="296"/>
      <c r="Y414" s="18"/>
      <c r="Z414" s="19"/>
      <c r="AA414" s="19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</row>
    <row r="415" spans="1:46" ht="16.3">
      <c r="A415" s="528" t="s">
        <v>7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9"/>
      <c r="N415" s="19"/>
      <c r="O415" s="19"/>
      <c r="P415" s="19"/>
      <c r="Q415" s="19"/>
      <c r="R415" s="19"/>
      <c r="S415" s="19"/>
      <c r="T415" s="15"/>
      <c r="U415" s="15"/>
      <c r="V415" s="15"/>
      <c r="W415" s="15"/>
      <c r="X415" s="18"/>
      <c r="Y415" s="18"/>
      <c r="Z415" s="19"/>
      <c r="AA415" s="19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</row>
    <row r="416" spans="1:46">
      <c r="A416" s="2"/>
      <c r="B416" s="2"/>
      <c r="C416" s="2"/>
      <c r="D416" s="2"/>
      <c r="M416" s="20"/>
      <c r="N416" s="20"/>
      <c r="O416" s="20"/>
      <c r="P416" s="20"/>
      <c r="Q416" s="20"/>
      <c r="R416" s="20"/>
      <c r="S416" s="20"/>
      <c r="X416" s="17"/>
      <c r="Y416" s="17"/>
      <c r="Z416" s="20"/>
      <c r="AA416" s="20"/>
    </row>
    <row r="417" spans="1:27">
      <c r="A417" s="2"/>
      <c r="B417" s="2"/>
      <c r="C417" s="2"/>
      <c r="D417" s="2"/>
      <c r="M417" s="20"/>
      <c r="N417" s="20"/>
      <c r="O417" s="20"/>
      <c r="P417" s="20"/>
      <c r="Q417" s="20"/>
      <c r="R417" s="20"/>
      <c r="S417" s="20"/>
      <c r="X417" s="17"/>
      <c r="Y417" s="17"/>
      <c r="Z417" s="20"/>
      <c r="AA417" s="20"/>
    </row>
    <row r="418" spans="1:27">
      <c r="A418" s="2"/>
      <c r="M418" s="20"/>
      <c r="N418" s="20"/>
      <c r="O418" s="20"/>
      <c r="P418" s="20"/>
      <c r="Q418" s="20"/>
      <c r="R418" s="20"/>
      <c r="S418" s="20"/>
      <c r="X418" s="17"/>
      <c r="Y418" s="17"/>
      <c r="Z418" s="20"/>
      <c r="AA418" s="20"/>
    </row>
    <row r="419" spans="1:27">
      <c r="A419" s="2"/>
      <c r="M419" s="20"/>
      <c r="N419" s="20"/>
      <c r="O419" s="20"/>
      <c r="P419" s="20"/>
      <c r="Q419" s="20"/>
      <c r="R419" s="20"/>
      <c r="S419" s="20"/>
      <c r="X419" s="17"/>
      <c r="Y419" s="17"/>
      <c r="Z419" s="20"/>
      <c r="AA419" s="20"/>
    </row>
    <row r="420" spans="1:27">
      <c r="A420" s="2"/>
      <c r="M420" s="20"/>
      <c r="N420" s="20"/>
      <c r="O420" s="20"/>
      <c r="P420" s="20"/>
      <c r="Q420" s="20"/>
      <c r="R420" s="20"/>
      <c r="S420" s="20"/>
      <c r="X420" s="17"/>
      <c r="Y420" s="17"/>
      <c r="Z420" s="20"/>
      <c r="AA420" s="20"/>
    </row>
    <row r="421" spans="1:27">
      <c r="A421" s="2"/>
      <c r="M421" s="20"/>
      <c r="N421" s="20"/>
      <c r="O421" s="20"/>
      <c r="P421" s="20"/>
      <c r="Q421" s="20"/>
      <c r="R421" s="20"/>
      <c r="S421" s="20"/>
      <c r="X421" s="17"/>
      <c r="Y421" s="17"/>
      <c r="Z421" s="20"/>
      <c r="AA421" s="20"/>
    </row>
    <row r="422" spans="1:27">
      <c r="A422" s="2"/>
      <c r="M422" s="20"/>
      <c r="N422" s="20"/>
      <c r="O422" s="20"/>
      <c r="P422" s="20"/>
      <c r="Q422" s="20"/>
      <c r="R422" s="20"/>
      <c r="S422" s="20"/>
      <c r="X422" s="17"/>
      <c r="Y422" s="17"/>
      <c r="Z422" s="20"/>
      <c r="AA422" s="20"/>
    </row>
    <row r="423" spans="1:27">
      <c r="A423" s="2"/>
      <c r="M423" s="20"/>
      <c r="N423" s="20"/>
      <c r="O423" s="20"/>
      <c r="P423" s="20"/>
      <c r="Q423" s="20"/>
      <c r="R423" s="20"/>
      <c r="S423" s="20"/>
      <c r="X423" s="17"/>
      <c r="Y423" s="17"/>
      <c r="Z423" s="20"/>
      <c r="AA423" s="20"/>
    </row>
    <row r="424" spans="1:27">
      <c r="A424" s="2"/>
      <c r="M424" s="20"/>
      <c r="N424" s="20"/>
      <c r="O424" s="20"/>
      <c r="P424" s="20"/>
      <c r="Q424" s="20"/>
      <c r="R424" s="20"/>
      <c r="S424" s="20"/>
      <c r="X424" s="17"/>
      <c r="Y424" s="17"/>
      <c r="Z424" s="20"/>
      <c r="AA424" s="20"/>
    </row>
    <row r="425" spans="1:27">
      <c r="A425" s="2"/>
      <c r="M425" s="20"/>
      <c r="N425" s="20"/>
      <c r="O425" s="20"/>
      <c r="P425" s="20"/>
      <c r="Q425" s="20"/>
      <c r="R425" s="20"/>
      <c r="S425" s="20"/>
      <c r="X425" s="17"/>
      <c r="Y425" s="17"/>
      <c r="Z425" s="20"/>
      <c r="AA425" s="20"/>
    </row>
    <row r="426" spans="1:27">
      <c r="A426" s="2"/>
      <c r="M426" s="20"/>
      <c r="N426" s="20"/>
      <c r="O426" s="20"/>
      <c r="P426" s="20"/>
      <c r="Q426" s="20"/>
      <c r="R426" s="20"/>
      <c r="S426" s="20"/>
      <c r="X426" s="17"/>
      <c r="Y426" s="17"/>
      <c r="Z426" s="20"/>
      <c r="AA426" s="20"/>
    </row>
    <row r="427" spans="1:27">
      <c r="A427" s="2"/>
      <c r="M427" s="20"/>
      <c r="N427" s="20"/>
      <c r="O427" s="20"/>
      <c r="P427" s="20"/>
      <c r="Q427" s="20"/>
      <c r="R427" s="20"/>
      <c r="S427" s="20"/>
      <c r="X427" s="17"/>
      <c r="Y427" s="17"/>
      <c r="Z427" s="20"/>
      <c r="AA427" s="20"/>
    </row>
    <row r="428" spans="1:27">
      <c r="A428" s="3" t="s">
        <v>0</v>
      </c>
      <c r="M428" s="20"/>
      <c r="N428" s="20"/>
      <c r="O428" s="20"/>
      <c r="P428" s="20"/>
      <c r="Q428" s="20"/>
      <c r="R428" s="20"/>
      <c r="S428" s="20"/>
      <c r="X428" s="17"/>
      <c r="Y428" s="17"/>
      <c r="Z428" s="20"/>
      <c r="AA428" s="20"/>
    </row>
    <row r="429" spans="1:27">
      <c r="M429" s="20"/>
      <c r="N429" s="20"/>
      <c r="O429" s="20"/>
      <c r="P429" s="20"/>
      <c r="Q429" s="20"/>
      <c r="R429" s="20"/>
      <c r="S429" s="20"/>
      <c r="X429" s="17"/>
      <c r="Y429" s="17"/>
      <c r="Z429" s="20"/>
      <c r="AA429" s="20"/>
    </row>
    <row r="430" spans="1:27">
      <c r="M430" s="20"/>
      <c r="N430" s="20"/>
      <c r="O430" s="20"/>
      <c r="P430" s="20"/>
      <c r="Q430" s="20"/>
      <c r="R430" s="20"/>
      <c r="S430" s="20"/>
      <c r="X430" s="17"/>
      <c r="Y430" s="17"/>
      <c r="Z430" s="20"/>
      <c r="AA430" s="20"/>
    </row>
    <row r="431" spans="1:27">
      <c r="M431" s="20"/>
      <c r="N431" s="20"/>
      <c r="O431" s="20"/>
      <c r="P431" s="20"/>
      <c r="Q431" s="20"/>
      <c r="R431" s="20"/>
      <c r="S431" s="20"/>
      <c r="X431" s="17"/>
      <c r="Y431" s="17"/>
      <c r="Z431" s="20"/>
      <c r="AA431" s="20"/>
    </row>
    <row r="432" spans="1:27">
      <c r="M432" s="20"/>
      <c r="N432" s="20"/>
      <c r="O432" s="20"/>
      <c r="P432" s="20"/>
      <c r="Q432" s="20"/>
      <c r="R432" s="20"/>
      <c r="S432" s="20"/>
      <c r="X432" s="17"/>
      <c r="Y432" s="17"/>
      <c r="Z432" s="20"/>
      <c r="AA432" s="20"/>
    </row>
    <row r="433" spans="13:27">
      <c r="M433" s="20"/>
      <c r="N433" s="20"/>
      <c r="O433" s="20"/>
      <c r="P433" s="20"/>
      <c r="Q433" s="20"/>
      <c r="R433" s="20"/>
      <c r="S433" s="20"/>
      <c r="X433" s="17"/>
      <c r="Y433" s="17"/>
      <c r="Z433" s="20"/>
      <c r="AA433" s="20"/>
    </row>
    <row r="434" spans="13:27">
      <c r="M434" s="20"/>
      <c r="N434" s="20"/>
      <c r="O434" s="20"/>
      <c r="P434" s="20"/>
      <c r="Q434" s="20"/>
      <c r="R434" s="20"/>
      <c r="S434" s="20"/>
      <c r="X434" s="17"/>
      <c r="Y434" s="17"/>
      <c r="Z434" s="20"/>
      <c r="AA434" s="20"/>
    </row>
    <row r="435" spans="13:27">
      <c r="M435" s="20"/>
      <c r="N435" s="20"/>
      <c r="O435" s="20"/>
      <c r="P435" s="20"/>
      <c r="Q435" s="20"/>
      <c r="R435" s="20"/>
      <c r="S435" s="20"/>
      <c r="X435" s="17"/>
      <c r="Y435" s="17"/>
      <c r="Z435" s="20"/>
      <c r="AA435" s="20"/>
    </row>
    <row r="436" spans="13:27">
      <c r="M436" s="20"/>
      <c r="N436" s="20"/>
      <c r="O436" s="20"/>
      <c r="P436" s="20"/>
      <c r="Q436" s="20"/>
      <c r="R436" s="20"/>
      <c r="S436" s="20"/>
      <c r="X436" s="17"/>
      <c r="Y436" s="17"/>
      <c r="Z436" s="20"/>
      <c r="AA436" s="20"/>
    </row>
    <row r="437" spans="13:27">
      <c r="X437" s="17"/>
      <c r="Y437" s="17"/>
      <c r="Z437" s="20"/>
      <c r="AA437" s="20"/>
    </row>
    <row r="438" spans="13:27">
      <c r="X438" s="17"/>
      <c r="Y438" s="17"/>
      <c r="Z438" s="20"/>
      <c r="AA438" s="20"/>
    </row>
    <row r="439" spans="13:27">
      <c r="X439" s="17"/>
      <c r="Y439" s="17"/>
      <c r="Z439" s="20"/>
      <c r="AA439" s="20"/>
    </row>
    <row r="440" spans="13:27">
      <c r="X440" s="17"/>
      <c r="Y440" s="17"/>
      <c r="Z440" s="20"/>
      <c r="AA440" s="20"/>
    </row>
    <row r="441" spans="13:27">
      <c r="X441" s="17"/>
      <c r="Y441" s="17"/>
      <c r="Z441" s="20"/>
      <c r="AA441" s="20"/>
    </row>
    <row r="442" spans="13:27">
      <c r="X442" s="17"/>
      <c r="Y442" s="17"/>
    </row>
    <row r="443" spans="13:27">
      <c r="X443" s="17"/>
      <c r="Y443" s="17"/>
    </row>
    <row r="444" spans="13:27">
      <c r="X444" s="17"/>
      <c r="Y444" s="17"/>
    </row>
    <row r="445" spans="13:27">
      <c r="X445" s="17"/>
      <c r="Y445" s="17"/>
    </row>
    <row r="446" spans="13:27">
      <c r="X446" s="17"/>
      <c r="Y446" s="17"/>
    </row>
    <row r="447" spans="13:27">
      <c r="X447" s="17"/>
      <c r="Y447" s="17"/>
    </row>
    <row r="453" spans="1:1" ht="21.1">
      <c r="A453" s="12" t="s">
        <v>0</v>
      </c>
    </row>
  </sheetData>
  <mergeCells count="8">
    <mergeCell ref="B402:C402"/>
    <mergeCell ref="D402:E402"/>
    <mergeCell ref="F402:G402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horizontalDpi="360" verticalDpi="360" r:id="rId1"/>
  <ignoredErrors>
    <ignoredError sqref="B399:C401 B317:C396 B308 B314 B88:C205 B215 B4:C56 B78 D404:D407 B303:C304 B72 B218:C287 B66 B84 B289:C301 B6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BTH</vt:lpstr>
      <vt:lpstr>BRI</vt:lpstr>
      <vt:lpstr>EXE</vt:lpstr>
      <vt:lpstr>GLO</vt:lpstr>
      <vt:lpstr>HAR</vt:lpstr>
      <vt:lpstr>LEI</vt:lpstr>
      <vt:lpstr>NRB</vt:lpstr>
      <vt:lpstr>NOR</vt:lpstr>
      <vt:lpstr>SAL</vt:lpstr>
      <vt:lpstr>SAR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dcterms:created xsi:type="dcterms:W3CDTF">2012-09-03T14:21:51Z</dcterms:created>
  <dcterms:modified xsi:type="dcterms:W3CDTF">2026-03-11T15:46:47Z</dcterms:modified>
</cp:coreProperties>
</file>